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ulThibodeau\Desktop\"/>
    </mc:Choice>
  </mc:AlternateContent>
  <xr:revisionPtr revIDLastSave="0" documentId="13_ncr:1_{46AE4865-1F9B-4389-B746-74653B5E430C}" xr6:coauthVersionLast="47" xr6:coauthVersionMax="47" xr10:uidLastSave="{00000000-0000-0000-0000-000000000000}"/>
  <bookViews>
    <workbookView xWindow="1536" yWindow="1536" windowWidth="17280" windowHeight="8880" tabRatio="774" firstSheet="24" activeTab="24" xr2:uid="{00000000-000D-0000-FFFF-FFFF00000000}"/>
  </bookViews>
  <sheets>
    <sheet name="PMIS_Config" sheetId="1" r:id="rId1"/>
    <sheet name="Data_Health" sheetId="2" state="hidden" r:id="rId2"/>
    <sheet name="README_ARCHITECTURE" sheetId="3" state="hidden" r:id="rId3"/>
    <sheet name="V4_Mission_Control" sheetId="4" state="hidden" r:id="rId4"/>
    <sheet name="Dashboard" sheetId="5" state="hidden" r:id="rId5"/>
    <sheet name="Building_View" sheetId="6" state="hidden" r:id="rId6"/>
    <sheet name="Command_Center" sheetId="7" state="hidden" r:id="rId7"/>
    <sheet name="COMMAND CENTERS" sheetId="82" r:id="rId8"/>
    <sheet name="Command_Tile_Copy_Block" sheetId="79" state="hidden" r:id="rId9"/>
    <sheet name="Executive Brief" sheetId="77" state="hidden" r:id="rId10"/>
    <sheet name="Pilot" sheetId="78" state="hidden" r:id="rId11"/>
    <sheet name="Stakeholders" sheetId="10" state="hidden" r:id="rId12"/>
    <sheet name="_Command_Lists" sheetId="70" state="hidden" r:id="rId13"/>
    <sheet name="_PMIS_Config" sheetId="71" state="hidden" r:id="rId14"/>
    <sheet name="Lookup_Lists" sheetId="27" state="hidden" r:id="rId15"/>
    <sheet name="System_Map" sheetId="28" state="hidden" r:id="rId16"/>
    <sheet name="PMIS_Home" sheetId="29" state="hidden" r:id="rId17"/>
    <sheet name="Lists" sheetId="30" state="hidden" r:id="rId18"/>
    <sheet name="Telecom_Rooms" sheetId="31" state="hidden" r:id="rId19"/>
    <sheet name="Building_Stakeholders" sheetId="32" state="hidden" r:id="rId20"/>
    <sheet name="Existing_Conditions" sheetId="33" state="hidden" r:id="rId21"/>
    <sheet name="Doc_Register" sheetId="34" state="hidden" r:id="rId22"/>
    <sheet name="Documentation" sheetId="35" state="hidden" r:id="rId23"/>
    <sheet name="PMIS_Data (2)" sheetId="80" r:id="rId24"/>
    <sheet name="B61_Assessment" sheetId="58" r:id="rId25"/>
    <sheet name="CM_PM Operations" sheetId="84" state="hidden" r:id="rId26"/>
    <sheet name="COR_Report" sheetId="85" state="hidden" r:id="rId27"/>
    <sheet name="Project_Register" sheetId="89" r:id="rId28"/>
    <sheet name="Shutdown_Tracker" sheetId="8" r:id="rId29"/>
    <sheet name="Building_Register" sheetId="9" state="hidden" r:id="rId30"/>
    <sheet name="PMIS_Data" sheetId="36" r:id="rId31"/>
    <sheet name="B01_Assessment" sheetId="37" r:id="rId32"/>
    <sheet name="B02_Assessment" sheetId="38" r:id="rId33"/>
    <sheet name="B03_Assessment" sheetId="39" r:id="rId34"/>
    <sheet name="B04_Assessment" sheetId="40" r:id="rId35"/>
    <sheet name="B05_Assessment" sheetId="41" r:id="rId36"/>
    <sheet name="B06_Assessment" sheetId="42" r:id="rId37"/>
    <sheet name="B07_Assessment" sheetId="43" r:id="rId38"/>
    <sheet name="B08_Assessment" sheetId="44" r:id="rId39"/>
    <sheet name="B09_Assessment" sheetId="45" r:id="rId40"/>
    <sheet name="B10_Assessment" sheetId="46" r:id="rId41"/>
    <sheet name="B12_Assessment" sheetId="47" r:id="rId42"/>
    <sheet name="B13_Assessment" sheetId="48" r:id="rId43"/>
    <sheet name="B14_Assessment" sheetId="49" r:id="rId44"/>
    <sheet name="B15_Assessment" sheetId="50" r:id="rId45"/>
    <sheet name="B16_Assessment" sheetId="51" r:id="rId46"/>
    <sheet name="B17_Assessment" sheetId="52" r:id="rId47"/>
    <sheet name="B18_Assessment" sheetId="53" r:id="rId48"/>
    <sheet name="B20_Assessment" sheetId="54" r:id="rId49"/>
    <sheet name="B21_Assessment" sheetId="55" r:id="rId50"/>
    <sheet name="B22_Assessment" sheetId="56" r:id="rId51"/>
    <sheet name="B33_Assessment" sheetId="57" r:id="rId52"/>
    <sheet name="B62_TR_Assessment" sheetId="59" r:id="rId53"/>
    <sheet name="B70_TR_Assessment" sheetId="60" r:id="rId54"/>
    <sheet name="B78_Assessment" sheetId="61" r:id="rId55"/>
    <sheet name="B80_Assessment" sheetId="62" r:id="rId56"/>
    <sheet name="B82_Assessment" sheetId="63" r:id="rId57"/>
    <sheet name="BCH_Assessment" sheetId="64" r:id="rId58"/>
    <sheet name="MCR_Assessment" sheetId="65" r:id="rId59"/>
    <sheet name="SITE_Assesment" sheetId="66" r:id="rId60"/>
    <sheet name="SPEC_Assessment" sheetId="67" r:id="rId61"/>
    <sheet name="_Command_Source" sheetId="68" state="hidden" r:id="rId62"/>
    <sheet name="_Assessment_Full_View" sheetId="69" state="hidden" r:id="rId63"/>
    <sheet name="V4_Architecture_Map" sheetId="72" state="hidden" r:id="rId64"/>
    <sheet name="_V4_ActionQueue" sheetId="73" state="hidden" r:id="rId65"/>
    <sheet name="_Command_Trade_Notes" sheetId="74" state="hidden" r:id="rId66"/>
    <sheet name="PMIS_Trade_Notes" sheetId="75" state="hidden" r:id="rId67"/>
    <sheet name="Today's_Focus" sheetId="76" state="hidden" r:id="rId68"/>
  </sheets>
  <definedNames>
    <definedName name="_xlnm._FilterDatabase" localSheetId="27" hidden="1">Project_Register!$A$5:$AQ$505</definedName>
    <definedName name="PMIS_Building_Helper">#REF!</definedName>
    <definedName name="PMIS_Building_List" localSheetId="23">'PMIS_Data (2)'!$A$3:$A$32</definedName>
    <definedName name="PMIS_Building_List" localSheetId="27">#REF!</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3">'PMIS_Data (2)'!$I$3:$I$32</definedName>
    <definedName name="PMIS_Open_Questions">PMIS_Data!$I$3:$I$32</definedName>
    <definedName name="PMIS_Open_Risks" localSheetId="23">'PMIS_Data (2)'!$H$3:$H$32</definedName>
    <definedName name="PMIS_Open_Risks">PMIS_Data!$H$3:$H$32</definedName>
    <definedName name="PMIS_Readiness" localSheetId="23">'PMIS_Data (2)'!$D$3:$D$32</definedName>
    <definedName name="PMIS_Readiness">PMIS_Data!$D$3:$D$32</definedName>
    <definedName name="PMIS_Shutdowns" localSheetId="23">'PMIS_Data (2)'!$Q$3:$Q$32</definedName>
    <definedName name="PMIS_Shutdowns">PMIS_Data!$Q$3:$Q$32</definedName>
    <definedName name="V4_Action_Queue">_V4_ActionQueue!$A$3:$O$200</definedName>
    <definedName name="V4_Active_Building">V4_Mission_Control!$C$3</definedName>
    <definedName name="V4_BuildingHelper">#REF!</definedName>
    <definedName name="V4_Config_Source">#REF!</definedName>
    <definedName name="V4_ConfigTokens">#REF!</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75" l="1"/>
  <c r="J33" i="75"/>
  <c r="H33" i="74" s="1"/>
  <c r="I33" i="75"/>
  <c r="G33" i="74" s="1"/>
  <c r="H33" i="75"/>
  <c r="F33" i="74" s="1"/>
  <c r="G33" i="75"/>
  <c r="E33" i="74" s="1"/>
  <c r="F33" i="75"/>
  <c r="D33" i="74" s="1"/>
  <c r="D33" i="75"/>
  <c r="B33" i="74" s="1"/>
  <c r="C33" i="75"/>
  <c r="B33" i="75"/>
  <c r="A33" i="75"/>
  <c r="A33" i="74" s="1"/>
  <c r="C32" i="75"/>
  <c r="B32" i="75"/>
  <c r="A32" i="75"/>
  <c r="A32" i="74" s="1"/>
  <c r="K31" i="75"/>
  <c r="C31" i="75"/>
  <c r="B31" i="75"/>
  <c r="A31" i="75"/>
  <c r="A31" i="74" s="1"/>
  <c r="K30" i="75"/>
  <c r="J30" i="75"/>
  <c r="H30" i="74" s="1"/>
  <c r="I30" i="75"/>
  <c r="G30" i="74" s="1"/>
  <c r="H30" i="75"/>
  <c r="F30" i="74" s="1"/>
  <c r="G30" i="75"/>
  <c r="E30" i="74" s="1"/>
  <c r="F30" i="75"/>
  <c r="D30" i="74" s="1"/>
  <c r="E30" i="75"/>
  <c r="C30" i="74" s="1"/>
  <c r="D30" i="75"/>
  <c r="B30" i="74" s="1"/>
  <c r="C30" i="75"/>
  <c r="B30" i="75"/>
  <c r="A30" i="75"/>
  <c r="A30" i="74" s="1"/>
  <c r="K29" i="75"/>
  <c r="J29" i="75"/>
  <c r="H29" i="74" s="1"/>
  <c r="I29" i="75"/>
  <c r="G29" i="74" s="1"/>
  <c r="H29" i="75"/>
  <c r="F29" i="74" s="1"/>
  <c r="G29" i="75"/>
  <c r="E29" i="74" s="1"/>
  <c r="F29" i="75"/>
  <c r="D29" i="74" s="1"/>
  <c r="E29" i="75"/>
  <c r="C29" i="74" s="1"/>
  <c r="D29" i="75"/>
  <c r="B29" i="74" s="1"/>
  <c r="C29" i="75"/>
  <c r="B29" i="75"/>
  <c r="A29" i="75"/>
  <c r="A29" i="74" s="1"/>
  <c r="K28" i="75"/>
  <c r="J28" i="75"/>
  <c r="H28" i="74" s="1"/>
  <c r="I28" i="75"/>
  <c r="G28" i="74" s="1"/>
  <c r="H28" i="75"/>
  <c r="F28" i="74" s="1"/>
  <c r="G28" i="75"/>
  <c r="E28" i="74" s="1"/>
  <c r="F28" i="75"/>
  <c r="D28" i="74" s="1"/>
  <c r="E28" i="75"/>
  <c r="C28" i="74" s="1"/>
  <c r="D28" i="75"/>
  <c r="B28" i="74" s="1"/>
  <c r="C28" i="75"/>
  <c r="B28" i="75"/>
  <c r="A28" i="75"/>
  <c r="A28" i="74" s="1"/>
  <c r="K27" i="75"/>
  <c r="J27" i="75"/>
  <c r="H27" i="74" s="1"/>
  <c r="I27" i="75"/>
  <c r="G27" i="74" s="1"/>
  <c r="H27" i="75"/>
  <c r="F27" i="74" s="1"/>
  <c r="G27" i="75"/>
  <c r="E27" i="74" s="1"/>
  <c r="F27" i="75"/>
  <c r="D27" i="74" s="1"/>
  <c r="E27" i="75"/>
  <c r="C27" i="74" s="1"/>
  <c r="D27" i="75"/>
  <c r="B27" i="74" s="1"/>
  <c r="C27" i="75"/>
  <c r="B27" i="75"/>
  <c r="A27" i="75"/>
  <c r="A27" i="74" s="1"/>
  <c r="K26" i="75"/>
  <c r="J26" i="75"/>
  <c r="H26" i="74" s="1"/>
  <c r="I26" i="75"/>
  <c r="G26" i="74" s="1"/>
  <c r="H26" i="75"/>
  <c r="F26" i="74" s="1"/>
  <c r="G26" i="75"/>
  <c r="E26" i="74" s="1"/>
  <c r="F26" i="75"/>
  <c r="D26" i="74" s="1"/>
  <c r="E26" i="75"/>
  <c r="C26" i="74" s="1"/>
  <c r="D26" i="75"/>
  <c r="B26" i="74" s="1"/>
  <c r="C26" i="75"/>
  <c r="B26" i="75"/>
  <c r="A26" i="75"/>
  <c r="A26" i="74" s="1"/>
  <c r="K25" i="75"/>
  <c r="J25" i="75"/>
  <c r="H25" i="74" s="1"/>
  <c r="I25" i="75"/>
  <c r="G25" i="74" s="1"/>
  <c r="G25" i="75"/>
  <c r="E25" i="74" s="1"/>
  <c r="F25" i="75"/>
  <c r="D25" i="74" s="1"/>
  <c r="E25" i="75"/>
  <c r="C25" i="74" s="1"/>
  <c r="D25" i="75"/>
  <c r="B25" i="74" s="1"/>
  <c r="C25" i="75"/>
  <c r="B25" i="75"/>
  <c r="A25" i="75"/>
  <c r="A25" i="74" s="1"/>
  <c r="K24" i="75"/>
  <c r="J24" i="75"/>
  <c r="H24" i="74" s="1"/>
  <c r="I24" i="75"/>
  <c r="G24" i="74" s="1"/>
  <c r="G24" i="75"/>
  <c r="E24" i="74" s="1"/>
  <c r="F24" i="75"/>
  <c r="D24" i="74" s="1"/>
  <c r="E24" i="75"/>
  <c r="C24" i="74" s="1"/>
  <c r="D24" i="75"/>
  <c r="B24" i="74" s="1"/>
  <c r="C24" i="75"/>
  <c r="B24" i="75"/>
  <c r="A24" i="75"/>
  <c r="A24" i="74" s="1"/>
  <c r="K23" i="75"/>
  <c r="J23" i="75"/>
  <c r="H23" i="74" s="1"/>
  <c r="I23" i="75"/>
  <c r="G23" i="74" s="1"/>
  <c r="H23" i="75"/>
  <c r="F23" i="74" s="1"/>
  <c r="G23" i="75"/>
  <c r="E23" i="74" s="1"/>
  <c r="F23" i="75"/>
  <c r="D23" i="74" s="1"/>
  <c r="E23" i="75"/>
  <c r="C23" i="74" s="1"/>
  <c r="D23" i="75"/>
  <c r="B23" i="74" s="1"/>
  <c r="C23" i="75"/>
  <c r="B23" i="75"/>
  <c r="A23" i="75"/>
  <c r="A23" i="74" s="1"/>
  <c r="K22" i="75"/>
  <c r="J22" i="75"/>
  <c r="H22" i="74" s="1"/>
  <c r="I22" i="75"/>
  <c r="G22" i="74" s="1"/>
  <c r="H22" i="75"/>
  <c r="F22" i="74" s="1"/>
  <c r="G22" i="75"/>
  <c r="E22" i="74" s="1"/>
  <c r="F22" i="75"/>
  <c r="D22" i="74" s="1"/>
  <c r="E22" i="75"/>
  <c r="C22" i="74" s="1"/>
  <c r="D22" i="75"/>
  <c r="B22" i="74" s="1"/>
  <c r="C22" i="75"/>
  <c r="B22" i="75"/>
  <c r="A22" i="75"/>
  <c r="A22" i="74" s="1"/>
  <c r="K21" i="75"/>
  <c r="J21" i="75"/>
  <c r="H21" i="74" s="1"/>
  <c r="I21" i="75"/>
  <c r="G21" i="74" s="1"/>
  <c r="H21" i="75"/>
  <c r="F21" i="74" s="1"/>
  <c r="G21" i="75"/>
  <c r="E21" i="74" s="1"/>
  <c r="F21" i="75"/>
  <c r="D21" i="74" s="1"/>
  <c r="E21" i="75"/>
  <c r="C21" i="74" s="1"/>
  <c r="D21" i="75"/>
  <c r="B21" i="74" s="1"/>
  <c r="C21" i="75"/>
  <c r="B21" i="75"/>
  <c r="A21" i="75"/>
  <c r="A21" i="74" s="1"/>
  <c r="K20" i="75"/>
  <c r="J20" i="75"/>
  <c r="H20" i="74" s="1"/>
  <c r="I20" i="75"/>
  <c r="G20" i="74" s="1"/>
  <c r="H20" i="75"/>
  <c r="F20" i="74" s="1"/>
  <c r="G20" i="75"/>
  <c r="E20" i="74" s="1"/>
  <c r="F20" i="75"/>
  <c r="D20" i="74" s="1"/>
  <c r="E20" i="75"/>
  <c r="C20" i="74" s="1"/>
  <c r="D20" i="75"/>
  <c r="B20" i="74" s="1"/>
  <c r="C20" i="75"/>
  <c r="B20" i="75"/>
  <c r="A20" i="75"/>
  <c r="A20" i="74" s="1"/>
  <c r="K19" i="75"/>
  <c r="J19" i="75"/>
  <c r="H19" i="74" s="1"/>
  <c r="I19" i="75"/>
  <c r="G19" i="74" s="1"/>
  <c r="H19" i="75"/>
  <c r="F19" i="74" s="1"/>
  <c r="G19" i="75"/>
  <c r="E19" i="74" s="1"/>
  <c r="F19" i="75"/>
  <c r="D19" i="74" s="1"/>
  <c r="E19" i="75"/>
  <c r="C19" i="74" s="1"/>
  <c r="D19" i="75"/>
  <c r="B19" i="74" s="1"/>
  <c r="C19" i="75"/>
  <c r="B19" i="75"/>
  <c r="A19" i="75"/>
  <c r="A19" i="74" s="1"/>
  <c r="K18" i="75"/>
  <c r="J18" i="75"/>
  <c r="H18" i="74" s="1"/>
  <c r="I18" i="75"/>
  <c r="G18" i="74" s="1"/>
  <c r="H18" i="75"/>
  <c r="F18" i="74" s="1"/>
  <c r="G18" i="75"/>
  <c r="E18" i="74" s="1"/>
  <c r="F18" i="75"/>
  <c r="D18" i="74" s="1"/>
  <c r="E18" i="75"/>
  <c r="C18" i="74" s="1"/>
  <c r="D18" i="75"/>
  <c r="B18" i="74" s="1"/>
  <c r="C18" i="75"/>
  <c r="B18" i="75"/>
  <c r="A18" i="75"/>
  <c r="A18" i="74" s="1"/>
  <c r="K17" i="75"/>
  <c r="J17" i="75"/>
  <c r="H17" i="74" s="1"/>
  <c r="I17" i="75"/>
  <c r="G17" i="74" s="1"/>
  <c r="H17" i="75"/>
  <c r="F17" i="74" s="1"/>
  <c r="G17" i="75"/>
  <c r="E17" i="74" s="1"/>
  <c r="F17" i="75"/>
  <c r="D17" i="74" s="1"/>
  <c r="E17" i="75"/>
  <c r="C17" i="74" s="1"/>
  <c r="D17" i="75"/>
  <c r="B17" i="74" s="1"/>
  <c r="C17" i="75"/>
  <c r="B17" i="75"/>
  <c r="A17" i="75"/>
  <c r="A17" i="74" s="1"/>
  <c r="K16" i="75"/>
  <c r="J16" i="75"/>
  <c r="H16" i="74" s="1"/>
  <c r="I16" i="75"/>
  <c r="G16" i="74" s="1"/>
  <c r="H16" i="75"/>
  <c r="F16" i="74" s="1"/>
  <c r="G16" i="75"/>
  <c r="E16" i="74" s="1"/>
  <c r="F16" i="75"/>
  <c r="D16" i="74" s="1"/>
  <c r="E16" i="75"/>
  <c r="C16" i="74" s="1"/>
  <c r="D16" i="75"/>
  <c r="B16" i="74" s="1"/>
  <c r="C16" i="75"/>
  <c r="B16" i="75"/>
  <c r="A16" i="75"/>
  <c r="A16" i="74" s="1"/>
  <c r="K15" i="75"/>
  <c r="J15" i="75"/>
  <c r="H15" i="74" s="1"/>
  <c r="I15" i="75"/>
  <c r="G15" i="74" s="1"/>
  <c r="H15" i="75"/>
  <c r="F15" i="74" s="1"/>
  <c r="G15" i="75"/>
  <c r="E15" i="74" s="1"/>
  <c r="F15" i="75"/>
  <c r="D15" i="74" s="1"/>
  <c r="E15" i="75"/>
  <c r="C15" i="74" s="1"/>
  <c r="D15" i="75"/>
  <c r="B15" i="74" s="1"/>
  <c r="C15" i="75"/>
  <c r="B15" i="75"/>
  <c r="A15" i="75"/>
  <c r="A15" i="74" s="1"/>
  <c r="K14" i="75"/>
  <c r="J14" i="75"/>
  <c r="H14" i="74" s="1"/>
  <c r="I14" i="75"/>
  <c r="G14" i="74" s="1"/>
  <c r="H14" i="75"/>
  <c r="F14" i="74" s="1"/>
  <c r="G14" i="75"/>
  <c r="E14" i="74" s="1"/>
  <c r="F14" i="75"/>
  <c r="D14" i="74" s="1"/>
  <c r="E14" i="75"/>
  <c r="C14" i="74" s="1"/>
  <c r="D14" i="75"/>
  <c r="B14" i="74" s="1"/>
  <c r="C14" i="75"/>
  <c r="B14" i="75"/>
  <c r="A14" i="75"/>
  <c r="A14" i="74" s="1"/>
  <c r="K13" i="75"/>
  <c r="J13" i="75"/>
  <c r="H13" i="74" s="1"/>
  <c r="I13" i="75"/>
  <c r="G13" i="74" s="1"/>
  <c r="H13" i="75"/>
  <c r="F13" i="74" s="1"/>
  <c r="G13" i="75"/>
  <c r="E13" i="74" s="1"/>
  <c r="F13" i="75"/>
  <c r="D13" i="74" s="1"/>
  <c r="E13" i="75"/>
  <c r="C13" i="74" s="1"/>
  <c r="D13" i="75"/>
  <c r="B13" i="74" s="1"/>
  <c r="C13" i="75"/>
  <c r="B13" i="75"/>
  <c r="A13" i="75"/>
  <c r="A13" i="74" s="1"/>
  <c r="K12" i="75"/>
  <c r="J12" i="75"/>
  <c r="H12" i="74" s="1"/>
  <c r="I12" i="75"/>
  <c r="G12" i="74" s="1"/>
  <c r="H12" i="75"/>
  <c r="F12" i="74" s="1"/>
  <c r="G12" i="75"/>
  <c r="E12" i="74" s="1"/>
  <c r="F12" i="75"/>
  <c r="D12" i="74" s="1"/>
  <c r="E12" i="75"/>
  <c r="C12" i="74" s="1"/>
  <c r="D12" i="75"/>
  <c r="B12" i="74" s="1"/>
  <c r="C12" i="75"/>
  <c r="B12" i="75"/>
  <c r="A12" i="75"/>
  <c r="A12" i="74" s="1"/>
  <c r="K11" i="75"/>
  <c r="J11" i="75"/>
  <c r="H11" i="74" s="1"/>
  <c r="I11" i="75"/>
  <c r="G11" i="74" s="1"/>
  <c r="H11" i="75"/>
  <c r="F11" i="74" s="1"/>
  <c r="G11" i="75"/>
  <c r="E11" i="74" s="1"/>
  <c r="F11" i="75"/>
  <c r="D11" i="74" s="1"/>
  <c r="E11" i="75"/>
  <c r="C11" i="74" s="1"/>
  <c r="D11" i="75"/>
  <c r="B11" i="74" s="1"/>
  <c r="C11" i="75"/>
  <c r="B11" i="75"/>
  <c r="A11" i="75"/>
  <c r="A11" i="74" s="1"/>
  <c r="K10" i="75"/>
  <c r="J10" i="75"/>
  <c r="H10" i="74" s="1"/>
  <c r="I10" i="75"/>
  <c r="G10" i="74" s="1"/>
  <c r="H10" i="75"/>
  <c r="F10" i="74" s="1"/>
  <c r="G10" i="75"/>
  <c r="E10" i="74" s="1"/>
  <c r="F10" i="75"/>
  <c r="D10" i="74" s="1"/>
  <c r="E10" i="75"/>
  <c r="C10" i="74" s="1"/>
  <c r="D10" i="75"/>
  <c r="B10" i="74" s="1"/>
  <c r="C10" i="75"/>
  <c r="B10" i="75"/>
  <c r="A10" i="75"/>
  <c r="A10" i="74" s="1"/>
  <c r="K9" i="75"/>
  <c r="J9" i="75"/>
  <c r="H9" i="74" s="1"/>
  <c r="I9" i="75"/>
  <c r="G9" i="74" s="1"/>
  <c r="H9" i="75"/>
  <c r="F9" i="74" s="1"/>
  <c r="G9" i="75"/>
  <c r="E9" i="74" s="1"/>
  <c r="F9" i="75"/>
  <c r="D9" i="74" s="1"/>
  <c r="E9" i="75"/>
  <c r="C9" i="74" s="1"/>
  <c r="D9" i="75"/>
  <c r="B9" i="74" s="1"/>
  <c r="C9" i="75"/>
  <c r="B9" i="75"/>
  <c r="A9" i="75"/>
  <c r="A9" i="74" s="1"/>
  <c r="K8" i="75"/>
  <c r="J8" i="75"/>
  <c r="H8" i="74" s="1"/>
  <c r="I8" i="75"/>
  <c r="G8" i="74" s="1"/>
  <c r="H8" i="75"/>
  <c r="F8" i="74" s="1"/>
  <c r="G8" i="75"/>
  <c r="E8" i="74" s="1"/>
  <c r="F8" i="75"/>
  <c r="D8" i="74" s="1"/>
  <c r="E8" i="75"/>
  <c r="C8" i="74" s="1"/>
  <c r="D8" i="75"/>
  <c r="B8" i="74" s="1"/>
  <c r="C8" i="75"/>
  <c r="B8" i="75"/>
  <c r="A8" i="75"/>
  <c r="A8" i="74" s="1"/>
  <c r="K7" i="75"/>
  <c r="J7" i="75"/>
  <c r="H7" i="74" s="1"/>
  <c r="I7" i="75"/>
  <c r="G7" i="74" s="1"/>
  <c r="H7" i="75"/>
  <c r="F7" i="74" s="1"/>
  <c r="G7" i="75"/>
  <c r="E7" i="74" s="1"/>
  <c r="F7" i="75"/>
  <c r="D7" i="74" s="1"/>
  <c r="E7" i="75"/>
  <c r="C7" i="74" s="1"/>
  <c r="D7" i="75"/>
  <c r="B7" i="74" s="1"/>
  <c r="C7" i="75"/>
  <c r="B7" i="75"/>
  <c r="A7" i="75"/>
  <c r="A7" i="74" s="1"/>
  <c r="K6" i="75"/>
  <c r="J6" i="75"/>
  <c r="H6" i="74" s="1"/>
  <c r="I6" i="75"/>
  <c r="G6" i="74" s="1"/>
  <c r="H6" i="75"/>
  <c r="F6" i="74" s="1"/>
  <c r="G6" i="75"/>
  <c r="E6" i="74" s="1"/>
  <c r="F6" i="75"/>
  <c r="D6" i="74" s="1"/>
  <c r="E6" i="75"/>
  <c r="C6" i="74" s="1"/>
  <c r="D6" i="75"/>
  <c r="B6" i="74" s="1"/>
  <c r="C6" i="75"/>
  <c r="B6" i="75"/>
  <c r="A6" i="75"/>
  <c r="A6" i="74" s="1"/>
  <c r="K5" i="75"/>
  <c r="J5" i="75"/>
  <c r="H5" i="74" s="1"/>
  <c r="I5" i="75"/>
  <c r="G5" i="74" s="1"/>
  <c r="H5" i="75"/>
  <c r="F5" i="74" s="1"/>
  <c r="G5" i="75"/>
  <c r="E5" i="74" s="1"/>
  <c r="F5" i="75"/>
  <c r="D5" i="74" s="1"/>
  <c r="E5" i="75"/>
  <c r="C5" i="74" s="1"/>
  <c r="D5" i="75"/>
  <c r="B5" i="74" s="1"/>
  <c r="C5" i="75"/>
  <c r="B5" i="75"/>
  <c r="A5" i="75"/>
  <c r="A5" i="74" s="1"/>
  <c r="K4" i="75"/>
  <c r="J4" i="75"/>
  <c r="H4" i="74" s="1"/>
  <c r="I4" i="75"/>
  <c r="G4" i="74" s="1"/>
  <c r="H4" i="75"/>
  <c r="F4" i="74" s="1"/>
  <c r="G4" i="75"/>
  <c r="E4" i="74" s="1"/>
  <c r="F4" i="75"/>
  <c r="D4" i="74" s="1"/>
  <c r="E4" i="75"/>
  <c r="C4" i="74" s="1"/>
  <c r="D4" i="75"/>
  <c r="B4" i="74" s="1"/>
  <c r="C4" i="75"/>
  <c r="B4" i="75"/>
  <c r="A4" i="75"/>
  <c r="A4" i="74" s="1"/>
  <c r="K3" i="75"/>
  <c r="J3" i="75"/>
  <c r="H3" i="74" s="1"/>
  <c r="I3" i="75"/>
  <c r="G3" i="74" s="1"/>
  <c r="H3" i="75"/>
  <c r="F3" i="74" s="1"/>
  <c r="G3" i="75"/>
  <c r="E3" i="74" s="1"/>
  <c r="F3" i="75"/>
  <c r="D3" i="74" s="1"/>
  <c r="E3" i="75"/>
  <c r="C3" i="74" s="1"/>
  <c r="D3" i="75"/>
  <c r="B3" i="74" s="1"/>
  <c r="C3" i="75"/>
  <c r="B3" i="75"/>
  <c r="A3" i="75"/>
  <c r="A3" i="74" s="1"/>
  <c r="K2" i="75"/>
  <c r="J2" i="75"/>
  <c r="H2" i="74" s="1"/>
  <c r="I2" i="75"/>
  <c r="G2" i="74" s="1"/>
  <c r="H2" i="75"/>
  <c r="F2" i="74" s="1"/>
  <c r="G2" i="75"/>
  <c r="E2" i="74" s="1"/>
  <c r="F2" i="75"/>
  <c r="D2" i="74" s="1"/>
  <c r="E2" i="75"/>
  <c r="C2" i="74" s="1"/>
  <c r="D2" i="75"/>
  <c r="B2" i="74" s="1"/>
  <c r="C2" i="75"/>
  <c r="B2" i="75"/>
  <c r="A2" i="75"/>
  <c r="A2" i="74" s="1"/>
  <c r="H24" i="75"/>
  <c r="F24" i="74" s="1"/>
  <c r="H25" i="75"/>
  <c r="F25" i="74" s="1"/>
  <c r="D31" i="75"/>
  <c r="B31" i="74" s="1"/>
  <c r="E31" i="75"/>
  <c r="C31" i="74" s="1"/>
  <c r="F31" i="75"/>
  <c r="D31" i="74" s="1"/>
  <c r="G31" i="75"/>
  <c r="E31" i="74" s="1"/>
  <c r="H31" i="75"/>
  <c r="F31" i="74" s="1"/>
  <c r="I31" i="75"/>
  <c r="G31" i="74" s="1"/>
  <c r="J31" i="75"/>
  <c r="H31" i="74" s="1"/>
  <c r="D32" i="75"/>
  <c r="B32" i="74" s="1"/>
  <c r="E32" i="75"/>
  <c r="C32" i="74" s="1"/>
  <c r="F32" i="75"/>
  <c r="D32" i="74" s="1"/>
  <c r="G32" i="75"/>
  <c r="E32" i="74" s="1"/>
  <c r="H32" i="75"/>
  <c r="F32" i="74" s="1"/>
  <c r="I32" i="75"/>
  <c r="G32" i="74" s="1"/>
  <c r="J32" i="75"/>
  <c r="H32" i="74" s="1"/>
  <c r="K32" i="75"/>
  <c r="E33" i="75"/>
  <c r="C33" i="74" s="1"/>
  <c r="S6" i="89"/>
  <c r="T6" i="89"/>
  <c r="AO6" i="89"/>
  <c r="AP6" i="89"/>
  <c r="AQ6" i="89"/>
  <c r="S7" i="89"/>
  <c r="T7" i="89"/>
  <c r="AO7" i="89"/>
  <c r="AP7" i="89"/>
  <c r="AQ7" i="89"/>
  <c r="S8" i="89"/>
  <c r="T8" i="89"/>
  <c r="AO8" i="89"/>
  <c r="AP8" i="89"/>
  <c r="AQ8" i="89"/>
  <c r="S9" i="89"/>
  <c r="T9" i="89"/>
  <c r="AO9" i="89"/>
  <c r="AP9" i="89"/>
  <c r="AQ9" i="89"/>
  <c r="S10" i="89"/>
  <c r="T10" i="89"/>
  <c r="AO10" i="89"/>
  <c r="AP10" i="89"/>
  <c r="AQ10" i="89"/>
  <c r="S11" i="89"/>
  <c r="T11" i="89"/>
  <c r="AO11" i="89"/>
  <c r="AP11" i="89"/>
  <c r="AQ11" i="89"/>
  <c r="S12" i="89"/>
  <c r="T12" i="89"/>
  <c r="AO12" i="89"/>
  <c r="AP12" i="89"/>
  <c r="AQ12" i="89"/>
  <c r="S13" i="89"/>
  <c r="T13" i="89"/>
  <c r="AO13" i="89"/>
  <c r="AP13" i="89"/>
  <c r="AQ13" i="89"/>
  <c r="S14" i="89"/>
  <c r="T14" i="89"/>
  <c r="AO14" i="89"/>
  <c r="AP14" i="89"/>
  <c r="AQ14" i="89"/>
  <c r="S15" i="89"/>
  <c r="T15" i="89"/>
  <c r="AO15" i="89"/>
  <c r="AP15" i="89"/>
  <c r="AQ15" i="89"/>
  <c r="S16" i="89"/>
  <c r="T16" i="89"/>
  <c r="AO16" i="89"/>
  <c r="AP16" i="89"/>
  <c r="AQ16" i="89"/>
  <c r="S17" i="89"/>
  <c r="T17" i="89"/>
  <c r="AO17" i="89"/>
  <c r="AP17" i="89"/>
  <c r="AQ17" i="89"/>
  <c r="S18" i="89"/>
  <c r="T18" i="89"/>
  <c r="AO18" i="89"/>
  <c r="AP18" i="89"/>
  <c r="AQ18" i="89"/>
  <c r="S19" i="89"/>
  <c r="T19" i="89"/>
  <c r="AO19" i="89"/>
  <c r="AP19" i="89"/>
  <c r="AQ19" i="89"/>
  <c r="S20" i="89"/>
  <c r="T20" i="89"/>
  <c r="AO20" i="89"/>
  <c r="AP20" i="89"/>
  <c r="AQ20" i="89"/>
  <c r="S21" i="89"/>
  <c r="T21" i="89"/>
  <c r="AO21" i="89"/>
  <c r="AP21" i="89"/>
  <c r="AQ21" i="89"/>
  <c r="S22" i="89"/>
  <c r="T22" i="89"/>
  <c r="AO22" i="89"/>
  <c r="AP22" i="89"/>
  <c r="AQ22" i="89"/>
  <c r="S23" i="89"/>
  <c r="T23" i="89"/>
  <c r="AO23" i="89"/>
  <c r="AP23" i="89"/>
  <c r="AQ23" i="89"/>
  <c r="S24" i="89"/>
  <c r="T24" i="89"/>
  <c r="AO24" i="89"/>
  <c r="AP24" i="89"/>
  <c r="AQ24" i="89"/>
  <c r="S25" i="89"/>
  <c r="T25" i="89"/>
  <c r="AO25" i="89"/>
  <c r="AP25" i="89"/>
  <c r="AQ25" i="89"/>
  <c r="S26" i="89"/>
  <c r="T26" i="89"/>
  <c r="AO26" i="89"/>
  <c r="AP26" i="89"/>
  <c r="AQ26" i="89"/>
  <c r="S27" i="89"/>
  <c r="T27" i="89"/>
  <c r="AO27" i="89"/>
  <c r="AP27" i="89"/>
  <c r="AQ27" i="89"/>
  <c r="S28" i="89"/>
  <c r="T28" i="89"/>
  <c r="AO28" i="89"/>
  <c r="AP28" i="89"/>
  <c r="AQ28" i="89"/>
  <c r="S29" i="89"/>
  <c r="T29" i="89"/>
  <c r="AO29" i="89"/>
  <c r="AP29" i="89"/>
  <c r="AQ29" i="89"/>
  <c r="S30" i="89"/>
  <c r="T30" i="89"/>
  <c r="AO30" i="89"/>
  <c r="AP30" i="89"/>
  <c r="AQ30" i="89"/>
  <c r="S31" i="89"/>
  <c r="T31" i="89"/>
  <c r="AO31" i="89"/>
  <c r="AP31" i="89"/>
  <c r="AQ31" i="89"/>
  <c r="S32" i="89"/>
  <c r="T32" i="89"/>
  <c r="AO32" i="89"/>
  <c r="AP32" i="89"/>
  <c r="AQ32" i="89"/>
  <c r="S33" i="89"/>
  <c r="T33" i="89"/>
  <c r="AO33" i="89"/>
  <c r="AP33" i="89"/>
  <c r="AQ33" i="89"/>
  <c r="S34" i="89"/>
  <c r="T34" i="89"/>
  <c r="AO34" i="89"/>
  <c r="AP34" i="89"/>
  <c r="AQ34" i="89"/>
  <c r="S35" i="89"/>
  <c r="T35" i="89"/>
  <c r="AO35" i="89"/>
  <c r="AP35" i="89"/>
  <c r="AQ35" i="89"/>
  <c r="S36" i="89"/>
  <c r="T36" i="89"/>
  <c r="AO36" i="89"/>
  <c r="AP36" i="89"/>
  <c r="AQ36" i="89"/>
  <c r="S37" i="89"/>
  <c r="T37" i="89"/>
  <c r="AO37" i="89"/>
  <c r="AP37" i="89"/>
  <c r="AQ37" i="89"/>
  <c r="S38" i="89"/>
  <c r="T38" i="89"/>
  <c r="AO38" i="89"/>
  <c r="AP38" i="89"/>
  <c r="AQ38" i="89"/>
  <c r="S39" i="89"/>
  <c r="T39" i="89"/>
  <c r="AO39" i="89"/>
  <c r="AP39" i="89"/>
  <c r="AQ39" i="89"/>
  <c r="S40" i="89"/>
  <c r="T40" i="89"/>
  <c r="AO40" i="89"/>
  <c r="AP40" i="89"/>
  <c r="AQ40" i="89"/>
  <c r="S41" i="89"/>
  <c r="T41" i="89"/>
  <c r="AO41" i="89"/>
  <c r="AP41" i="89"/>
  <c r="AQ41" i="89"/>
  <c r="S42" i="89"/>
  <c r="T42" i="89"/>
  <c r="AO42" i="89"/>
  <c r="AP42" i="89"/>
  <c r="AQ42" i="89"/>
  <c r="S43" i="89"/>
  <c r="T43" i="89"/>
  <c r="AO43" i="89"/>
  <c r="AP43" i="89"/>
  <c r="AQ43" i="89"/>
  <c r="S44" i="89"/>
  <c r="T44" i="89"/>
  <c r="AO44" i="89"/>
  <c r="AP44" i="89"/>
  <c r="AQ44" i="89"/>
  <c r="S45" i="89"/>
  <c r="T45" i="89"/>
  <c r="AO45" i="89"/>
  <c r="AP45" i="89"/>
  <c r="AQ45" i="89"/>
  <c r="S46" i="89"/>
  <c r="T46" i="89"/>
  <c r="AO46" i="89"/>
  <c r="AP46" i="89"/>
  <c r="AQ46" i="89"/>
  <c r="S47" i="89"/>
  <c r="T47" i="89"/>
  <c r="AO47" i="89"/>
  <c r="AP47" i="89"/>
  <c r="AQ47" i="89"/>
  <c r="S48" i="89"/>
  <c r="T48" i="89"/>
  <c r="AO48" i="89"/>
  <c r="AP48" i="89"/>
  <c r="AQ48" i="89"/>
  <c r="S49" i="89"/>
  <c r="T49" i="89"/>
  <c r="AO49" i="89"/>
  <c r="AP49" i="89"/>
  <c r="AQ49" i="89"/>
  <c r="S50" i="89"/>
  <c r="T50" i="89"/>
  <c r="AO50" i="89"/>
  <c r="AP50" i="89"/>
  <c r="AQ50" i="89"/>
  <c r="S51" i="89"/>
  <c r="T51" i="89"/>
  <c r="AO51" i="89"/>
  <c r="AP51" i="89"/>
  <c r="AQ51" i="89"/>
  <c r="S52" i="89"/>
  <c r="T52" i="89"/>
  <c r="AO52" i="89"/>
  <c r="AP52" i="89"/>
  <c r="AQ52" i="89"/>
  <c r="S53" i="89"/>
  <c r="T53" i="89"/>
  <c r="AO53" i="89"/>
  <c r="AP53" i="89"/>
  <c r="AQ53" i="89"/>
  <c r="S54" i="89"/>
  <c r="T54" i="89"/>
  <c r="AO54" i="89"/>
  <c r="AP54" i="89"/>
  <c r="AQ54" i="89"/>
  <c r="S55" i="89"/>
  <c r="T55" i="89"/>
  <c r="AO55" i="89"/>
  <c r="AP55" i="89"/>
  <c r="AQ55" i="89"/>
  <c r="S56" i="89"/>
  <c r="T56" i="89"/>
  <c r="AO56" i="89"/>
  <c r="AP56" i="89"/>
  <c r="AQ56" i="89"/>
  <c r="S57" i="89"/>
  <c r="T57" i="89"/>
  <c r="AO57" i="89"/>
  <c r="AP57" i="89"/>
  <c r="AQ57" i="89"/>
  <c r="S58" i="89"/>
  <c r="T58" i="89"/>
  <c r="AO58" i="89"/>
  <c r="AP58" i="89"/>
  <c r="AQ58" i="89"/>
  <c r="S59" i="89"/>
  <c r="T59" i="89"/>
  <c r="AO59" i="89"/>
  <c r="AP59" i="89"/>
  <c r="AQ59" i="89"/>
  <c r="S60" i="89"/>
  <c r="T60" i="89"/>
  <c r="AO60" i="89"/>
  <c r="AP60" i="89"/>
  <c r="AQ60" i="89"/>
  <c r="S61" i="89"/>
  <c r="T61" i="89"/>
  <c r="AO61" i="89"/>
  <c r="AP61" i="89"/>
  <c r="AQ61" i="89"/>
  <c r="S62" i="89"/>
  <c r="T62" i="89"/>
  <c r="AO62" i="89"/>
  <c r="AP62" i="89"/>
  <c r="AQ62" i="89"/>
  <c r="S63" i="89"/>
  <c r="T63" i="89"/>
  <c r="AO63" i="89"/>
  <c r="AP63" i="89"/>
  <c r="AQ63" i="89"/>
  <c r="S64" i="89"/>
  <c r="T64" i="89"/>
  <c r="AO64" i="89"/>
  <c r="AP64" i="89"/>
  <c r="AQ64" i="89"/>
  <c r="S65" i="89"/>
  <c r="T65" i="89"/>
  <c r="AO65" i="89"/>
  <c r="AP65" i="89"/>
  <c r="AQ65" i="89"/>
  <c r="S66" i="89"/>
  <c r="T66" i="89"/>
  <c r="AO66" i="89"/>
  <c r="AP66" i="89"/>
  <c r="AQ66" i="89"/>
  <c r="S67" i="89"/>
  <c r="T67" i="89"/>
  <c r="AO67" i="89"/>
  <c r="AP67" i="89"/>
  <c r="AQ67" i="89"/>
  <c r="S68" i="89"/>
  <c r="T68" i="89"/>
  <c r="AO68" i="89"/>
  <c r="AP68" i="89"/>
  <c r="AQ68" i="89"/>
  <c r="S69" i="89"/>
  <c r="T69" i="89"/>
  <c r="AO69" i="89"/>
  <c r="AP69" i="89"/>
  <c r="AQ69" i="89"/>
  <c r="S70" i="89"/>
  <c r="T70" i="89"/>
  <c r="AO70" i="89"/>
  <c r="AP70" i="89"/>
  <c r="AQ70" i="89"/>
  <c r="S71" i="89"/>
  <c r="T71" i="89"/>
  <c r="AO71" i="89"/>
  <c r="AP71" i="89"/>
  <c r="AQ71" i="89"/>
  <c r="S72" i="89"/>
  <c r="T72" i="89"/>
  <c r="AO72" i="89"/>
  <c r="AP72" i="89"/>
  <c r="AQ72" i="89"/>
  <c r="S73" i="89"/>
  <c r="T73" i="89"/>
  <c r="AO73" i="89"/>
  <c r="AP73" i="89"/>
  <c r="AQ73" i="89"/>
  <c r="S74" i="89"/>
  <c r="T74" i="89"/>
  <c r="AO74" i="89"/>
  <c r="AP74" i="89"/>
  <c r="AQ74" i="89"/>
  <c r="S75" i="89"/>
  <c r="T75" i="89"/>
  <c r="AO75" i="89"/>
  <c r="AP75" i="89"/>
  <c r="AQ75" i="89"/>
  <c r="S76" i="89"/>
  <c r="T76" i="89"/>
  <c r="AO76" i="89"/>
  <c r="AP76" i="89"/>
  <c r="AQ76" i="89"/>
  <c r="S77" i="89"/>
  <c r="T77" i="89"/>
  <c r="AO77" i="89"/>
  <c r="AP77" i="89"/>
  <c r="AQ77" i="89"/>
  <c r="S78" i="89"/>
  <c r="T78" i="89"/>
  <c r="AO78" i="89"/>
  <c r="AP78" i="89"/>
  <c r="AQ78" i="89"/>
  <c r="S79" i="89"/>
  <c r="T79" i="89"/>
  <c r="AO79" i="89"/>
  <c r="AP79" i="89"/>
  <c r="AQ79" i="89"/>
  <c r="S80" i="89"/>
  <c r="T80" i="89"/>
  <c r="AO80" i="89"/>
  <c r="AP80" i="89"/>
  <c r="AQ80" i="89"/>
  <c r="S81" i="89"/>
  <c r="T81" i="89"/>
  <c r="AO81" i="89"/>
  <c r="AP81" i="89"/>
  <c r="AQ81" i="89"/>
  <c r="S82" i="89"/>
  <c r="T82" i="89"/>
  <c r="AO82" i="89"/>
  <c r="AP82" i="89"/>
  <c r="AQ82" i="89"/>
  <c r="S83" i="89"/>
  <c r="T83" i="89"/>
  <c r="AO83" i="89"/>
  <c r="AP83" i="89"/>
  <c r="AQ83" i="89"/>
  <c r="S84" i="89"/>
  <c r="T84" i="89"/>
  <c r="AO84" i="89"/>
  <c r="AP84" i="89"/>
  <c r="AQ84" i="89"/>
  <c r="S85" i="89"/>
  <c r="T85" i="89"/>
  <c r="AO85" i="89"/>
  <c r="AP85" i="89"/>
  <c r="AQ85" i="89"/>
  <c r="S86" i="89"/>
  <c r="T86" i="89"/>
  <c r="AO86" i="89"/>
  <c r="AP86" i="89"/>
  <c r="AQ86" i="89"/>
  <c r="S87" i="89"/>
  <c r="T87" i="89"/>
  <c r="AO87" i="89"/>
  <c r="AP87" i="89"/>
  <c r="AQ87" i="89"/>
  <c r="S88" i="89"/>
  <c r="T88" i="89"/>
  <c r="AO88" i="89"/>
  <c r="AP88" i="89"/>
  <c r="AQ88" i="89"/>
  <c r="S89" i="89"/>
  <c r="T89" i="89"/>
  <c r="AO89" i="89"/>
  <c r="AP89" i="89"/>
  <c r="AQ89" i="89"/>
  <c r="S90" i="89"/>
  <c r="T90" i="89"/>
  <c r="AO90" i="89"/>
  <c r="AP90" i="89"/>
  <c r="AQ90" i="89"/>
  <c r="S91" i="89"/>
  <c r="T91" i="89"/>
  <c r="AO91" i="89"/>
  <c r="AP91" i="89"/>
  <c r="AQ91" i="89"/>
  <c r="S92" i="89"/>
  <c r="T92" i="89"/>
  <c r="AO92" i="89"/>
  <c r="AP92" i="89"/>
  <c r="AQ92" i="89"/>
  <c r="S93" i="89"/>
  <c r="T93" i="89"/>
  <c r="AO93" i="89"/>
  <c r="AP93" i="89"/>
  <c r="AQ93" i="89"/>
  <c r="S94" i="89"/>
  <c r="T94" i="89"/>
  <c r="AO94" i="89"/>
  <c r="AP94" i="89"/>
  <c r="AQ94" i="89"/>
  <c r="S95" i="89"/>
  <c r="T95" i="89"/>
  <c r="AO95" i="89"/>
  <c r="AP95" i="89"/>
  <c r="AQ95" i="89"/>
  <c r="S96" i="89"/>
  <c r="T96" i="89"/>
  <c r="AO96" i="89"/>
  <c r="AP96" i="89"/>
  <c r="AQ96" i="89"/>
  <c r="S97" i="89"/>
  <c r="T97" i="89"/>
  <c r="AO97" i="89"/>
  <c r="AP97" i="89"/>
  <c r="AQ97" i="89"/>
  <c r="S98" i="89"/>
  <c r="T98" i="89"/>
  <c r="AO98" i="89"/>
  <c r="AP98" i="89"/>
  <c r="AQ98" i="89"/>
  <c r="S99" i="89"/>
  <c r="T99" i="89"/>
  <c r="AO99" i="89"/>
  <c r="AP99" i="89"/>
  <c r="AQ99" i="89"/>
  <c r="S100" i="89"/>
  <c r="T100" i="89"/>
  <c r="AO100" i="89"/>
  <c r="AP100" i="89"/>
  <c r="AQ100" i="89"/>
  <c r="S101" i="89"/>
  <c r="T101" i="89"/>
  <c r="AO101" i="89"/>
  <c r="AP101" i="89"/>
  <c r="AQ101" i="89"/>
  <c r="S102" i="89"/>
  <c r="T102" i="89"/>
  <c r="AO102" i="89"/>
  <c r="AP102" i="89"/>
  <c r="AQ102" i="89"/>
  <c r="S103" i="89"/>
  <c r="T103" i="89"/>
  <c r="AO103" i="89"/>
  <c r="AP103" i="89"/>
  <c r="AQ103" i="89"/>
  <c r="S104" i="89"/>
  <c r="T104" i="89"/>
  <c r="AO104" i="89"/>
  <c r="AP104" i="89"/>
  <c r="AQ104" i="89"/>
  <c r="S105" i="89"/>
  <c r="T105" i="89"/>
  <c r="AO105" i="89"/>
  <c r="AP105" i="89"/>
  <c r="AQ105" i="89"/>
  <c r="S106" i="89"/>
  <c r="T106" i="89"/>
  <c r="AO106" i="89"/>
  <c r="AP106" i="89"/>
  <c r="AQ106" i="89"/>
  <c r="S107" i="89"/>
  <c r="T107" i="89"/>
  <c r="AO107" i="89"/>
  <c r="AP107" i="89"/>
  <c r="AQ107" i="89"/>
  <c r="S108" i="89"/>
  <c r="T108" i="89"/>
  <c r="AO108" i="89"/>
  <c r="AP108" i="89"/>
  <c r="AQ108" i="89"/>
  <c r="S109" i="89"/>
  <c r="T109" i="89"/>
  <c r="AO109" i="89"/>
  <c r="AP109" i="89"/>
  <c r="AQ109" i="89"/>
  <c r="S110" i="89"/>
  <c r="T110" i="89"/>
  <c r="AO110" i="89"/>
  <c r="AP110" i="89"/>
  <c r="AQ110" i="89"/>
  <c r="S111" i="89"/>
  <c r="T111" i="89"/>
  <c r="AO111" i="89"/>
  <c r="AP111" i="89"/>
  <c r="AQ111" i="89"/>
  <c r="S112" i="89"/>
  <c r="T112" i="89"/>
  <c r="AO112" i="89"/>
  <c r="AP112" i="89"/>
  <c r="AQ112" i="89"/>
  <c r="S113" i="89"/>
  <c r="T113" i="89"/>
  <c r="AO113" i="89"/>
  <c r="AP113" i="89"/>
  <c r="AQ113" i="89"/>
  <c r="S114" i="89"/>
  <c r="T114" i="89"/>
  <c r="AO114" i="89"/>
  <c r="AP114" i="89"/>
  <c r="AQ114" i="89"/>
  <c r="S115" i="89"/>
  <c r="T115" i="89"/>
  <c r="AO115" i="89"/>
  <c r="AP115" i="89"/>
  <c r="AQ115" i="89"/>
  <c r="S116" i="89"/>
  <c r="T116" i="89"/>
  <c r="AO116" i="89"/>
  <c r="AP116" i="89"/>
  <c r="AQ116" i="89"/>
  <c r="S117" i="89"/>
  <c r="T117" i="89"/>
  <c r="AO117" i="89"/>
  <c r="AP117" i="89"/>
  <c r="AQ117" i="89"/>
  <c r="S118" i="89"/>
  <c r="T118" i="89"/>
  <c r="AO118" i="89"/>
  <c r="AP118" i="89"/>
  <c r="AQ118" i="89"/>
  <c r="S119" i="89"/>
  <c r="T119" i="89"/>
  <c r="AO119" i="89"/>
  <c r="AP119" i="89"/>
  <c r="AQ119" i="89"/>
  <c r="S120" i="89"/>
  <c r="T120" i="89"/>
  <c r="AO120" i="89"/>
  <c r="AP120" i="89"/>
  <c r="AQ120" i="89"/>
  <c r="S121" i="89"/>
  <c r="T121" i="89"/>
  <c r="AO121" i="89"/>
  <c r="AP121" i="89"/>
  <c r="AQ121" i="89"/>
  <c r="S122" i="89"/>
  <c r="T122" i="89"/>
  <c r="AO122" i="89"/>
  <c r="AP122" i="89"/>
  <c r="AQ122" i="89"/>
  <c r="S123" i="89"/>
  <c r="T123" i="89"/>
  <c r="AO123" i="89"/>
  <c r="AP123" i="89"/>
  <c r="AQ123" i="89"/>
  <c r="S124" i="89"/>
  <c r="T124" i="89"/>
  <c r="AO124" i="89"/>
  <c r="AP124" i="89"/>
  <c r="AQ124" i="89"/>
  <c r="S125" i="89"/>
  <c r="T125" i="89"/>
  <c r="AO125" i="89"/>
  <c r="AP125" i="89"/>
  <c r="AQ125" i="89"/>
  <c r="S126" i="89"/>
  <c r="T126" i="89"/>
  <c r="AO126" i="89"/>
  <c r="AP126" i="89"/>
  <c r="AQ126" i="89"/>
  <c r="S127" i="89"/>
  <c r="T127" i="89"/>
  <c r="AO127" i="89"/>
  <c r="AP127" i="89"/>
  <c r="AQ127" i="89"/>
  <c r="S128" i="89"/>
  <c r="T128" i="89"/>
  <c r="AO128" i="89"/>
  <c r="AP128" i="89"/>
  <c r="AQ128" i="89"/>
  <c r="S129" i="89"/>
  <c r="T129" i="89"/>
  <c r="AO129" i="89"/>
  <c r="AP129" i="89"/>
  <c r="AQ129" i="89"/>
  <c r="S130" i="89"/>
  <c r="T130" i="89"/>
  <c r="AO130" i="89"/>
  <c r="AP130" i="89"/>
  <c r="AQ130" i="89"/>
  <c r="S131" i="89"/>
  <c r="T131" i="89"/>
  <c r="AO131" i="89"/>
  <c r="AP131" i="89"/>
  <c r="AQ131" i="89"/>
  <c r="S132" i="89"/>
  <c r="T132" i="89"/>
  <c r="AO132" i="89"/>
  <c r="AP132" i="89"/>
  <c r="AQ132" i="89"/>
  <c r="S133" i="89"/>
  <c r="T133" i="89"/>
  <c r="AO133" i="89"/>
  <c r="AP133" i="89"/>
  <c r="AQ133" i="89"/>
  <c r="S134" i="89"/>
  <c r="T134" i="89"/>
  <c r="AO134" i="89"/>
  <c r="AP134" i="89"/>
  <c r="AQ134" i="89"/>
  <c r="S135" i="89"/>
  <c r="T135" i="89"/>
  <c r="AO135" i="89"/>
  <c r="AP135" i="89"/>
  <c r="AQ135" i="89"/>
  <c r="S136" i="89"/>
  <c r="T136" i="89"/>
  <c r="AO136" i="89"/>
  <c r="AP136" i="89"/>
  <c r="AQ136" i="89"/>
  <c r="S137" i="89"/>
  <c r="T137" i="89"/>
  <c r="AO137" i="89"/>
  <c r="AP137" i="89"/>
  <c r="AQ137" i="89"/>
  <c r="S138" i="89"/>
  <c r="T138" i="89"/>
  <c r="AO138" i="89"/>
  <c r="AP138" i="89"/>
  <c r="AQ138" i="89"/>
  <c r="S139" i="89"/>
  <c r="T139" i="89"/>
  <c r="AO139" i="89"/>
  <c r="AP139" i="89"/>
  <c r="AQ139" i="89"/>
  <c r="S140" i="89"/>
  <c r="T140" i="89"/>
  <c r="AO140" i="89"/>
  <c r="AP140" i="89"/>
  <c r="AQ140" i="89"/>
  <c r="S141" i="89"/>
  <c r="T141" i="89"/>
  <c r="AO141" i="89"/>
  <c r="AP141" i="89"/>
  <c r="AQ141" i="89"/>
  <c r="S142" i="89"/>
  <c r="T142" i="89"/>
  <c r="AO142" i="89"/>
  <c r="AP142" i="89"/>
  <c r="AQ142" i="89"/>
  <c r="S143" i="89"/>
  <c r="T143" i="89"/>
  <c r="AO143" i="89"/>
  <c r="AP143" i="89"/>
  <c r="AQ143" i="89"/>
  <c r="S144" i="89"/>
  <c r="T144" i="89"/>
  <c r="AO144" i="89"/>
  <c r="AP144" i="89"/>
  <c r="AQ144" i="89"/>
  <c r="S145" i="89"/>
  <c r="T145" i="89"/>
  <c r="AO145" i="89"/>
  <c r="AP145" i="89"/>
  <c r="AQ145" i="89"/>
  <c r="S146" i="89"/>
  <c r="T146" i="89"/>
  <c r="AO146" i="89"/>
  <c r="AP146" i="89"/>
  <c r="AQ146" i="89"/>
  <c r="S147" i="89"/>
  <c r="T147" i="89"/>
  <c r="AO147" i="89"/>
  <c r="AP147" i="89"/>
  <c r="AQ147" i="89"/>
  <c r="S148" i="89"/>
  <c r="T148" i="89"/>
  <c r="AO148" i="89"/>
  <c r="AP148" i="89"/>
  <c r="AQ148" i="89"/>
  <c r="S149" i="89"/>
  <c r="T149" i="89"/>
  <c r="AO149" i="89"/>
  <c r="AP149" i="89"/>
  <c r="AQ149" i="89"/>
  <c r="S150" i="89"/>
  <c r="T150" i="89"/>
  <c r="AO150" i="89"/>
  <c r="AP150" i="89"/>
  <c r="AQ150" i="89"/>
  <c r="S151" i="89"/>
  <c r="T151" i="89"/>
  <c r="AO151" i="89"/>
  <c r="AP151" i="89"/>
  <c r="AQ151" i="89"/>
  <c r="S152" i="89"/>
  <c r="T152" i="89"/>
  <c r="AO152" i="89"/>
  <c r="AP152" i="89"/>
  <c r="AQ152" i="89"/>
  <c r="S153" i="89"/>
  <c r="T153" i="89"/>
  <c r="AO153" i="89"/>
  <c r="AP153" i="89"/>
  <c r="AQ153" i="89"/>
  <c r="S154" i="89"/>
  <c r="T154" i="89"/>
  <c r="AO154" i="89"/>
  <c r="AP154" i="89"/>
  <c r="AQ154" i="89"/>
  <c r="S155" i="89"/>
  <c r="T155" i="89"/>
  <c r="AO155" i="89"/>
  <c r="AP155" i="89"/>
  <c r="AQ155" i="89"/>
  <c r="S156" i="89"/>
  <c r="T156" i="89"/>
  <c r="AO156" i="89"/>
  <c r="AP156" i="89"/>
  <c r="AQ156" i="89"/>
  <c r="S157" i="89"/>
  <c r="T157" i="89"/>
  <c r="AO157" i="89"/>
  <c r="AP157" i="89"/>
  <c r="AQ157" i="89"/>
  <c r="S158" i="89"/>
  <c r="T158" i="89"/>
  <c r="AO158" i="89"/>
  <c r="AP158" i="89"/>
  <c r="AQ158" i="89"/>
  <c r="S159" i="89"/>
  <c r="T159" i="89"/>
  <c r="AO159" i="89"/>
  <c r="AP159" i="89"/>
  <c r="AQ159" i="89"/>
  <c r="S160" i="89"/>
  <c r="T160" i="89"/>
  <c r="AO160" i="89"/>
  <c r="AP160" i="89"/>
  <c r="AQ160" i="89"/>
  <c r="S161" i="89"/>
  <c r="T161" i="89"/>
  <c r="AO161" i="89"/>
  <c r="AP161" i="89"/>
  <c r="AQ161" i="89"/>
  <c r="S162" i="89"/>
  <c r="T162" i="89"/>
  <c r="AO162" i="89"/>
  <c r="AP162" i="89"/>
  <c r="AQ162" i="89"/>
  <c r="S163" i="89"/>
  <c r="T163" i="89"/>
  <c r="AO163" i="89"/>
  <c r="AP163" i="89"/>
  <c r="AQ163" i="89"/>
  <c r="S164" i="89"/>
  <c r="T164" i="89"/>
  <c r="AO164" i="89"/>
  <c r="AP164" i="89"/>
  <c r="AQ164" i="89"/>
  <c r="S165" i="89"/>
  <c r="T165" i="89"/>
  <c r="AO165" i="89"/>
  <c r="AP165" i="89"/>
  <c r="AQ165" i="89"/>
  <c r="S166" i="89"/>
  <c r="T166" i="89"/>
  <c r="AO166" i="89"/>
  <c r="AP166" i="89"/>
  <c r="AQ166" i="89"/>
  <c r="S167" i="89"/>
  <c r="T167" i="89"/>
  <c r="AO167" i="89"/>
  <c r="AP167" i="89"/>
  <c r="AQ167" i="89"/>
  <c r="S168" i="89"/>
  <c r="T168" i="89"/>
  <c r="AO168" i="89"/>
  <c r="AP168" i="89"/>
  <c r="AQ168" i="89"/>
  <c r="S169" i="89"/>
  <c r="T169" i="89"/>
  <c r="AO169" i="89"/>
  <c r="AP169" i="89"/>
  <c r="AQ169" i="89"/>
  <c r="S170" i="89"/>
  <c r="T170" i="89"/>
  <c r="AO170" i="89"/>
  <c r="AP170" i="89"/>
  <c r="AQ170" i="89"/>
  <c r="S171" i="89"/>
  <c r="T171" i="89"/>
  <c r="AO171" i="89"/>
  <c r="AP171" i="89"/>
  <c r="AQ171" i="89"/>
  <c r="S172" i="89"/>
  <c r="T172" i="89"/>
  <c r="AO172" i="89"/>
  <c r="AP172" i="89"/>
  <c r="AQ172" i="89"/>
  <c r="S173" i="89"/>
  <c r="T173" i="89"/>
  <c r="AO173" i="89"/>
  <c r="AP173" i="89"/>
  <c r="AQ173" i="89"/>
  <c r="S174" i="89"/>
  <c r="T174" i="89"/>
  <c r="AO174" i="89"/>
  <c r="AP174" i="89"/>
  <c r="AQ174" i="89"/>
  <c r="S175" i="89"/>
  <c r="T175" i="89"/>
  <c r="AO175" i="89"/>
  <c r="AP175" i="89"/>
  <c r="AQ175" i="89"/>
  <c r="S176" i="89"/>
  <c r="T176" i="89"/>
  <c r="AO176" i="89"/>
  <c r="AP176" i="89"/>
  <c r="AQ176" i="89"/>
  <c r="S177" i="89"/>
  <c r="T177" i="89"/>
  <c r="AO177" i="89"/>
  <c r="AP177" i="89"/>
  <c r="AQ177" i="89"/>
  <c r="S178" i="89"/>
  <c r="T178" i="89"/>
  <c r="AO178" i="89"/>
  <c r="AP178" i="89"/>
  <c r="AQ178" i="89"/>
  <c r="S179" i="89"/>
  <c r="T179" i="89"/>
  <c r="AO179" i="89"/>
  <c r="AP179" i="89"/>
  <c r="AQ179" i="89"/>
  <c r="S180" i="89"/>
  <c r="T180" i="89"/>
  <c r="AO180" i="89"/>
  <c r="AP180" i="89"/>
  <c r="AQ180" i="89"/>
  <c r="S181" i="89"/>
  <c r="T181" i="89"/>
  <c r="AO181" i="89"/>
  <c r="AP181" i="89"/>
  <c r="AQ181" i="89"/>
  <c r="S182" i="89"/>
  <c r="T182" i="89"/>
  <c r="AO182" i="89"/>
  <c r="AP182" i="89"/>
  <c r="AQ182" i="89"/>
  <c r="S183" i="89"/>
  <c r="T183" i="89"/>
  <c r="AO183" i="89"/>
  <c r="AP183" i="89"/>
  <c r="AQ183" i="89"/>
  <c r="S184" i="89"/>
  <c r="T184" i="89"/>
  <c r="AO184" i="89"/>
  <c r="AP184" i="89"/>
  <c r="AQ184" i="89"/>
  <c r="S185" i="89"/>
  <c r="T185" i="89"/>
  <c r="AO185" i="89"/>
  <c r="AP185" i="89"/>
  <c r="AQ185" i="89"/>
  <c r="S186" i="89"/>
  <c r="T186" i="89"/>
  <c r="AO186" i="89"/>
  <c r="AP186" i="89"/>
  <c r="AQ186" i="89"/>
  <c r="S187" i="89"/>
  <c r="T187" i="89"/>
  <c r="AO187" i="89"/>
  <c r="AP187" i="89"/>
  <c r="AQ187" i="89"/>
  <c r="S188" i="89"/>
  <c r="T188" i="89"/>
  <c r="AO188" i="89"/>
  <c r="AP188" i="89"/>
  <c r="AQ188" i="89"/>
  <c r="S189" i="89"/>
  <c r="T189" i="89"/>
  <c r="AO189" i="89"/>
  <c r="AP189" i="89"/>
  <c r="AQ189" i="89"/>
  <c r="S190" i="89"/>
  <c r="T190" i="89"/>
  <c r="AO190" i="89"/>
  <c r="AP190" i="89"/>
  <c r="AQ190" i="89"/>
  <c r="S191" i="89"/>
  <c r="T191" i="89"/>
  <c r="AO191" i="89"/>
  <c r="AP191" i="89"/>
  <c r="AQ191" i="89"/>
  <c r="S192" i="89"/>
  <c r="T192" i="89"/>
  <c r="AO192" i="89"/>
  <c r="AP192" i="89"/>
  <c r="AQ192" i="89"/>
  <c r="S193" i="89"/>
  <c r="T193" i="89"/>
  <c r="AO193" i="89"/>
  <c r="AP193" i="89"/>
  <c r="AQ193" i="89"/>
  <c r="S194" i="89"/>
  <c r="T194" i="89"/>
  <c r="AO194" i="89"/>
  <c r="AP194" i="89"/>
  <c r="AQ194" i="89"/>
  <c r="S195" i="89"/>
  <c r="T195" i="89"/>
  <c r="AO195" i="89"/>
  <c r="AP195" i="89"/>
  <c r="AQ195" i="89"/>
  <c r="S196" i="89"/>
  <c r="T196" i="89"/>
  <c r="AO196" i="89"/>
  <c r="AP196" i="89"/>
  <c r="AQ196" i="89"/>
  <c r="S197" i="89"/>
  <c r="T197" i="89"/>
  <c r="AO197" i="89"/>
  <c r="AP197" i="89"/>
  <c r="AQ197" i="89"/>
  <c r="S198" i="89"/>
  <c r="T198" i="89"/>
  <c r="AO198" i="89"/>
  <c r="AP198" i="89"/>
  <c r="AQ198" i="89"/>
  <c r="S199" i="89"/>
  <c r="T199" i="89"/>
  <c r="AO199" i="89"/>
  <c r="AP199" i="89"/>
  <c r="AQ199" i="89"/>
  <c r="S200" i="89"/>
  <c r="T200" i="89"/>
  <c r="AO200" i="89"/>
  <c r="AP200" i="89"/>
  <c r="AQ200" i="89"/>
  <c r="S201" i="89"/>
  <c r="T201" i="89"/>
  <c r="AO201" i="89"/>
  <c r="AP201" i="89"/>
  <c r="AQ201" i="89"/>
  <c r="S202" i="89"/>
  <c r="T202" i="89"/>
  <c r="AO202" i="89"/>
  <c r="AP202" i="89"/>
  <c r="AQ202" i="89"/>
  <c r="S203" i="89"/>
  <c r="T203" i="89"/>
  <c r="AO203" i="89"/>
  <c r="AP203" i="89"/>
  <c r="AQ203" i="89"/>
  <c r="S204" i="89"/>
  <c r="T204" i="89"/>
  <c r="AO204" i="89"/>
  <c r="AP204" i="89"/>
  <c r="AQ204" i="89"/>
  <c r="S205" i="89"/>
  <c r="T205" i="89"/>
  <c r="AO205" i="89"/>
  <c r="AP205" i="89"/>
  <c r="AQ205" i="89"/>
  <c r="S206" i="89"/>
  <c r="T206" i="89"/>
  <c r="AO206" i="89"/>
  <c r="AP206" i="89"/>
  <c r="AQ206" i="89"/>
  <c r="S207" i="89"/>
  <c r="T207" i="89"/>
  <c r="AO207" i="89"/>
  <c r="AP207" i="89"/>
  <c r="AQ207" i="89"/>
  <c r="S208" i="89"/>
  <c r="T208" i="89"/>
  <c r="AO208" i="89"/>
  <c r="AP208" i="89"/>
  <c r="AQ208" i="89"/>
  <c r="S209" i="89"/>
  <c r="T209" i="89"/>
  <c r="AO209" i="89"/>
  <c r="AP209" i="89"/>
  <c r="AQ209" i="89"/>
  <c r="S210" i="89"/>
  <c r="T210" i="89"/>
  <c r="AO210" i="89"/>
  <c r="AP210" i="89"/>
  <c r="AQ210" i="89"/>
  <c r="S211" i="89"/>
  <c r="T211" i="89"/>
  <c r="AO211" i="89"/>
  <c r="AP211" i="89"/>
  <c r="AQ211" i="89"/>
  <c r="S212" i="89"/>
  <c r="T212" i="89"/>
  <c r="AO212" i="89"/>
  <c r="AP212" i="89"/>
  <c r="AQ212" i="89"/>
  <c r="S213" i="89"/>
  <c r="T213" i="89"/>
  <c r="AO213" i="89"/>
  <c r="AP213" i="89"/>
  <c r="AQ213" i="89"/>
  <c r="S214" i="89"/>
  <c r="T214" i="89"/>
  <c r="AO214" i="89"/>
  <c r="AP214" i="89"/>
  <c r="AQ214" i="89"/>
  <c r="S215" i="89"/>
  <c r="T215" i="89"/>
  <c r="AO215" i="89"/>
  <c r="AP215" i="89"/>
  <c r="AQ215" i="89"/>
  <c r="S216" i="89"/>
  <c r="T216" i="89"/>
  <c r="AO216" i="89"/>
  <c r="AP216" i="89"/>
  <c r="AQ216" i="89"/>
  <c r="S217" i="89"/>
  <c r="T217" i="89"/>
  <c r="AO217" i="89"/>
  <c r="AP217" i="89"/>
  <c r="AQ217" i="89"/>
  <c r="S218" i="89"/>
  <c r="T218" i="89"/>
  <c r="AO218" i="89"/>
  <c r="AP218" i="89"/>
  <c r="AQ218" i="89"/>
  <c r="S219" i="89"/>
  <c r="T219" i="89"/>
  <c r="AO219" i="89"/>
  <c r="AP219" i="89"/>
  <c r="AQ219" i="89"/>
  <c r="S220" i="89"/>
  <c r="T220" i="89"/>
  <c r="AO220" i="89"/>
  <c r="AP220" i="89"/>
  <c r="AQ220" i="89"/>
  <c r="S221" i="89"/>
  <c r="T221" i="89"/>
  <c r="AO221" i="89"/>
  <c r="AP221" i="89"/>
  <c r="AQ221" i="89"/>
  <c r="S222" i="89"/>
  <c r="T222" i="89"/>
  <c r="AO222" i="89"/>
  <c r="AP222" i="89"/>
  <c r="AQ222" i="89"/>
  <c r="S223" i="89"/>
  <c r="T223" i="89"/>
  <c r="AO223" i="89"/>
  <c r="AP223" i="89"/>
  <c r="AQ223" i="89"/>
  <c r="S224" i="89"/>
  <c r="T224" i="89"/>
  <c r="AO224" i="89"/>
  <c r="AP224" i="89"/>
  <c r="AQ224" i="89"/>
  <c r="S225" i="89"/>
  <c r="T225" i="89"/>
  <c r="AO225" i="89"/>
  <c r="AP225" i="89"/>
  <c r="AQ225" i="89"/>
  <c r="S226" i="89"/>
  <c r="T226" i="89"/>
  <c r="AO226" i="89"/>
  <c r="AP226" i="89"/>
  <c r="AQ226" i="89"/>
  <c r="S227" i="89"/>
  <c r="T227" i="89"/>
  <c r="AO227" i="89"/>
  <c r="AP227" i="89"/>
  <c r="AQ227" i="89"/>
  <c r="S228" i="89"/>
  <c r="T228" i="89"/>
  <c r="AO228" i="89"/>
  <c r="AP228" i="89"/>
  <c r="AQ228" i="89"/>
  <c r="S229" i="89"/>
  <c r="T229" i="89"/>
  <c r="AO229" i="89"/>
  <c r="AP229" i="89"/>
  <c r="AQ229" i="89"/>
  <c r="S230" i="89"/>
  <c r="T230" i="89"/>
  <c r="AO230" i="89"/>
  <c r="AP230" i="89"/>
  <c r="AQ230" i="89"/>
  <c r="S231" i="89"/>
  <c r="T231" i="89"/>
  <c r="AO231" i="89"/>
  <c r="AP231" i="89"/>
  <c r="AQ231" i="89"/>
  <c r="S232" i="89"/>
  <c r="T232" i="89"/>
  <c r="AO232" i="89"/>
  <c r="AP232" i="89"/>
  <c r="AQ232" i="89"/>
  <c r="S233" i="89"/>
  <c r="T233" i="89"/>
  <c r="AO233" i="89"/>
  <c r="AP233" i="89"/>
  <c r="AQ233" i="89"/>
  <c r="S234" i="89"/>
  <c r="T234" i="89"/>
  <c r="AO234" i="89"/>
  <c r="AP234" i="89"/>
  <c r="AQ234" i="89"/>
  <c r="S235" i="89"/>
  <c r="T235" i="89"/>
  <c r="AO235" i="89"/>
  <c r="AP235" i="89"/>
  <c r="AQ235" i="89"/>
  <c r="S236" i="89"/>
  <c r="T236" i="89"/>
  <c r="AO236" i="89"/>
  <c r="AP236" i="89"/>
  <c r="AQ236" i="89"/>
  <c r="S237" i="89"/>
  <c r="T237" i="89"/>
  <c r="AO237" i="89"/>
  <c r="AP237" i="89"/>
  <c r="AQ237" i="89"/>
  <c r="S238" i="89"/>
  <c r="T238" i="89"/>
  <c r="AO238" i="89"/>
  <c r="AP238" i="89"/>
  <c r="AQ238" i="89"/>
  <c r="S239" i="89"/>
  <c r="T239" i="89"/>
  <c r="AO239" i="89"/>
  <c r="AP239" i="89"/>
  <c r="AQ239" i="89"/>
  <c r="S240" i="89"/>
  <c r="T240" i="89"/>
  <c r="AO240" i="89"/>
  <c r="AP240" i="89"/>
  <c r="AQ240" i="89"/>
  <c r="S241" i="89"/>
  <c r="T241" i="89"/>
  <c r="AO241" i="89"/>
  <c r="AP241" i="89"/>
  <c r="AQ241" i="89"/>
  <c r="S242" i="89"/>
  <c r="T242" i="89"/>
  <c r="AO242" i="89"/>
  <c r="AP242" i="89"/>
  <c r="AQ242" i="89"/>
  <c r="S243" i="89"/>
  <c r="T243" i="89"/>
  <c r="AO243" i="89"/>
  <c r="AP243" i="89"/>
  <c r="AQ243" i="89"/>
  <c r="S244" i="89"/>
  <c r="T244" i="89"/>
  <c r="AO244" i="89"/>
  <c r="AP244" i="89"/>
  <c r="AQ244" i="89"/>
  <c r="S245" i="89"/>
  <c r="T245" i="89"/>
  <c r="AO245" i="89"/>
  <c r="AP245" i="89"/>
  <c r="AQ245" i="89"/>
  <c r="S246" i="89"/>
  <c r="T246" i="89"/>
  <c r="AO246" i="89"/>
  <c r="AP246" i="89"/>
  <c r="AQ246" i="89"/>
  <c r="S247" i="89"/>
  <c r="T247" i="89"/>
  <c r="AO247" i="89"/>
  <c r="AP247" i="89"/>
  <c r="AQ247" i="89"/>
  <c r="S248" i="89"/>
  <c r="T248" i="89"/>
  <c r="AO248" i="89"/>
  <c r="AP248" i="89"/>
  <c r="AQ248" i="89"/>
  <c r="S249" i="89"/>
  <c r="T249" i="89"/>
  <c r="AO249" i="89"/>
  <c r="AP249" i="89"/>
  <c r="AQ249" i="89"/>
  <c r="S250" i="89"/>
  <c r="T250" i="89"/>
  <c r="AO250" i="89"/>
  <c r="AP250" i="89"/>
  <c r="AQ250" i="89"/>
  <c r="S251" i="89"/>
  <c r="T251" i="89"/>
  <c r="AO251" i="89"/>
  <c r="AP251" i="89"/>
  <c r="AQ251" i="89"/>
  <c r="S252" i="89"/>
  <c r="T252" i="89"/>
  <c r="AO252" i="89"/>
  <c r="AP252" i="89"/>
  <c r="AQ252" i="89"/>
  <c r="S253" i="89"/>
  <c r="T253" i="89"/>
  <c r="AO253" i="89"/>
  <c r="AP253" i="89"/>
  <c r="AQ253" i="89"/>
  <c r="S254" i="89"/>
  <c r="T254" i="89"/>
  <c r="AO254" i="89"/>
  <c r="AP254" i="89"/>
  <c r="AQ254" i="89"/>
  <c r="S255" i="89"/>
  <c r="T255" i="89"/>
  <c r="AO255" i="89"/>
  <c r="AP255" i="89"/>
  <c r="AQ255" i="89"/>
  <c r="S256" i="89"/>
  <c r="T256" i="89"/>
  <c r="AO256" i="89"/>
  <c r="AP256" i="89"/>
  <c r="AQ256" i="89"/>
  <c r="S257" i="89"/>
  <c r="T257" i="89"/>
  <c r="AO257" i="89"/>
  <c r="AP257" i="89"/>
  <c r="AQ257" i="89"/>
  <c r="S258" i="89"/>
  <c r="T258" i="89"/>
  <c r="AO258" i="89"/>
  <c r="AP258" i="89"/>
  <c r="AQ258" i="89"/>
  <c r="S259" i="89"/>
  <c r="T259" i="89"/>
  <c r="AO259" i="89"/>
  <c r="AP259" i="89"/>
  <c r="AQ259" i="89"/>
  <c r="S260" i="89"/>
  <c r="T260" i="89"/>
  <c r="AO260" i="89"/>
  <c r="AP260" i="89"/>
  <c r="AQ260" i="89"/>
  <c r="S261" i="89"/>
  <c r="T261" i="89"/>
  <c r="AO261" i="89"/>
  <c r="AP261" i="89"/>
  <c r="AQ261" i="89"/>
  <c r="S262" i="89"/>
  <c r="T262" i="89"/>
  <c r="AO262" i="89"/>
  <c r="AP262" i="89"/>
  <c r="AQ262" i="89"/>
  <c r="S263" i="89"/>
  <c r="T263" i="89"/>
  <c r="AO263" i="89"/>
  <c r="AP263" i="89"/>
  <c r="AQ263" i="89"/>
  <c r="S264" i="89"/>
  <c r="T264" i="89"/>
  <c r="AO264" i="89"/>
  <c r="AP264" i="89"/>
  <c r="AQ264" i="89"/>
  <c r="S265" i="89"/>
  <c r="T265" i="89"/>
  <c r="AO265" i="89"/>
  <c r="AP265" i="89"/>
  <c r="AQ265" i="89"/>
  <c r="S266" i="89"/>
  <c r="T266" i="89"/>
  <c r="AO266" i="89"/>
  <c r="AP266" i="89"/>
  <c r="AQ266" i="89"/>
  <c r="S267" i="89"/>
  <c r="T267" i="89"/>
  <c r="AO267" i="89"/>
  <c r="AP267" i="89"/>
  <c r="AQ267" i="89"/>
  <c r="S268" i="89"/>
  <c r="T268" i="89"/>
  <c r="AO268" i="89"/>
  <c r="AP268" i="89"/>
  <c r="AQ268" i="89"/>
  <c r="S269" i="89"/>
  <c r="T269" i="89"/>
  <c r="AO269" i="89"/>
  <c r="AP269" i="89"/>
  <c r="AQ269" i="89"/>
  <c r="S270" i="89"/>
  <c r="T270" i="89"/>
  <c r="AO270" i="89"/>
  <c r="AP270" i="89"/>
  <c r="AQ270" i="89"/>
  <c r="S271" i="89"/>
  <c r="T271" i="89"/>
  <c r="AO271" i="89"/>
  <c r="AP271" i="89"/>
  <c r="AQ271" i="89"/>
  <c r="S272" i="89"/>
  <c r="T272" i="89"/>
  <c r="AO272" i="89"/>
  <c r="AP272" i="89"/>
  <c r="AQ272" i="89"/>
  <c r="S273" i="89"/>
  <c r="T273" i="89"/>
  <c r="AO273" i="89"/>
  <c r="AP273" i="89"/>
  <c r="AQ273" i="89"/>
  <c r="S274" i="89"/>
  <c r="T274" i="89"/>
  <c r="AO274" i="89"/>
  <c r="AP274" i="89"/>
  <c r="AQ274" i="89"/>
  <c r="S275" i="89"/>
  <c r="T275" i="89"/>
  <c r="AO275" i="89"/>
  <c r="AP275" i="89"/>
  <c r="AQ275" i="89"/>
  <c r="S276" i="89"/>
  <c r="T276" i="89"/>
  <c r="AO276" i="89"/>
  <c r="AP276" i="89"/>
  <c r="AQ276" i="89"/>
  <c r="S277" i="89"/>
  <c r="T277" i="89"/>
  <c r="AO277" i="89"/>
  <c r="AP277" i="89"/>
  <c r="AQ277" i="89"/>
  <c r="S278" i="89"/>
  <c r="T278" i="89"/>
  <c r="AO278" i="89"/>
  <c r="AP278" i="89"/>
  <c r="AQ278" i="89"/>
  <c r="S279" i="89"/>
  <c r="T279" i="89"/>
  <c r="AO279" i="89"/>
  <c r="AP279" i="89"/>
  <c r="AQ279" i="89"/>
  <c r="S280" i="89"/>
  <c r="T280" i="89"/>
  <c r="AO280" i="89"/>
  <c r="AP280" i="89"/>
  <c r="AQ280" i="89"/>
  <c r="S281" i="89"/>
  <c r="T281" i="89"/>
  <c r="AO281" i="89"/>
  <c r="AP281" i="89"/>
  <c r="AQ281" i="89"/>
  <c r="S282" i="89"/>
  <c r="T282" i="89"/>
  <c r="AO282" i="89"/>
  <c r="AP282" i="89"/>
  <c r="AQ282" i="89"/>
  <c r="S283" i="89"/>
  <c r="T283" i="89"/>
  <c r="AO283" i="89"/>
  <c r="AP283" i="89"/>
  <c r="AQ283" i="89"/>
  <c r="S284" i="89"/>
  <c r="T284" i="89"/>
  <c r="AO284" i="89"/>
  <c r="AP284" i="89"/>
  <c r="AQ284" i="89"/>
  <c r="S285" i="89"/>
  <c r="T285" i="89"/>
  <c r="AO285" i="89"/>
  <c r="AP285" i="89"/>
  <c r="AQ285" i="89"/>
  <c r="S286" i="89"/>
  <c r="T286" i="89"/>
  <c r="AO286" i="89"/>
  <c r="AP286" i="89"/>
  <c r="AQ286" i="89"/>
  <c r="S287" i="89"/>
  <c r="T287" i="89"/>
  <c r="AO287" i="89"/>
  <c r="AP287" i="89"/>
  <c r="AQ287" i="89"/>
  <c r="S288" i="89"/>
  <c r="T288" i="89"/>
  <c r="AO288" i="89"/>
  <c r="AP288" i="89"/>
  <c r="AQ288" i="89"/>
  <c r="S289" i="89"/>
  <c r="T289" i="89"/>
  <c r="AO289" i="89"/>
  <c r="AP289" i="89"/>
  <c r="AQ289" i="89"/>
  <c r="S290" i="89"/>
  <c r="T290" i="89"/>
  <c r="AO290" i="89"/>
  <c r="AP290" i="89"/>
  <c r="AQ290" i="89"/>
  <c r="S291" i="89"/>
  <c r="T291" i="89"/>
  <c r="AO291" i="89"/>
  <c r="AP291" i="89"/>
  <c r="AQ291" i="89"/>
  <c r="S292" i="89"/>
  <c r="T292" i="89"/>
  <c r="AO292" i="89"/>
  <c r="AP292" i="89"/>
  <c r="AQ292" i="89"/>
  <c r="S293" i="89"/>
  <c r="T293" i="89"/>
  <c r="AO293" i="89"/>
  <c r="AP293" i="89"/>
  <c r="AQ293" i="89"/>
  <c r="S294" i="89"/>
  <c r="T294" i="89"/>
  <c r="AO294" i="89"/>
  <c r="AP294" i="89"/>
  <c r="AQ294" i="89"/>
  <c r="S295" i="89"/>
  <c r="T295" i="89"/>
  <c r="AO295" i="89"/>
  <c r="AP295" i="89"/>
  <c r="AQ295" i="89"/>
  <c r="S296" i="89"/>
  <c r="T296" i="89"/>
  <c r="AO296" i="89"/>
  <c r="AP296" i="89"/>
  <c r="AQ296" i="89"/>
  <c r="S297" i="89"/>
  <c r="T297" i="89"/>
  <c r="AO297" i="89"/>
  <c r="AP297" i="89"/>
  <c r="AQ297" i="89"/>
  <c r="S298" i="89"/>
  <c r="T298" i="89"/>
  <c r="AO298" i="89"/>
  <c r="AP298" i="89"/>
  <c r="AQ298" i="89"/>
  <c r="S299" i="89"/>
  <c r="T299" i="89"/>
  <c r="AO299" i="89"/>
  <c r="AP299" i="89"/>
  <c r="AQ299" i="89"/>
  <c r="S300" i="89"/>
  <c r="T300" i="89"/>
  <c r="AO300" i="89"/>
  <c r="AP300" i="89"/>
  <c r="AQ300" i="89"/>
  <c r="S301" i="89"/>
  <c r="T301" i="89"/>
  <c r="AO301" i="89"/>
  <c r="AP301" i="89"/>
  <c r="AQ301" i="89"/>
  <c r="S302" i="89"/>
  <c r="T302" i="89"/>
  <c r="AO302" i="89"/>
  <c r="AP302" i="89"/>
  <c r="AQ302" i="89"/>
  <c r="S303" i="89"/>
  <c r="T303" i="89"/>
  <c r="AO303" i="89"/>
  <c r="AP303" i="89"/>
  <c r="AQ303" i="89"/>
  <c r="S304" i="89"/>
  <c r="T304" i="89"/>
  <c r="AO304" i="89"/>
  <c r="AP304" i="89"/>
  <c r="AQ304" i="89"/>
  <c r="S305" i="89"/>
  <c r="T305" i="89"/>
  <c r="AO305" i="89"/>
  <c r="AP305" i="89"/>
  <c r="AQ305" i="89"/>
  <c r="S306" i="89"/>
  <c r="T306" i="89"/>
  <c r="AO306" i="89"/>
  <c r="AP306" i="89"/>
  <c r="AQ306" i="89"/>
  <c r="S307" i="89"/>
  <c r="T307" i="89"/>
  <c r="AO307" i="89"/>
  <c r="AP307" i="89"/>
  <c r="AQ307" i="89"/>
  <c r="S308" i="89"/>
  <c r="T308" i="89"/>
  <c r="AO308" i="89"/>
  <c r="AP308" i="89"/>
  <c r="AQ308" i="89"/>
  <c r="S309" i="89"/>
  <c r="T309" i="89"/>
  <c r="AO309" i="89"/>
  <c r="AP309" i="89"/>
  <c r="AQ309" i="89"/>
  <c r="S310" i="89"/>
  <c r="T310" i="89"/>
  <c r="AO310" i="89"/>
  <c r="AP310" i="89"/>
  <c r="AQ310" i="89"/>
  <c r="S311" i="89"/>
  <c r="T311" i="89"/>
  <c r="AO311" i="89"/>
  <c r="AP311" i="89"/>
  <c r="AQ311" i="89"/>
  <c r="S312" i="89"/>
  <c r="T312" i="89"/>
  <c r="AO312" i="89"/>
  <c r="AP312" i="89"/>
  <c r="AQ312" i="89"/>
  <c r="S313" i="89"/>
  <c r="T313" i="89"/>
  <c r="AO313" i="89"/>
  <c r="AP313" i="89"/>
  <c r="AQ313" i="89"/>
  <c r="S314" i="89"/>
  <c r="T314" i="89"/>
  <c r="AO314" i="89"/>
  <c r="AP314" i="89"/>
  <c r="AQ314" i="89"/>
  <c r="S315" i="89"/>
  <c r="T315" i="89"/>
  <c r="AO315" i="89"/>
  <c r="AP315" i="89"/>
  <c r="AQ315" i="89"/>
  <c r="S316" i="89"/>
  <c r="T316" i="89"/>
  <c r="AO316" i="89"/>
  <c r="AP316" i="89"/>
  <c r="AQ316" i="89"/>
  <c r="S317" i="89"/>
  <c r="T317" i="89"/>
  <c r="AO317" i="89"/>
  <c r="AP317" i="89"/>
  <c r="AQ317" i="89"/>
  <c r="S318" i="89"/>
  <c r="T318" i="89"/>
  <c r="AO318" i="89"/>
  <c r="AP318" i="89"/>
  <c r="AQ318" i="89"/>
  <c r="S319" i="89"/>
  <c r="T319" i="89"/>
  <c r="AO319" i="89"/>
  <c r="AP319" i="89"/>
  <c r="AQ319" i="89"/>
  <c r="S320" i="89"/>
  <c r="T320" i="89"/>
  <c r="AO320" i="89"/>
  <c r="AP320" i="89"/>
  <c r="AQ320" i="89"/>
  <c r="S321" i="89"/>
  <c r="T321" i="89"/>
  <c r="AO321" i="89"/>
  <c r="AP321" i="89"/>
  <c r="AQ321" i="89"/>
  <c r="S322" i="89"/>
  <c r="T322" i="89"/>
  <c r="AO322" i="89"/>
  <c r="AP322" i="89"/>
  <c r="AQ322" i="89"/>
  <c r="S323" i="89"/>
  <c r="T323" i="89"/>
  <c r="AO323" i="89"/>
  <c r="AP323" i="89"/>
  <c r="AQ323" i="89"/>
  <c r="S324" i="89"/>
  <c r="T324" i="89"/>
  <c r="AO324" i="89"/>
  <c r="AP324" i="89"/>
  <c r="AQ324" i="89"/>
  <c r="S325" i="89"/>
  <c r="T325" i="89"/>
  <c r="AO325" i="89"/>
  <c r="AP325" i="89"/>
  <c r="AQ325" i="89"/>
  <c r="S326" i="89"/>
  <c r="T326" i="89"/>
  <c r="AO326" i="89"/>
  <c r="AP326" i="89"/>
  <c r="AQ326" i="89"/>
  <c r="S327" i="89"/>
  <c r="T327" i="89"/>
  <c r="AO327" i="89"/>
  <c r="AP327" i="89"/>
  <c r="AQ327" i="89"/>
  <c r="S328" i="89"/>
  <c r="T328" i="89"/>
  <c r="AO328" i="89"/>
  <c r="AP328" i="89"/>
  <c r="AQ328" i="89"/>
  <c r="S329" i="89"/>
  <c r="T329" i="89"/>
  <c r="AO329" i="89"/>
  <c r="AP329" i="89"/>
  <c r="AQ329" i="89"/>
  <c r="S330" i="89"/>
  <c r="T330" i="89"/>
  <c r="AO330" i="89"/>
  <c r="AP330" i="89"/>
  <c r="AQ330" i="89"/>
  <c r="S331" i="89"/>
  <c r="T331" i="89"/>
  <c r="AO331" i="89"/>
  <c r="AP331" i="89"/>
  <c r="AQ331" i="89"/>
  <c r="S332" i="89"/>
  <c r="T332" i="89"/>
  <c r="AO332" i="89"/>
  <c r="AP332" i="89"/>
  <c r="AQ332" i="89"/>
  <c r="S333" i="89"/>
  <c r="T333" i="89"/>
  <c r="AO333" i="89"/>
  <c r="AP333" i="89"/>
  <c r="AQ333" i="89"/>
  <c r="S334" i="89"/>
  <c r="T334" i="89"/>
  <c r="AO334" i="89"/>
  <c r="AP334" i="89"/>
  <c r="AQ334" i="89"/>
  <c r="S335" i="89"/>
  <c r="T335" i="89"/>
  <c r="AO335" i="89"/>
  <c r="AP335" i="89"/>
  <c r="AQ335" i="89"/>
  <c r="S336" i="89"/>
  <c r="T336" i="89"/>
  <c r="AO336" i="89"/>
  <c r="AP336" i="89"/>
  <c r="AQ336" i="89"/>
  <c r="S337" i="89"/>
  <c r="T337" i="89"/>
  <c r="AO337" i="89"/>
  <c r="AP337" i="89"/>
  <c r="AQ337" i="89"/>
  <c r="S338" i="89"/>
  <c r="T338" i="89"/>
  <c r="AO338" i="89"/>
  <c r="AP338" i="89"/>
  <c r="AQ338" i="89"/>
  <c r="S339" i="89"/>
  <c r="T339" i="89"/>
  <c r="AO339" i="89"/>
  <c r="AP339" i="89"/>
  <c r="AQ339" i="89"/>
  <c r="S340" i="89"/>
  <c r="T340" i="89"/>
  <c r="AO340" i="89"/>
  <c r="AP340" i="89"/>
  <c r="AQ340" i="89"/>
  <c r="S341" i="89"/>
  <c r="T341" i="89"/>
  <c r="AO341" i="89"/>
  <c r="AP341" i="89"/>
  <c r="AQ341" i="89"/>
  <c r="S342" i="89"/>
  <c r="T342" i="89"/>
  <c r="AO342" i="89"/>
  <c r="AP342" i="89"/>
  <c r="AQ342" i="89"/>
  <c r="S343" i="89"/>
  <c r="T343" i="89"/>
  <c r="AO343" i="89"/>
  <c r="AP343" i="89"/>
  <c r="AQ343" i="89"/>
  <c r="S344" i="89"/>
  <c r="T344" i="89"/>
  <c r="AO344" i="89"/>
  <c r="AP344" i="89"/>
  <c r="AQ344" i="89"/>
  <c r="S345" i="89"/>
  <c r="T345" i="89"/>
  <c r="AO345" i="89"/>
  <c r="AP345" i="89"/>
  <c r="AQ345" i="89"/>
  <c r="S346" i="89"/>
  <c r="T346" i="89"/>
  <c r="AO346" i="89"/>
  <c r="AP346" i="89"/>
  <c r="AQ346" i="89"/>
  <c r="S347" i="89"/>
  <c r="T347" i="89"/>
  <c r="AO347" i="89"/>
  <c r="AP347" i="89"/>
  <c r="AQ347" i="89"/>
  <c r="S348" i="89"/>
  <c r="T348" i="89"/>
  <c r="AO348" i="89"/>
  <c r="AP348" i="89"/>
  <c r="AQ348" i="89"/>
  <c r="S349" i="89"/>
  <c r="T349" i="89"/>
  <c r="AO349" i="89"/>
  <c r="AP349" i="89"/>
  <c r="AQ349" i="89"/>
  <c r="S350" i="89"/>
  <c r="T350" i="89"/>
  <c r="AO350" i="89"/>
  <c r="AP350" i="89"/>
  <c r="AQ350" i="89"/>
  <c r="S351" i="89"/>
  <c r="T351" i="89"/>
  <c r="AO351" i="89"/>
  <c r="AP351" i="89"/>
  <c r="AQ351" i="89"/>
  <c r="S352" i="89"/>
  <c r="T352" i="89"/>
  <c r="AO352" i="89"/>
  <c r="AP352" i="89"/>
  <c r="AQ352" i="89"/>
  <c r="S353" i="89"/>
  <c r="T353" i="89"/>
  <c r="AO353" i="89"/>
  <c r="AP353" i="89"/>
  <c r="AQ353" i="89"/>
  <c r="S354" i="89"/>
  <c r="T354" i="89"/>
  <c r="AO354" i="89"/>
  <c r="AP354" i="89"/>
  <c r="AQ354" i="89"/>
  <c r="S355" i="89"/>
  <c r="T355" i="89"/>
  <c r="AO355" i="89"/>
  <c r="AP355" i="89"/>
  <c r="AQ355" i="89"/>
  <c r="S356" i="89"/>
  <c r="T356" i="89"/>
  <c r="AO356" i="89"/>
  <c r="AP356" i="89"/>
  <c r="AQ356" i="89"/>
  <c r="S357" i="89"/>
  <c r="T357" i="89"/>
  <c r="AO357" i="89"/>
  <c r="AP357" i="89"/>
  <c r="AQ357" i="89"/>
  <c r="S358" i="89"/>
  <c r="T358" i="89"/>
  <c r="AO358" i="89"/>
  <c r="AP358" i="89"/>
  <c r="AQ358" i="89"/>
  <c r="S359" i="89"/>
  <c r="T359" i="89"/>
  <c r="AO359" i="89"/>
  <c r="AP359" i="89"/>
  <c r="AQ359" i="89"/>
  <c r="S360" i="89"/>
  <c r="T360" i="89"/>
  <c r="AO360" i="89"/>
  <c r="AP360" i="89"/>
  <c r="AQ360" i="89"/>
  <c r="S361" i="89"/>
  <c r="T361" i="89"/>
  <c r="AO361" i="89"/>
  <c r="AP361" i="89"/>
  <c r="AQ361" i="89"/>
  <c r="S362" i="89"/>
  <c r="T362" i="89"/>
  <c r="AO362" i="89"/>
  <c r="AP362" i="89"/>
  <c r="AQ362" i="89"/>
  <c r="S363" i="89"/>
  <c r="T363" i="89"/>
  <c r="AO363" i="89"/>
  <c r="AP363" i="89"/>
  <c r="AQ363" i="89"/>
  <c r="S364" i="89"/>
  <c r="T364" i="89"/>
  <c r="AO364" i="89"/>
  <c r="AP364" i="89"/>
  <c r="AQ364" i="89"/>
  <c r="S365" i="89"/>
  <c r="T365" i="89"/>
  <c r="AO365" i="89"/>
  <c r="AP365" i="89"/>
  <c r="AQ365" i="89"/>
  <c r="S366" i="89"/>
  <c r="T366" i="89"/>
  <c r="AO366" i="89"/>
  <c r="AP366" i="89"/>
  <c r="AQ366" i="89"/>
  <c r="S367" i="89"/>
  <c r="T367" i="89"/>
  <c r="AO367" i="89"/>
  <c r="AP367" i="89"/>
  <c r="AQ367" i="89"/>
  <c r="S368" i="89"/>
  <c r="T368" i="89"/>
  <c r="AO368" i="89"/>
  <c r="AP368" i="89"/>
  <c r="AQ368" i="89"/>
  <c r="S369" i="89"/>
  <c r="T369" i="89"/>
  <c r="AO369" i="89"/>
  <c r="AP369" i="89"/>
  <c r="AQ369" i="89"/>
  <c r="S370" i="89"/>
  <c r="T370" i="89"/>
  <c r="AO370" i="89"/>
  <c r="AP370" i="89"/>
  <c r="AQ370" i="89"/>
  <c r="S371" i="89"/>
  <c r="T371" i="89"/>
  <c r="AO371" i="89"/>
  <c r="AP371" i="89"/>
  <c r="AQ371" i="89"/>
  <c r="S372" i="89"/>
  <c r="T372" i="89"/>
  <c r="AO372" i="89"/>
  <c r="AP372" i="89"/>
  <c r="AQ372" i="89"/>
  <c r="S373" i="89"/>
  <c r="T373" i="89"/>
  <c r="AO373" i="89"/>
  <c r="AP373" i="89"/>
  <c r="AQ373" i="89"/>
  <c r="S374" i="89"/>
  <c r="T374" i="89"/>
  <c r="AO374" i="89"/>
  <c r="AP374" i="89"/>
  <c r="AQ374" i="89"/>
  <c r="S375" i="89"/>
  <c r="T375" i="89"/>
  <c r="AO375" i="89"/>
  <c r="AP375" i="89"/>
  <c r="AQ375" i="89"/>
  <c r="S376" i="89"/>
  <c r="T376" i="89"/>
  <c r="AO376" i="89"/>
  <c r="AP376" i="89"/>
  <c r="AQ376" i="89"/>
  <c r="S377" i="89"/>
  <c r="T377" i="89"/>
  <c r="AO377" i="89"/>
  <c r="AP377" i="89"/>
  <c r="AQ377" i="89"/>
  <c r="S378" i="89"/>
  <c r="T378" i="89"/>
  <c r="AO378" i="89"/>
  <c r="AP378" i="89"/>
  <c r="AQ378" i="89"/>
  <c r="S379" i="89"/>
  <c r="T379" i="89"/>
  <c r="AO379" i="89"/>
  <c r="AP379" i="89"/>
  <c r="AQ379" i="89"/>
  <c r="S380" i="89"/>
  <c r="T380" i="89"/>
  <c r="AO380" i="89"/>
  <c r="AP380" i="89"/>
  <c r="AQ380" i="89"/>
  <c r="S381" i="89"/>
  <c r="T381" i="89"/>
  <c r="AO381" i="89"/>
  <c r="AP381" i="89"/>
  <c r="AQ381" i="89"/>
  <c r="S382" i="89"/>
  <c r="T382" i="89"/>
  <c r="AO382" i="89"/>
  <c r="AP382" i="89"/>
  <c r="AQ382" i="89"/>
  <c r="S383" i="89"/>
  <c r="T383" i="89"/>
  <c r="AO383" i="89"/>
  <c r="AP383" i="89"/>
  <c r="AQ383" i="89"/>
  <c r="S384" i="89"/>
  <c r="T384" i="89"/>
  <c r="AO384" i="89"/>
  <c r="AP384" i="89"/>
  <c r="AQ384" i="89"/>
  <c r="S385" i="89"/>
  <c r="T385" i="89"/>
  <c r="AO385" i="89"/>
  <c r="AP385" i="89"/>
  <c r="AQ385" i="89"/>
  <c r="S386" i="89"/>
  <c r="T386" i="89"/>
  <c r="AO386" i="89"/>
  <c r="AP386" i="89"/>
  <c r="AQ386" i="89"/>
  <c r="S387" i="89"/>
  <c r="T387" i="89"/>
  <c r="AO387" i="89"/>
  <c r="AP387" i="89"/>
  <c r="AQ387" i="89"/>
  <c r="S388" i="89"/>
  <c r="T388" i="89"/>
  <c r="AO388" i="89"/>
  <c r="AP388" i="89"/>
  <c r="AQ388" i="89"/>
  <c r="S389" i="89"/>
  <c r="T389" i="89"/>
  <c r="AO389" i="89"/>
  <c r="AP389" i="89"/>
  <c r="AQ389" i="89"/>
  <c r="S390" i="89"/>
  <c r="T390" i="89"/>
  <c r="AO390" i="89"/>
  <c r="AP390" i="89"/>
  <c r="AQ390" i="89"/>
  <c r="S391" i="89"/>
  <c r="T391" i="89"/>
  <c r="AO391" i="89"/>
  <c r="AP391" i="89"/>
  <c r="AQ391" i="89"/>
  <c r="S392" i="89"/>
  <c r="T392" i="89"/>
  <c r="AO392" i="89"/>
  <c r="AP392" i="89"/>
  <c r="AQ392" i="89"/>
  <c r="S393" i="89"/>
  <c r="T393" i="89"/>
  <c r="AO393" i="89"/>
  <c r="AP393" i="89"/>
  <c r="AQ393" i="89"/>
  <c r="S394" i="89"/>
  <c r="T394" i="89"/>
  <c r="AO394" i="89"/>
  <c r="AP394" i="89"/>
  <c r="AQ394" i="89"/>
  <c r="S395" i="89"/>
  <c r="T395" i="89"/>
  <c r="AO395" i="89"/>
  <c r="AP395" i="89"/>
  <c r="AQ395" i="89"/>
  <c r="S396" i="89"/>
  <c r="T396" i="89"/>
  <c r="AO396" i="89"/>
  <c r="AP396" i="89"/>
  <c r="AQ396" i="89"/>
  <c r="S397" i="89"/>
  <c r="T397" i="89"/>
  <c r="AO397" i="89"/>
  <c r="AP397" i="89"/>
  <c r="AQ397" i="89"/>
  <c r="S398" i="89"/>
  <c r="T398" i="89"/>
  <c r="AO398" i="89"/>
  <c r="AP398" i="89"/>
  <c r="AQ398" i="89"/>
  <c r="S399" i="89"/>
  <c r="T399" i="89"/>
  <c r="AO399" i="89"/>
  <c r="AP399" i="89"/>
  <c r="AQ399" i="89"/>
  <c r="S400" i="89"/>
  <c r="T400" i="89"/>
  <c r="AO400" i="89"/>
  <c r="AP400" i="89"/>
  <c r="AQ400" i="89"/>
  <c r="S401" i="89"/>
  <c r="T401" i="89"/>
  <c r="AO401" i="89"/>
  <c r="AP401" i="89"/>
  <c r="AQ401" i="89"/>
  <c r="S402" i="89"/>
  <c r="T402" i="89"/>
  <c r="AO402" i="89"/>
  <c r="AP402" i="89"/>
  <c r="AQ402" i="89"/>
  <c r="S403" i="89"/>
  <c r="T403" i="89"/>
  <c r="AO403" i="89"/>
  <c r="AP403" i="89"/>
  <c r="AQ403" i="89"/>
  <c r="S404" i="89"/>
  <c r="T404" i="89"/>
  <c r="AO404" i="89"/>
  <c r="AP404" i="89"/>
  <c r="AQ404" i="89"/>
  <c r="S405" i="89"/>
  <c r="T405" i="89"/>
  <c r="AO405" i="89"/>
  <c r="AP405" i="89"/>
  <c r="AQ405" i="89"/>
  <c r="S406" i="89"/>
  <c r="T406" i="89"/>
  <c r="AO406" i="89"/>
  <c r="AP406" i="89"/>
  <c r="AQ406" i="89"/>
  <c r="S407" i="89"/>
  <c r="T407" i="89"/>
  <c r="AO407" i="89"/>
  <c r="AP407" i="89"/>
  <c r="AQ407" i="89"/>
  <c r="S408" i="89"/>
  <c r="T408" i="89"/>
  <c r="AO408" i="89"/>
  <c r="AP408" i="89"/>
  <c r="AQ408" i="89"/>
  <c r="S409" i="89"/>
  <c r="T409" i="89"/>
  <c r="AO409" i="89"/>
  <c r="AP409" i="89"/>
  <c r="AQ409" i="89"/>
  <c r="S410" i="89"/>
  <c r="T410" i="89"/>
  <c r="AO410" i="89"/>
  <c r="AP410" i="89"/>
  <c r="AQ410" i="89"/>
  <c r="S411" i="89"/>
  <c r="T411" i="89"/>
  <c r="AO411" i="89"/>
  <c r="AP411" i="89"/>
  <c r="AQ411" i="89"/>
  <c r="S412" i="89"/>
  <c r="T412" i="89"/>
  <c r="AO412" i="89"/>
  <c r="AP412" i="89"/>
  <c r="AQ412" i="89"/>
  <c r="S413" i="89"/>
  <c r="T413" i="89"/>
  <c r="AO413" i="89"/>
  <c r="AP413" i="89"/>
  <c r="AQ413" i="89"/>
  <c r="S414" i="89"/>
  <c r="T414" i="89"/>
  <c r="AO414" i="89"/>
  <c r="AP414" i="89"/>
  <c r="AQ414" i="89"/>
  <c r="S415" i="89"/>
  <c r="T415" i="89"/>
  <c r="AO415" i="89"/>
  <c r="AP415" i="89"/>
  <c r="AQ415" i="89"/>
  <c r="S416" i="89"/>
  <c r="T416" i="89"/>
  <c r="AO416" i="89"/>
  <c r="AP416" i="89"/>
  <c r="AQ416" i="89"/>
  <c r="S417" i="89"/>
  <c r="T417" i="89"/>
  <c r="AO417" i="89"/>
  <c r="AP417" i="89"/>
  <c r="AQ417" i="89"/>
  <c r="S418" i="89"/>
  <c r="T418" i="89"/>
  <c r="AO418" i="89"/>
  <c r="AP418" i="89"/>
  <c r="AQ418" i="89"/>
  <c r="S419" i="89"/>
  <c r="T419" i="89"/>
  <c r="AO419" i="89"/>
  <c r="AP419" i="89"/>
  <c r="AQ419" i="89"/>
  <c r="S420" i="89"/>
  <c r="T420" i="89"/>
  <c r="AO420" i="89"/>
  <c r="AP420" i="89"/>
  <c r="AQ420" i="89"/>
  <c r="S421" i="89"/>
  <c r="T421" i="89"/>
  <c r="AO421" i="89"/>
  <c r="AP421" i="89"/>
  <c r="AQ421" i="89"/>
  <c r="S422" i="89"/>
  <c r="T422" i="89"/>
  <c r="AO422" i="89"/>
  <c r="AP422" i="89"/>
  <c r="AQ422" i="89"/>
  <c r="S423" i="89"/>
  <c r="T423" i="89"/>
  <c r="AO423" i="89"/>
  <c r="AP423" i="89"/>
  <c r="AQ423" i="89"/>
  <c r="S424" i="89"/>
  <c r="T424" i="89"/>
  <c r="AO424" i="89"/>
  <c r="AP424" i="89"/>
  <c r="AQ424" i="89"/>
  <c r="S425" i="89"/>
  <c r="T425" i="89"/>
  <c r="AO425" i="89"/>
  <c r="AP425" i="89"/>
  <c r="AQ425" i="89"/>
  <c r="S426" i="89"/>
  <c r="T426" i="89"/>
  <c r="AO426" i="89"/>
  <c r="AP426" i="89"/>
  <c r="AQ426" i="89"/>
  <c r="S427" i="89"/>
  <c r="T427" i="89"/>
  <c r="AO427" i="89"/>
  <c r="AP427" i="89"/>
  <c r="AQ427" i="89"/>
  <c r="S428" i="89"/>
  <c r="T428" i="89"/>
  <c r="AO428" i="89"/>
  <c r="AP428" i="89"/>
  <c r="AQ428" i="89"/>
  <c r="S429" i="89"/>
  <c r="T429" i="89"/>
  <c r="AO429" i="89"/>
  <c r="AP429" i="89"/>
  <c r="AQ429" i="89"/>
  <c r="S430" i="89"/>
  <c r="T430" i="89"/>
  <c r="AO430" i="89"/>
  <c r="AP430" i="89"/>
  <c r="AQ430" i="89"/>
  <c r="S431" i="89"/>
  <c r="T431" i="89"/>
  <c r="AO431" i="89"/>
  <c r="AP431" i="89"/>
  <c r="AQ431" i="89"/>
  <c r="S432" i="89"/>
  <c r="T432" i="89"/>
  <c r="AO432" i="89"/>
  <c r="AP432" i="89"/>
  <c r="AQ432" i="89"/>
  <c r="S433" i="89"/>
  <c r="T433" i="89"/>
  <c r="AO433" i="89"/>
  <c r="AP433" i="89"/>
  <c r="AQ433" i="89"/>
  <c r="S434" i="89"/>
  <c r="T434" i="89"/>
  <c r="AO434" i="89"/>
  <c r="AP434" i="89"/>
  <c r="AQ434" i="89"/>
  <c r="S435" i="89"/>
  <c r="T435" i="89"/>
  <c r="AO435" i="89"/>
  <c r="AP435" i="89"/>
  <c r="AQ435" i="89"/>
  <c r="S436" i="89"/>
  <c r="T436" i="89"/>
  <c r="AO436" i="89"/>
  <c r="AP436" i="89"/>
  <c r="AQ436" i="89"/>
  <c r="S437" i="89"/>
  <c r="T437" i="89"/>
  <c r="AO437" i="89"/>
  <c r="AP437" i="89"/>
  <c r="AQ437" i="89"/>
  <c r="S438" i="89"/>
  <c r="T438" i="89"/>
  <c r="AO438" i="89"/>
  <c r="AP438" i="89"/>
  <c r="AQ438" i="89"/>
  <c r="S439" i="89"/>
  <c r="T439" i="89"/>
  <c r="AO439" i="89"/>
  <c r="AP439" i="89"/>
  <c r="AQ439" i="89"/>
  <c r="S440" i="89"/>
  <c r="T440" i="89"/>
  <c r="AO440" i="89"/>
  <c r="AP440" i="89"/>
  <c r="AQ440" i="89"/>
  <c r="S441" i="89"/>
  <c r="T441" i="89"/>
  <c r="AO441" i="89"/>
  <c r="AP441" i="89"/>
  <c r="AQ441" i="89"/>
  <c r="S442" i="89"/>
  <c r="T442" i="89"/>
  <c r="AO442" i="89"/>
  <c r="AP442" i="89"/>
  <c r="AQ442" i="89"/>
  <c r="S443" i="89"/>
  <c r="T443" i="89"/>
  <c r="AO443" i="89"/>
  <c r="AP443" i="89"/>
  <c r="AQ443" i="89"/>
  <c r="S444" i="89"/>
  <c r="T444" i="89"/>
  <c r="AO444" i="89"/>
  <c r="AP444" i="89"/>
  <c r="AQ444" i="89"/>
  <c r="S445" i="89"/>
  <c r="T445" i="89"/>
  <c r="AO445" i="89"/>
  <c r="AP445" i="89"/>
  <c r="AQ445" i="89"/>
  <c r="S446" i="89"/>
  <c r="T446" i="89"/>
  <c r="AO446" i="89"/>
  <c r="AP446" i="89"/>
  <c r="AQ446" i="89"/>
  <c r="S447" i="89"/>
  <c r="T447" i="89"/>
  <c r="AO447" i="89"/>
  <c r="AP447" i="89"/>
  <c r="AQ447" i="89"/>
  <c r="S448" i="89"/>
  <c r="T448" i="89"/>
  <c r="AO448" i="89"/>
  <c r="AP448" i="89"/>
  <c r="AQ448" i="89"/>
  <c r="S449" i="89"/>
  <c r="T449" i="89"/>
  <c r="AO449" i="89"/>
  <c r="AP449" i="89"/>
  <c r="AQ449" i="89"/>
  <c r="S450" i="89"/>
  <c r="T450" i="89"/>
  <c r="AO450" i="89"/>
  <c r="AP450" i="89"/>
  <c r="AQ450" i="89"/>
  <c r="S451" i="89"/>
  <c r="T451" i="89"/>
  <c r="AO451" i="89"/>
  <c r="AP451" i="89"/>
  <c r="AQ451" i="89"/>
  <c r="S452" i="89"/>
  <c r="T452" i="89"/>
  <c r="AO452" i="89"/>
  <c r="AP452" i="89"/>
  <c r="AQ452" i="89"/>
  <c r="S453" i="89"/>
  <c r="T453" i="89"/>
  <c r="AO453" i="89"/>
  <c r="AP453" i="89"/>
  <c r="AQ453" i="89"/>
  <c r="S454" i="89"/>
  <c r="T454" i="89"/>
  <c r="AO454" i="89"/>
  <c r="AP454" i="89"/>
  <c r="AQ454" i="89"/>
  <c r="S455" i="89"/>
  <c r="T455" i="89"/>
  <c r="AO455" i="89"/>
  <c r="AP455" i="89"/>
  <c r="AQ455" i="89"/>
  <c r="S456" i="89"/>
  <c r="T456" i="89"/>
  <c r="AO456" i="89"/>
  <c r="AP456" i="89"/>
  <c r="AQ456" i="89"/>
  <c r="S457" i="89"/>
  <c r="T457" i="89"/>
  <c r="AO457" i="89"/>
  <c r="AP457" i="89"/>
  <c r="AQ457" i="89"/>
  <c r="S458" i="89"/>
  <c r="T458" i="89"/>
  <c r="AO458" i="89"/>
  <c r="AP458" i="89"/>
  <c r="AQ458" i="89"/>
  <c r="S459" i="89"/>
  <c r="T459" i="89"/>
  <c r="AO459" i="89"/>
  <c r="AP459" i="89"/>
  <c r="AQ459" i="89"/>
  <c r="S460" i="89"/>
  <c r="T460" i="89"/>
  <c r="AO460" i="89"/>
  <c r="AP460" i="89"/>
  <c r="AQ460" i="89"/>
  <c r="S461" i="89"/>
  <c r="T461" i="89"/>
  <c r="AO461" i="89"/>
  <c r="AP461" i="89"/>
  <c r="AQ461" i="89"/>
  <c r="S462" i="89"/>
  <c r="T462" i="89"/>
  <c r="AO462" i="89"/>
  <c r="AP462" i="89"/>
  <c r="AQ462" i="89"/>
  <c r="S463" i="89"/>
  <c r="T463" i="89"/>
  <c r="AO463" i="89"/>
  <c r="AP463" i="89"/>
  <c r="AQ463" i="89"/>
  <c r="S464" i="89"/>
  <c r="T464" i="89"/>
  <c r="AO464" i="89"/>
  <c r="AP464" i="89"/>
  <c r="AQ464" i="89"/>
  <c r="S465" i="89"/>
  <c r="T465" i="89"/>
  <c r="AO465" i="89"/>
  <c r="AP465" i="89"/>
  <c r="AQ465" i="89"/>
  <c r="S466" i="89"/>
  <c r="T466" i="89"/>
  <c r="AO466" i="89"/>
  <c r="AP466" i="89"/>
  <c r="AQ466" i="89"/>
  <c r="S467" i="89"/>
  <c r="T467" i="89"/>
  <c r="AO467" i="89"/>
  <c r="AP467" i="89"/>
  <c r="AQ467" i="89"/>
  <c r="S468" i="89"/>
  <c r="T468" i="89"/>
  <c r="AO468" i="89"/>
  <c r="AP468" i="89"/>
  <c r="AQ468" i="89"/>
  <c r="S469" i="89"/>
  <c r="T469" i="89"/>
  <c r="AO469" i="89"/>
  <c r="AP469" i="89"/>
  <c r="AQ469" i="89"/>
  <c r="S470" i="89"/>
  <c r="T470" i="89"/>
  <c r="AO470" i="89"/>
  <c r="AP470" i="89"/>
  <c r="AQ470" i="89"/>
  <c r="S471" i="89"/>
  <c r="T471" i="89"/>
  <c r="AO471" i="89"/>
  <c r="AP471" i="89"/>
  <c r="AQ471" i="89"/>
  <c r="S472" i="89"/>
  <c r="T472" i="89"/>
  <c r="AO472" i="89"/>
  <c r="AP472" i="89"/>
  <c r="AQ472" i="89"/>
  <c r="S473" i="89"/>
  <c r="T473" i="89"/>
  <c r="AO473" i="89"/>
  <c r="AP473" i="89"/>
  <c r="AQ473" i="89"/>
  <c r="S474" i="89"/>
  <c r="T474" i="89"/>
  <c r="AO474" i="89"/>
  <c r="AP474" i="89"/>
  <c r="AQ474" i="89"/>
  <c r="S475" i="89"/>
  <c r="T475" i="89"/>
  <c r="AO475" i="89"/>
  <c r="AP475" i="89"/>
  <c r="AQ475" i="89"/>
  <c r="S476" i="89"/>
  <c r="T476" i="89"/>
  <c r="AO476" i="89"/>
  <c r="AP476" i="89"/>
  <c r="AQ476" i="89"/>
  <c r="S477" i="89"/>
  <c r="T477" i="89"/>
  <c r="AO477" i="89"/>
  <c r="AP477" i="89"/>
  <c r="AQ477" i="89"/>
  <c r="S478" i="89"/>
  <c r="T478" i="89"/>
  <c r="AO478" i="89"/>
  <c r="AP478" i="89"/>
  <c r="AQ478" i="89"/>
  <c r="S479" i="89"/>
  <c r="T479" i="89"/>
  <c r="AO479" i="89"/>
  <c r="AP479" i="89"/>
  <c r="AQ479" i="89"/>
  <c r="S480" i="89"/>
  <c r="T480" i="89"/>
  <c r="AO480" i="89"/>
  <c r="AP480" i="89"/>
  <c r="AQ480" i="89"/>
  <c r="S481" i="89"/>
  <c r="T481" i="89"/>
  <c r="AO481" i="89"/>
  <c r="AP481" i="89"/>
  <c r="AQ481" i="89"/>
  <c r="S482" i="89"/>
  <c r="T482" i="89"/>
  <c r="AO482" i="89"/>
  <c r="AP482" i="89"/>
  <c r="AQ482" i="89"/>
  <c r="S483" i="89"/>
  <c r="T483" i="89"/>
  <c r="AO483" i="89"/>
  <c r="AP483" i="89"/>
  <c r="AQ483" i="89"/>
  <c r="S484" i="89"/>
  <c r="T484" i="89"/>
  <c r="AO484" i="89"/>
  <c r="AP484" i="89"/>
  <c r="AQ484" i="89"/>
  <c r="S485" i="89"/>
  <c r="T485" i="89"/>
  <c r="AO485" i="89"/>
  <c r="AP485" i="89"/>
  <c r="AQ485" i="89"/>
  <c r="S486" i="89"/>
  <c r="T486" i="89"/>
  <c r="AO486" i="89"/>
  <c r="AP486" i="89"/>
  <c r="AQ486" i="89"/>
  <c r="S487" i="89"/>
  <c r="T487" i="89"/>
  <c r="AO487" i="89"/>
  <c r="AP487" i="89"/>
  <c r="AQ487" i="89"/>
  <c r="S488" i="89"/>
  <c r="T488" i="89"/>
  <c r="AO488" i="89"/>
  <c r="AP488" i="89"/>
  <c r="AQ488" i="89"/>
  <c r="S489" i="89"/>
  <c r="T489" i="89"/>
  <c r="AO489" i="89"/>
  <c r="AP489" i="89"/>
  <c r="AQ489" i="89"/>
  <c r="S490" i="89"/>
  <c r="T490" i="89"/>
  <c r="AO490" i="89"/>
  <c r="AP490" i="89"/>
  <c r="AQ490" i="89"/>
  <c r="S491" i="89"/>
  <c r="T491" i="89"/>
  <c r="AO491" i="89"/>
  <c r="AP491" i="89"/>
  <c r="AQ491" i="89"/>
  <c r="S492" i="89"/>
  <c r="T492" i="89"/>
  <c r="AO492" i="89"/>
  <c r="AP492" i="89"/>
  <c r="AQ492" i="89"/>
  <c r="S493" i="89"/>
  <c r="T493" i="89"/>
  <c r="AO493" i="89"/>
  <c r="AP493" i="89"/>
  <c r="AQ493" i="89"/>
  <c r="S494" i="89"/>
  <c r="T494" i="89"/>
  <c r="AO494" i="89"/>
  <c r="AP494" i="89"/>
  <c r="AQ494" i="89"/>
  <c r="S495" i="89"/>
  <c r="T495" i="89"/>
  <c r="AO495" i="89"/>
  <c r="AP495" i="89"/>
  <c r="AQ495" i="89"/>
  <c r="S496" i="89"/>
  <c r="T496" i="89"/>
  <c r="AO496" i="89"/>
  <c r="AP496" i="89"/>
  <c r="AQ496" i="89"/>
  <c r="S497" i="89"/>
  <c r="T497" i="89"/>
  <c r="AO497" i="89"/>
  <c r="AP497" i="89"/>
  <c r="AQ497" i="89"/>
  <c r="S498" i="89"/>
  <c r="T498" i="89"/>
  <c r="AO498" i="89"/>
  <c r="AP498" i="89"/>
  <c r="AQ498" i="89"/>
  <c r="S499" i="89"/>
  <c r="T499" i="89"/>
  <c r="AO499" i="89"/>
  <c r="AP499" i="89"/>
  <c r="AQ499" i="89"/>
  <c r="S500" i="89"/>
  <c r="T500" i="89"/>
  <c r="AO500" i="89"/>
  <c r="AP500" i="89"/>
  <c r="AQ500" i="89"/>
  <c r="S501" i="89"/>
  <c r="T501" i="89"/>
  <c r="AO501" i="89"/>
  <c r="AP501" i="89"/>
  <c r="AQ501" i="89"/>
  <c r="S502" i="89"/>
  <c r="T502" i="89"/>
  <c r="AO502" i="89"/>
  <c r="AP502" i="89"/>
  <c r="AQ502" i="89"/>
  <c r="S503" i="89"/>
  <c r="T503" i="89"/>
  <c r="AO503" i="89"/>
  <c r="AP503" i="89"/>
  <c r="AQ503" i="89"/>
  <c r="S504" i="89"/>
  <c r="T504" i="89"/>
  <c r="AO504" i="89"/>
  <c r="AP504" i="89"/>
  <c r="AQ504" i="89"/>
  <c r="S505" i="89"/>
  <c r="T505" i="89"/>
  <c r="AO505" i="89"/>
  <c r="AP505" i="89"/>
  <c r="AQ505" i="89"/>
  <c r="A242" i="84"/>
  <c r="P242" i="84" s="1"/>
  <c r="A241" i="84"/>
  <c r="P241" i="84" s="1"/>
  <c r="A261" i="84"/>
  <c r="A260" i="84"/>
  <c r="C260" i="84" s="1"/>
  <c r="A259" i="84"/>
  <c r="A258" i="84"/>
  <c r="A257" i="84"/>
  <c r="A256" i="84"/>
  <c r="C256" i="84" s="1"/>
  <c r="A255" i="84"/>
  <c r="A254" i="84"/>
  <c r="A253" i="84"/>
  <c r="A252" i="84"/>
  <c r="C252" i="84" s="1"/>
  <c r="A251" i="84"/>
  <c r="A250" i="84"/>
  <c r="A249" i="84"/>
  <c r="A248" i="84"/>
  <c r="A247" i="84"/>
  <c r="A246" i="84"/>
  <c r="A245" i="84"/>
  <c r="A244" i="84"/>
  <c r="C244" i="84" s="1"/>
  <c r="A243" i="84"/>
  <c r="K241" i="84" l="1"/>
  <c r="C241" i="84"/>
  <c r="C242" i="84"/>
  <c r="K242" i="84"/>
  <c r="I241" i="84"/>
  <c r="I242" i="84"/>
  <c r="B241" i="84"/>
  <c r="J241" i="84"/>
  <c r="A324" i="84" s="1"/>
  <c r="B242" i="84"/>
  <c r="J242" i="84"/>
  <c r="D241" i="84"/>
  <c r="L241" i="84"/>
  <c r="D242" i="84"/>
  <c r="L242" i="84"/>
  <c r="E241" i="84"/>
  <c r="M241" i="84"/>
  <c r="E242" i="84"/>
  <c r="M242" i="84"/>
  <c r="F241" i="84"/>
  <c r="N241" i="84"/>
  <c r="F242" i="84"/>
  <c r="N242" i="84"/>
  <c r="G241" i="84"/>
  <c r="O241" i="84"/>
  <c r="G242" i="84"/>
  <c r="O242" i="84"/>
  <c r="H241" i="84"/>
  <c r="H242" i="84"/>
  <c r="P258" i="84"/>
  <c r="H258" i="84"/>
  <c r="O258" i="84"/>
  <c r="G258" i="84"/>
  <c r="N258" i="84"/>
  <c r="F258" i="84"/>
  <c r="M258" i="84"/>
  <c r="E258" i="84"/>
  <c r="L258" i="84"/>
  <c r="D258" i="84"/>
  <c r="J258" i="84"/>
  <c r="B258" i="84"/>
  <c r="K258" i="84"/>
  <c r="I258" i="84"/>
  <c r="C258" i="84"/>
  <c r="P246" i="84"/>
  <c r="H246" i="84"/>
  <c r="O246" i="84"/>
  <c r="G246" i="84"/>
  <c r="N246" i="84"/>
  <c r="F246" i="84"/>
  <c r="M246" i="84"/>
  <c r="E246" i="84"/>
  <c r="L246" i="84"/>
  <c r="D246" i="84"/>
  <c r="J246" i="84"/>
  <c r="A329" i="84" s="1"/>
  <c r="B246" i="84"/>
  <c r="K246" i="84"/>
  <c r="I246" i="84"/>
  <c r="C246" i="84"/>
  <c r="P252" i="84"/>
  <c r="H252" i="84"/>
  <c r="O252" i="84"/>
  <c r="G252" i="84"/>
  <c r="N252" i="84"/>
  <c r="F252" i="84"/>
  <c r="M252" i="84"/>
  <c r="E252" i="84"/>
  <c r="L252" i="84"/>
  <c r="A129" i="85" s="1"/>
  <c r="K129" i="85" s="1"/>
  <c r="D252" i="84"/>
  <c r="J252" i="84"/>
  <c r="B252" i="84"/>
  <c r="K252" i="84"/>
  <c r="I252" i="84"/>
  <c r="P248" i="84"/>
  <c r="H248" i="84"/>
  <c r="O248" i="84"/>
  <c r="G248" i="84"/>
  <c r="N248" i="84"/>
  <c r="F248" i="84"/>
  <c r="M248" i="84"/>
  <c r="E248" i="84"/>
  <c r="L248" i="84"/>
  <c r="D248" i="84"/>
  <c r="J248" i="84"/>
  <c r="A331" i="84" s="1"/>
  <c r="B248" i="84"/>
  <c r="K248" i="84"/>
  <c r="I248" i="84"/>
  <c r="C248" i="84"/>
  <c r="P254" i="84"/>
  <c r="H254" i="84"/>
  <c r="O254" i="84"/>
  <c r="G254" i="84"/>
  <c r="N254" i="84"/>
  <c r="F254" i="84"/>
  <c r="M254" i="84"/>
  <c r="E254" i="84"/>
  <c r="L254" i="84"/>
  <c r="D254" i="84"/>
  <c r="J254" i="84"/>
  <c r="B254" i="84"/>
  <c r="K254" i="84"/>
  <c r="I254" i="84"/>
  <c r="P244" i="84"/>
  <c r="H244" i="84"/>
  <c r="O244" i="84"/>
  <c r="G244" i="84"/>
  <c r="N244" i="84"/>
  <c r="F244" i="84"/>
  <c r="M244" i="84"/>
  <c r="E244" i="84"/>
  <c r="L244" i="84"/>
  <c r="D244" i="84"/>
  <c r="J244" i="84"/>
  <c r="A327" i="84" s="1"/>
  <c r="B244" i="84"/>
  <c r="K244" i="84"/>
  <c r="I244" i="84"/>
  <c r="C254" i="84"/>
  <c r="P260" i="84"/>
  <c r="H260" i="84"/>
  <c r="O260" i="84"/>
  <c r="G260" i="84"/>
  <c r="N260" i="84"/>
  <c r="F260" i="84"/>
  <c r="M260" i="84"/>
  <c r="E260" i="84"/>
  <c r="L260" i="84"/>
  <c r="D260" i="84"/>
  <c r="J260" i="84"/>
  <c r="B260" i="84"/>
  <c r="K260" i="84"/>
  <c r="I260" i="84"/>
  <c r="P250" i="84"/>
  <c r="H250" i="84"/>
  <c r="O250" i="84"/>
  <c r="G250" i="84"/>
  <c r="N250" i="84"/>
  <c r="F250" i="84"/>
  <c r="M250" i="84"/>
  <c r="E250" i="84"/>
  <c r="L250" i="84"/>
  <c r="A127" i="85" s="1"/>
  <c r="K127" i="85" s="1"/>
  <c r="D250" i="84"/>
  <c r="J250" i="84"/>
  <c r="B250" i="84"/>
  <c r="K250" i="84"/>
  <c r="I250" i="84"/>
  <c r="C250" i="84"/>
  <c r="P256" i="84"/>
  <c r="H256" i="84"/>
  <c r="O256" i="84"/>
  <c r="G256" i="84"/>
  <c r="N256" i="84"/>
  <c r="F256" i="84"/>
  <c r="M256" i="84"/>
  <c r="E256" i="84"/>
  <c r="L256" i="84"/>
  <c r="D256" i="84"/>
  <c r="J256" i="84"/>
  <c r="B256" i="84"/>
  <c r="K256" i="84"/>
  <c r="I256" i="84"/>
  <c r="P243" i="84"/>
  <c r="H243" i="84"/>
  <c r="O243" i="84"/>
  <c r="G243" i="84"/>
  <c r="N243" i="84"/>
  <c r="F243" i="84"/>
  <c r="M243" i="84"/>
  <c r="E243" i="84"/>
  <c r="L243" i="84"/>
  <c r="D243" i="84"/>
  <c r="J243" i="84"/>
  <c r="B243" i="84"/>
  <c r="P245" i="84"/>
  <c r="H245" i="84"/>
  <c r="O245" i="84"/>
  <c r="G245" i="84"/>
  <c r="N245" i="84"/>
  <c r="F245" i="84"/>
  <c r="M245" i="84"/>
  <c r="E245" i="84"/>
  <c r="L245" i="84"/>
  <c r="D245" i="84"/>
  <c r="J245" i="84"/>
  <c r="A328" i="84" s="1"/>
  <c r="B245" i="84"/>
  <c r="P247" i="84"/>
  <c r="H247" i="84"/>
  <c r="O247" i="84"/>
  <c r="G247" i="84"/>
  <c r="N247" i="84"/>
  <c r="F247" i="84"/>
  <c r="M247" i="84"/>
  <c r="E247" i="84"/>
  <c r="L247" i="84"/>
  <c r="D247" i="84"/>
  <c r="J247" i="84"/>
  <c r="A330" i="84" s="1"/>
  <c r="B247" i="84"/>
  <c r="P249" i="84"/>
  <c r="H249" i="84"/>
  <c r="O249" i="84"/>
  <c r="G249" i="84"/>
  <c r="N249" i="84"/>
  <c r="F249" i="84"/>
  <c r="M249" i="84"/>
  <c r="E249" i="84"/>
  <c r="L249" i="84"/>
  <c r="A126" i="85" s="1"/>
  <c r="I126" i="85" s="1"/>
  <c r="D249" i="84"/>
  <c r="J249" i="84"/>
  <c r="B249" i="84"/>
  <c r="P251" i="84"/>
  <c r="H251" i="84"/>
  <c r="O251" i="84"/>
  <c r="G251" i="84"/>
  <c r="N251" i="84"/>
  <c r="F251" i="84"/>
  <c r="M251" i="84"/>
  <c r="E251" i="84"/>
  <c r="L251" i="84"/>
  <c r="A128" i="85" s="1"/>
  <c r="I128" i="85" s="1"/>
  <c r="D251" i="84"/>
  <c r="J251" i="84"/>
  <c r="B251" i="84"/>
  <c r="P253" i="84"/>
  <c r="H253" i="84"/>
  <c r="O253" i="84"/>
  <c r="G253" i="84"/>
  <c r="N253" i="84"/>
  <c r="F253" i="84"/>
  <c r="M253" i="84"/>
  <c r="E253" i="84"/>
  <c r="L253" i="84"/>
  <c r="D253" i="84"/>
  <c r="J253" i="84"/>
  <c r="B253" i="84"/>
  <c r="P255" i="84"/>
  <c r="H255" i="84"/>
  <c r="O255" i="84"/>
  <c r="G255" i="84"/>
  <c r="N255" i="84"/>
  <c r="F255" i="84"/>
  <c r="M255" i="84"/>
  <c r="E255" i="84"/>
  <c r="L255" i="84"/>
  <c r="D255" i="84"/>
  <c r="J255" i="84"/>
  <c r="B255" i="84"/>
  <c r="P257" i="84"/>
  <c r="H257" i="84"/>
  <c r="O257" i="84"/>
  <c r="G257" i="84"/>
  <c r="N257" i="84"/>
  <c r="F257" i="84"/>
  <c r="M257" i="84"/>
  <c r="E257" i="84"/>
  <c r="L257" i="84"/>
  <c r="D257" i="84"/>
  <c r="J257" i="84"/>
  <c r="B257" i="84"/>
  <c r="P259" i="84"/>
  <c r="H259" i="84"/>
  <c r="O259" i="84"/>
  <c r="G259" i="84"/>
  <c r="N259" i="84"/>
  <c r="F259" i="84"/>
  <c r="M259" i="84"/>
  <c r="E259" i="84"/>
  <c r="L259" i="84"/>
  <c r="D259" i="84"/>
  <c r="J259" i="84"/>
  <c r="B259" i="84"/>
  <c r="P261" i="84"/>
  <c r="H261" i="84"/>
  <c r="O261" i="84"/>
  <c r="G261" i="84"/>
  <c r="N261" i="84"/>
  <c r="F261" i="84"/>
  <c r="M261" i="84"/>
  <c r="E261" i="84"/>
  <c r="L261" i="84"/>
  <c r="D261" i="84"/>
  <c r="J261" i="84"/>
  <c r="B261" i="84"/>
  <c r="C243" i="84"/>
  <c r="C245" i="84"/>
  <c r="C247" i="84"/>
  <c r="C249" i="84"/>
  <c r="C251" i="84"/>
  <c r="C253" i="84"/>
  <c r="C255" i="84"/>
  <c r="C257" i="84"/>
  <c r="C259" i="84"/>
  <c r="C261" i="84"/>
  <c r="I243" i="84"/>
  <c r="I245" i="84"/>
  <c r="I247" i="84"/>
  <c r="I249" i="84"/>
  <c r="I251" i="84"/>
  <c r="I253" i="84"/>
  <c r="I255" i="84"/>
  <c r="I257" i="84"/>
  <c r="I259" i="84"/>
  <c r="I261" i="84"/>
  <c r="K243" i="84"/>
  <c r="K245" i="84"/>
  <c r="K247" i="84"/>
  <c r="K249" i="84"/>
  <c r="K251" i="84"/>
  <c r="K253" i="84"/>
  <c r="K255" i="84"/>
  <c r="K257" i="84"/>
  <c r="K259" i="84"/>
  <c r="K261" i="84"/>
  <c r="A124" i="85"/>
  <c r="F124" i="85" s="1"/>
  <c r="A125" i="85"/>
  <c r="J125" i="85" s="1"/>
  <c r="A118" i="85"/>
  <c r="H118" i="85" s="1"/>
  <c r="A120" i="85"/>
  <c r="A122" i="85"/>
  <c r="A119" i="85"/>
  <c r="A121" i="85"/>
  <c r="A123" i="85"/>
  <c r="A144" i="85"/>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K11" i="84"/>
  <c r="F11" i="85" s="1"/>
  <c r="L125" i="85" l="1"/>
  <c r="O11" i="84"/>
  <c r="H11" i="85" s="1"/>
  <c r="G118" i="85"/>
  <c r="A325" i="84"/>
  <c r="C325" i="84" s="1"/>
  <c r="E118" i="85"/>
  <c r="G124" i="85"/>
  <c r="F125" i="85"/>
  <c r="I125" i="85"/>
  <c r="B125" i="85"/>
  <c r="B118" i="85"/>
  <c r="I118" i="85"/>
  <c r="C125" i="85"/>
  <c r="L118" i="85"/>
  <c r="G125" i="85"/>
  <c r="D118" i="85"/>
  <c r="C118" i="85"/>
  <c r="B124" i="85"/>
  <c r="K124" i="85"/>
  <c r="D124" i="85"/>
  <c r="K125" i="85"/>
  <c r="A326" i="84"/>
  <c r="A136" i="85" s="1"/>
  <c r="E125" i="85"/>
  <c r="D125" i="85"/>
  <c r="H125" i="85"/>
  <c r="F118" i="85"/>
  <c r="K118" i="85"/>
  <c r="J118" i="85"/>
  <c r="J124" i="85"/>
  <c r="H124" i="85"/>
  <c r="L124" i="85"/>
  <c r="E124" i="85"/>
  <c r="C124" i="85"/>
  <c r="I124" i="85"/>
  <c r="L123" i="85"/>
  <c r="D123" i="85"/>
  <c r="K123" i="85"/>
  <c r="C123" i="85"/>
  <c r="J123" i="85"/>
  <c r="B123" i="85"/>
  <c r="I123" i="85"/>
  <c r="G123" i="85"/>
  <c r="H123" i="85"/>
  <c r="F123" i="85"/>
  <c r="E123" i="85"/>
  <c r="L121" i="85"/>
  <c r="D121" i="85"/>
  <c r="K121" i="85"/>
  <c r="C121" i="85"/>
  <c r="G121" i="85"/>
  <c r="J121" i="85"/>
  <c r="B121" i="85"/>
  <c r="I121" i="85"/>
  <c r="H121" i="85"/>
  <c r="F121" i="85"/>
  <c r="E121" i="85"/>
  <c r="L119" i="85"/>
  <c r="D119" i="85"/>
  <c r="K119" i="85"/>
  <c r="C119" i="85"/>
  <c r="G119" i="85"/>
  <c r="J119" i="85"/>
  <c r="B119" i="85"/>
  <c r="I119" i="85"/>
  <c r="H119" i="85"/>
  <c r="F119" i="85"/>
  <c r="E119" i="85"/>
  <c r="H122" i="85"/>
  <c r="G122" i="85"/>
  <c r="K122" i="85"/>
  <c r="F122" i="85"/>
  <c r="E122" i="85"/>
  <c r="L122" i="85"/>
  <c r="D122" i="85"/>
  <c r="C122" i="85"/>
  <c r="J122" i="85"/>
  <c r="B122" i="85"/>
  <c r="I122" i="85"/>
  <c r="H120" i="85"/>
  <c r="C120" i="85"/>
  <c r="G120" i="85"/>
  <c r="F120" i="85"/>
  <c r="E120" i="85"/>
  <c r="K120" i="85"/>
  <c r="L120" i="85"/>
  <c r="D120" i="85"/>
  <c r="J120" i="85"/>
  <c r="B120" i="85"/>
  <c r="I120" i="85"/>
  <c r="A137" i="85"/>
  <c r="A54" i="85"/>
  <c r="I54" i="85"/>
  <c r="G55" i="85"/>
  <c r="E56" i="85"/>
  <c r="C57" i="85"/>
  <c r="A58" i="85"/>
  <c r="I58" i="85"/>
  <c r="G59" i="85"/>
  <c r="E60" i="85"/>
  <c r="C61" i="85"/>
  <c r="A62" i="85"/>
  <c r="I62" i="85"/>
  <c r="B329" i="84"/>
  <c r="B139" i="85" s="1"/>
  <c r="J56" i="85"/>
  <c r="J60" i="85"/>
  <c r="A57" i="85"/>
  <c r="B54" i="85"/>
  <c r="H55" i="85"/>
  <c r="H59" i="85"/>
  <c r="B62" i="85"/>
  <c r="C54" i="85"/>
  <c r="A55" i="85"/>
  <c r="I55" i="85"/>
  <c r="G56" i="85"/>
  <c r="E57" i="85"/>
  <c r="C58" i="85"/>
  <c r="A59" i="85"/>
  <c r="I59" i="85"/>
  <c r="G60" i="85"/>
  <c r="E61" i="85"/>
  <c r="C62" i="85"/>
  <c r="D330" i="84"/>
  <c r="D127" i="85"/>
  <c r="E127" i="85"/>
  <c r="F127" i="85"/>
  <c r="J128" i="85"/>
  <c r="B128" i="85"/>
  <c r="L128" i="85"/>
  <c r="I61" i="85"/>
  <c r="B126" i="85"/>
  <c r="H127" i="85"/>
  <c r="D129" i="85"/>
  <c r="F54" i="85"/>
  <c r="G58" i="85"/>
  <c r="F62" i="85"/>
  <c r="D126" i="85"/>
  <c r="L127" i="85"/>
  <c r="E129" i="85"/>
  <c r="E55" i="85"/>
  <c r="D59" i="85"/>
  <c r="J126" i="85"/>
  <c r="F129" i="85"/>
  <c r="E59" i="85"/>
  <c r="L126" i="85"/>
  <c r="H129" i="85"/>
  <c r="B56"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H57" i="85"/>
  <c r="J58" i="85"/>
  <c r="C60" i="85"/>
  <c r="D55" i="85"/>
  <c r="F56" i="85"/>
  <c r="I57" i="85"/>
  <c r="H61" i="85"/>
  <c r="J62" i="85"/>
  <c r="C126" i="85"/>
  <c r="K126" i="85"/>
  <c r="G127" i="85"/>
  <c r="C128" i="85"/>
  <c r="K128" i="85"/>
  <c r="G129" i="85"/>
  <c r="E126" i="85"/>
  <c r="I127" i="85"/>
  <c r="E128" i="85"/>
  <c r="I129" i="85"/>
  <c r="F126" i="85"/>
  <c r="B127" i="85"/>
  <c r="J127" i="85"/>
  <c r="F128" i="85"/>
  <c r="B129" i="85"/>
  <c r="J129" i="85"/>
  <c r="G126" i="85"/>
  <c r="C127" i="85"/>
  <c r="G128" i="85"/>
  <c r="C129" i="85"/>
  <c r="H126" i="85"/>
  <c r="H128" i="85"/>
  <c r="E330" i="84"/>
  <c r="C329" i="84"/>
  <c r="D329" i="84"/>
  <c r="E329" i="84"/>
  <c r="F330" i="84"/>
  <c r="F324" i="84"/>
  <c r="E324" i="84"/>
  <c r="D324" i="84"/>
  <c r="B324" i="84"/>
  <c r="C324" i="84"/>
  <c r="F327" i="84"/>
  <c r="E327" i="84"/>
  <c r="D327" i="84"/>
  <c r="C327" i="84"/>
  <c r="B327" i="84"/>
  <c r="F328" i="84"/>
  <c r="E328" i="84"/>
  <c r="D328" i="84"/>
  <c r="B328" i="84"/>
  <c r="C328" i="84"/>
  <c r="F331" i="84"/>
  <c r="E331" i="84"/>
  <c r="D331" i="84"/>
  <c r="C331" i="84"/>
  <c r="B331" i="84"/>
  <c r="F329" i="84"/>
  <c r="B330" i="84"/>
  <c r="C330" i="84"/>
  <c r="F325" i="84" l="1"/>
  <c r="F135" i="85" s="1"/>
  <c r="E325" i="84"/>
  <c r="E135" i="85" s="1"/>
  <c r="D325" i="84"/>
  <c r="D135" i="85" s="1"/>
  <c r="B325" i="84"/>
  <c r="B135" i="85" s="1"/>
  <c r="A135" i="85"/>
  <c r="F326" i="84"/>
  <c r="F136" i="85" s="1"/>
  <c r="B326" i="84"/>
  <c r="B136" i="85" s="1"/>
  <c r="E326" i="84"/>
  <c r="E136" i="85" s="1"/>
  <c r="D326" i="84"/>
  <c r="D136" i="85" s="1"/>
  <c r="C326" i="84"/>
  <c r="C136" i="85" s="1"/>
  <c r="D140" i="85"/>
  <c r="B140" i="85"/>
  <c r="B138" i="85"/>
  <c r="F137" i="85"/>
  <c r="E140" i="85"/>
  <c r="D138" i="85"/>
  <c r="E139" i="85"/>
  <c r="C141" i="85"/>
  <c r="F138" i="85"/>
  <c r="B134" i="85"/>
  <c r="F139" i="85"/>
  <c r="D139" i="85"/>
  <c r="D141" i="85"/>
  <c r="B137" i="85"/>
  <c r="C134" i="85"/>
  <c r="C139" i="85"/>
  <c r="B141" i="85"/>
  <c r="E138" i="85"/>
  <c r="E141" i="85"/>
  <c r="C137" i="85"/>
  <c r="D134" i="85"/>
  <c r="C140" i="85"/>
  <c r="F141" i="85"/>
  <c r="D137" i="85"/>
  <c r="E134" i="85"/>
  <c r="F140" i="85"/>
  <c r="C138" i="85"/>
  <c r="E137" i="85"/>
  <c r="F134" i="85"/>
  <c r="C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77" i="61"/>
  <c r="E176" i="61"/>
  <c r="E175" i="61"/>
  <c r="E174" i="61"/>
  <c r="E173" i="61"/>
  <c r="E172" i="61"/>
  <c r="F167" i="61"/>
  <c r="F166" i="61"/>
  <c r="F165" i="61"/>
  <c r="F164" i="61"/>
  <c r="C160" i="61"/>
  <c r="E150" i="61"/>
  <c r="E149" i="61"/>
  <c r="E148" i="61"/>
  <c r="E147" i="61"/>
  <c r="E146" i="61"/>
  <c r="E145" i="61"/>
  <c r="E144" i="61"/>
  <c r="E143" i="61"/>
  <c r="D139" i="61"/>
  <c r="C139" i="61"/>
  <c r="F138" i="61"/>
  <c r="F137" i="61"/>
  <c r="F136" i="61"/>
  <c r="F135" i="61"/>
  <c r="F134"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A43" i="82"/>
  <c r="L36" i="82"/>
  <c r="H36" i="82"/>
  <c r="S13" i="82"/>
  <c r="S12" i="82"/>
  <c r="S11" i="82"/>
  <c r="AB2" i="82"/>
  <c r="T1" i="82"/>
  <c r="C162" i="66" l="1"/>
  <c r="C135" i="66"/>
  <c r="C164" i="65"/>
  <c r="C137" i="65"/>
  <c r="C138" i="64"/>
  <c r="C111" i="64"/>
  <c r="C137" i="62"/>
  <c r="C137" i="63"/>
  <c r="C110" i="63"/>
  <c r="C110" i="62"/>
  <c r="C178" i="61"/>
  <c r="C151"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50"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14" i="61"/>
  <c r="B213" i="61"/>
  <c r="B212" i="61"/>
  <c r="G202" i="61"/>
  <c r="G201" i="61"/>
  <c r="G200" i="61"/>
  <c r="G199" i="61"/>
  <c r="G198" i="61"/>
  <c r="G197" i="61"/>
  <c r="G196" i="61"/>
  <c r="G195"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A78" i="82" l="1"/>
  <c r="I71" i="82"/>
  <c r="A71" i="82"/>
  <c r="I78"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F79" i="60" s="1"/>
  <c r="I40" i="60"/>
  <c r="I39" i="60"/>
  <c r="I38" i="60"/>
  <c r="I33" i="60"/>
  <c r="I32" i="60"/>
  <c r="I31" i="60"/>
  <c r="I26" i="60"/>
  <c r="I25" i="60"/>
  <c r="I24" i="60"/>
  <c r="I19" i="60"/>
  <c r="B81" i="60" s="1"/>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Z30" i="80"/>
  <c r="Z19" i="80"/>
  <c r="E31" i="1"/>
  <c r="Z21" i="80"/>
  <c r="AI27" i="80"/>
  <c r="AI15" i="80"/>
  <c r="E16" i="1"/>
  <c r="AK19" i="80"/>
  <c r="AB12" i="80"/>
  <c r="E30" i="1"/>
  <c r="AO23" i="80"/>
  <c r="AG31" i="80"/>
  <c r="E5" i="1"/>
  <c r="AE5" i="80"/>
  <c r="E14" i="1"/>
  <c r="E33" i="1"/>
  <c r="AI6" i="80"/>
  <c r="E7" i="1"/>
  <c r="AG21" i="80"/>
  <c r="AB13" i="80"/>
  <c r="AI13" i="80"/>
  <c r="AB23" i="80"/>
  <c r="AL13" i="80"/>
  <c r="AE21" i="80"/>
  <c r="AO5" i="80"/>
  <c r="E32" i="1"/>
  <c r="AO17" i="80"/>
  <c r="AE23" i="80"/>
  <c r="AE10" i="80"/>
  <c r="AI19" i="80"/>
  <c r="AK13" i="80"/>
  <c r="AO13" i="80"/>
  <c r="E28" i="1"/>
  <c r="AG13" i="80"/>
  <c r="AK21" i="80"/>
  <c r="AB4" i="80"/>
  <c r="AL26" i="80"/>
  <c r="E6" i="1"/>
  <c r="E10" i="1"/>
  <c r="AO31" i="80"/>
  <c r="E8" i="1"/>
  <c r="Z14" i="80"/>
  <c r="E23" i="1"/>
  <c r="AI5" i="80"/>
  <c r="AT6" i="36"/>
  <c r="AI21" i="80"/>
  <c r="Z13" i="80"/>
  <c r="E34" i="1"/>
  <c r="AK9" i="80"/>
  <c r="E12" i="1"/>
  <c r="AT27" i="36"/>
  <c r="AL3" i="80"/>
  <c r="AL7" i="80"/>
  <c r="E22" i="1"/>
  <c r="AB26" i="80"/>
  <c r="AK3" i="80"/>
  <c r="E25" i="1"/>
  <c r="AO21" i="80"/>
  <c r="AB20" i="80"/>
  <c r="E19" i="1"/>
  <c r="AK25" i="80"/>
  <c r="AL22" i="80"/>
  <c r="E18" i="1"/>
  <c r="E15" i="1"/>
  <c r="AQ20" i="36"/>
  <c r="E24" i="1"/>
  <c r="E11" i="1"/>
  <c r="E29" i="1"/>
  <c r="AE29" i="80"/>
  <c r="AL19" i="80"/>
  <c r="AO11" i="80"/>
  <c r="AB21" i="80"/>
  <c r="AI11" i="80"/>
  <c r="AE13" i="80"/>
  <c r="E13" i="1"/>
  <c r="AP20" i="36"/>
  <c r="E26" i="1"/>
  <c r="AL21" i="80"/>
  <c r="AB29" i="80"/>
  <c r="E27" i="1"/>
  <c r="E20" i="1"/>
  <c r="Z12" i="80"/>
  <c r="AL32" i="80"/>
  <c r="Z5" i="80"/>
  <c r="E21" i="1"/>
  <c r="E17" i="1"/>
  <c r="AK32" i="80"/>
  <c r="AI23" i="80"/>
  <c r="E9" i="1"/>
  <c r="AB28" i="80"/>
  <c r="AT21" i="36"/>
  <c r="AT13" i="36"/>
  <c r="AB16" i="80"/>
  <c r="AQ4" i="36"/>
  <c r="Z8" i="80"/>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C79" i="6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D12" i="80"/>
  <c r="AC12" i="80"/>
  <c r="AF13" i="80"/>
  <c r="AA19" i="80"/>
  <c r="AJ23" i="80"/>
  <c r="AC26" i="80"/>
  <c r="AD26" i="80"/>
  <c r="AH31" i="80"/>
  <c r="AF5" i="80"/>
  <c r="AJ6" i="80"/>
  <c r="AH13" i="80"/>
  <c r="AJ15" i="80"/>
  <c r="AA21" i="80"/>
  <c r="AF29" i="80"/>
  <c r="AJ11" i="80"/>
  <c r="AN13" i="80"/>
  <c r="AM13" i="80"/>
  <c r="AJ13" i="80"/>
  <c r="AF10" i="80"/>
  <c r="AJ19" i="80"/>
  <c r="AF21" i="80"/>
  <c r="AJ5" i="80"/>
  <c r="AA13" i="80"/>
  <c r="AH21" i="80"/>
  <c r="AD23" i="80"/>
  <c r="AC23" i="80"/>
  <c r="AJ27" i="80"/>
  <c r="AA5" i="80"/>
  <c r="AD13" i="80"/>
  <c r="AC13" i="80"/>
  <c r="AN21" i="80"/>
  <c r="AJ21" i="80"/>
  <c r="AM21" i="80"/>
  <c r="AF23" i="80"/>
  <c r="AA30" i="80"/>
  <c r="AA12" i="80"/>
  <c r="AA14" i="80"/>
  <c r="AC20" i="80"/>
  <c r="AD20" i="80"/>
  <c r="AD21" i="80"/>
  <c r="AC21" i="80"/>
  <c r="AD29" i="80"/>
  <c r="AC29" i="80"/>
  <c r="O1644" i="69"/>
  <c r="E1329" i="80"/>
  <c r="L1660" i="69"/>
  <c r="H213" i="80"/>
  <c r="S10" i="80"/>
  <c r="E1331" i="80"/>
  <c r="O1629" i="69"/>
  <c r="E1322" i="80"/>
  <c r="O1645" i="69"/>
  <c r="E1330" i="80"/>
  <c r="H26" i="36"/>
  <c r="F48" i="29" s="1"/>
  <c r="H26" i="80"/>
  <c r="W26" i="80" s="1"/>
  <c r="D80" i="60"/>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E80" i="60"/>
  <c r="G21" i="1"/>
  <c r="K2" i="1"/>
  <c r="G11" i="1"/>
  <c r="G30" i="1"/>
  <c r="Z2" i="4"/>
  <c r="H22" i="4" s="1"/>
  <c r="H31" i="29"/>
  <c r="B37" i="29"/>
  <c r="H40" i="29"/>
  <c r="G19" i="1"/>
  <c r="G33" i="1"/>
  <c r="C44" i="29"/>
  <c r="V18" i="36"/>
  <c r="P19" i="73" s="1"/>
  <c r="K8" i="29"/>
  <c r="E1333" i="36"/>
  <c r="E81" i="60"/>
  <c r="G17" i="1"/>
  <c r="G42" i="29"/>
  <c r="F50" i="29"/>
  <c r="V17" i="36"/>
  <c r="P18" i="73" s="1"/>
  <c r="F76" i="59"/>
  <c r="F81" i="60"/>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D81" i="60"/>
  <c r="O1710" i="69"/>
  <c r="C17" i="73"/>
  <c r="F14" i="29"/>
  <c r="W28" i="36"/>
  <c r="Q29" i="73" s="1"/>
  <c r="H209" i="36"/>
  <c r="L12" i="73"/>
  <c r="C20" i="73"/>
  <c r="D5" i="2"/>
  <c r="A71" i="6"/>
  <c r="G26" i="5" s="1"/>
  <c r="C27" i="29"/>
  <c r="H36" i="29"/>
  <c r="T8" i="36"/>
  <c r="S9" i="73" s="1"/>
  <c r="U14" i="36"/>
  <c r="T15" i="73" s="1"/>
  <c r="U23" i="36"/>
  <c r="T24" i="73" s="1"/>
  <c r="W27" i="36"/>
  <c r="Q28" i="73" s="1"/>
  <c r="M14" i="29"/>
  <c r="C77" i="59"/>
  <c r="O1702" i="69"/>
  <c r="O13" i="73"/>
  <c r="C67" i="6"/>
  <c r="I22" i="5" s="1"/>
  <c r="E71" i="6"/>
  <c r="G31" i="29"/>
  <c r="S17" i="36"/>
  <c r="S22" i="36"/>
  <c r="Y24" i="36"/>
  <c r="S29" i="36"/>
  <c r="R30" i="73" s="1"/>
  <c r="E1324" i="36"/>
  <c r="E1330" i="36"/>
  <c r="F77" i="59"/>
  <c r="B79" i="60"/>
  <c r="O1697" i="69"/>
  <c r="K27" i="73"/>
  <c r="E1318" i="36"/>
  <c r="E1329" i="36"/>
  <c r="B78" i="59"/>
  <c r="C8" i="73"/>
  <c r="D60" i="77"/>
  <c r="F25" i="1"/>
  <c r="W24" i="36"/>
  <c r="Q25" i="73" s="1"/>
  <c r="C78" i="59"/>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D77" i="5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B76" i="59"/>
  <c r="E1321" i="36"/>
  <c r="D78" i="59"/>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C81" i="60"/>
  <c r="O1724" i="69"/>
  <c r="F80" i="60"/>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D79" i="60"/>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D76" i="59"/>
  <c r="E77" i="59"/>
  <c r="F78" i="59"/>
  <c r="B80" i="60"/>
  <c r="I10" i="73"/>
  <c r="B25" i="73"/>
  <c r="A20" i="76"/>
  <c r="Y5" i="36"/>
  <c r="C13" i="73"/>
  <c r="B24" i="76"/>
  <c r="J24" i="76" s="1"/>
  <c r="Y13" i="36"/>
  <c r="M22" i="73"/>
  <c r="E33" i="76"/>
  <c r="Y21" i="36"/>
  <c r="O23" i="73"/>
  <c r="F34" i="76"/>
  <c r="I26" i="73"/>
  <c r="C37" i="76"/>
  <c r="B30" i="73"/>
  <c r="A41" i="76"/>
  <c r="M30" i="73"/>
  <c r="E41" i="76"/>
  <c r="Y29" i="36"/>
  <c r="L31" i="73"/>
  <c r="D42" i="76"/>
  <c r="E76" i="59"/>
  <c r="C80" i="60"/>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E79" i="60"/>
  <c r="O7" i="73"/>
  <c r="M12" i="73"/>
  <c r="M21" i="73"/>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B77" i="59"/>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C76" i="59"/>
  <c r="E78" i="59"/>
  <c r="L11" i="73"/>
  <c r="I13" i="73"/>
  <c r="B14" i="73"/>
  <c r="M14" i="73"/>
  <c r="B22" i="73"/>
  <c r="L23" i="73"/>
  <c r="L30" i="73"/>
  <c r="AI8" i="80"/>
  <c r="AK12" i="80"/>
  <c r="AK4" i="80"/>
  <c r="AE27" i="80"/>
  <c r="AB15" i="80"/>
  <c r="AL12" i="80"/>
  <c r="AG15" i="80"/>
  <c r="AE15" i="80"/>
  <c r="AK15" i="80"/>
  <c r="AK23" i="80"/>
  <c r="AO15" i="80"/>
  <c r="Z27" i="80"/>
  <c r="AQ12" i="36"/>
  <c r="AK14" i="80"/>
  <c r="AK27" i="80"/>
  <c r="AL27" i="80"/>
  <c r="AL23" i="80"/>
  <c r="AG23" i="80"/>
  <c r="AI7" i="80"/>
  <c r="AJ8" i="80" l="1"/>
  <c r="AA27" i="80"/>
  <c r="AH15" i="80"/>
  <c r="AF15" i="80"/>
  <c r="AD15" i="80"/>
  <c r="AC15" i="80"/>
  <c r="AH23" i="80"/>
  <c r="AF27" i="80"/>
  <c r="AJ7" i="80"/>
  <c r="C11" i="85"/>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AP22" i="36"/>
  <c r="AQ16" i="36"/>
  <c r="AL4" i="80"/>
  <c r="AE7" i="80"/>
  <c r="AE25" i="80"/>
  <c r="AO20" i="80"/>
  <c r="AS3" i="36"/>
  <c r="AB10" i="80"/>
  <c r="AB14" i="80"/>
  <c r="AL11" i="80"/>
  <c r="AE3" i="80"/>
  <c r="Z28" i="80"/>
  <c r="AO10" i="80"/>
  <c r="AQ5" i="36"/>
  <c r="AE28" i="80"/>
  <c r="AR27" i="36"/>
  <c r="AK11" i="80"/>
  <c r="AI26" i="80"/>
  <c r="AP8" i="36"/>
  <c r="AK24" i="80"/>
  <c r="AI28" i="80"/>
  <c r="AB19" i="80"/>
  <c r="AO25" i="80"/>
  <c r="AO9" i="80"/>
  <c r="AB6" i="80"/>
  <c r="AD4" i="36"/>
  <c r="AQ18" i="36"/>
  <c r="AP14" i="36"/>
  <c r="AB17" i="80"/>
  <c r="AE4" i="80"/>
  <c r="Z22" i="80"/>
  <c r="Z7" i="80"/>
  <c r="AI31" i="80"/>
  <c r="AG25" i="80"/>
  <c r="AE26" i="80"/>
  <c r="AR28" i="36"/>
  <c r="AT7" i="36"/>
  <c r="AR23" i="36"/>
  <c r="AI24" i="80"/>
  <c r="AB20" i="36"/>
  <c r="AS7" i="36"/>
  <c r="AS28" i="36"/>
  <c r="AP9" i="36"/>
  <c r="AT14" i="36"/>
  <c r="AR21" i="36"/>
  <c r="AS25" i="36"/>
  <c r="AR17" i="36"/>
  <c r="AQ22" i="36"/>
  <c r="AB30" i="80"/>
  <c r="AQ14" i="36"/>
  <c r="AI9" i="80"/>
  <c r="AT10" i="36"/>
  <c r="AI17" i="80"/>
  <c r="AR31" i="36"/>
  <c r="AQ7" i="36"/>
  <c r="AP3" i="36"/>
  <c r="AI21" i="36"/>
  <c r="AG9" i="80"/>
  <c r="AG16" i="80"/>
  <c r="AO3" i="80"/>
  <c r="AQ24" i="36"/>
  <c r="AT31" i="36"/>
  <c r="AO8" i="80"/>
  <c r="AG22" i="80"/>
  <c r="AB27" i="80"/>
  <c r="AL16" i="80"/>
  <c r="AE22" i="80"/>
  <c r="AQ30" i="36"/>
  <c r="AS14" i="36"/>
  <c r="AL21" i="36"/>
  <c r="AS24" i="36"/>
  <c r="Z17" i="80"/>
  <c r="AQ13" i="36"/>
  <c r="AK10" i="80"/>
  <c r="AS30" i="36"/>
  <c r="AK18" i="80"/>
  <c r="AG26" i="80"/>
  <c r="AQ6" i="36"/>
  <c r="AT4" i="36"/>
  <c r="AG7" i="80"/>
  <c r="AE14" i="80"/>
  <c r="AL6" i="80"/>
  <c r="AQ11" i="36"/>
  <c r="AL28" i="80"/>
  <c r="AG32" i="80"/>
  <c r="AB5" i="80"/>
  <c r="Z29" i="80"/>
  <c r="AR30" i="36"/>
  <c r="Z32" i="80"/>
  <c r="AL10" i="80"/>
  <c r="AP24" i="36"/>
  <c r="AE11" i="80"/>
  <c r="AG4" i="80"/>
  <c r="AQ21" i="36"/>
  <c r="AL27" i="36"/>
  <c r="AE18" i="80"/>
  <c r="AO18" i="80"/>
  <c r="AG14" i="80"/>
  <c r="AS21" i="36"/>
  <c r="AP5" i="36"/>
  <c r="AE8" i="80"/>
  <c r="AL6" i="36"/>
  <c r="AQ31" i="36"/>
  <c r="AE32" i="80"/>
  <c r="Z20" i="36"/>
  <c r="AR20" i="36"/>
  <c r="AO7" i="80"/>
  <c r="AQ17" i="36"/>
  <c r="AT3" i="36"/>
  <c r="AT28" i="36"/>
  <c r="Z23" i="80"/>
  <c r="AL8" i="80"/>
  <c r="AS27" i="36"/>
  <c r="AQ28" i="36"/>
  <c r="AS5" i="36"/>
  <c r="Z4" i="80"/>
  <c r="AG20" i="80"/>
  <c r="AS12" i="36"/>
  <c r="AD20" i="36"/>
  <c r="AB9" i="80"/>
  <c r="AE24" i="80"/>
  <c r="AP27" i="36"/>
  <c r="AT8" i="36"/>
  <c r="AS13" i="36"/>
  <c r="AB32" i="80"/>
  <c r="AP32" i="36"/>
  <c r="Z9" i="80"/>
  <c r="AT32" i="36"/>
  <c r="AS22" i="36"/>
  <c r="AS32" i="36"/>
  <c r="AI12" i="80"/>
  <c r="AP23" i="36"/>
  <c r="AL5" i="80"/>
  <c r="AL20" i="80"/>
  <c r="AL25" i="80"/>
  <c r="AQ26" i="36"/>
  <c r="AR19" i="36"/>
  <c r="AB22" i="80"/>
  <c r="AK26" i="80"/>
  <c r="AK28" i="80"/>
  <c r="AR3" i="36"/>
  <c r="AP11" i="36"/>
  <c r="Z20" i="80"/>
  <c r="Z15" i="80"/>
  <c r="AR12" i="36"/>
  <c r="AL13" i="36"/>
  <c r="AB12" i="36"/>
  <c r="AI30" i="80"/>
  <c r="AK8" i="80"/>
  <c r="AL31" i="80"/>
  <c r="AB11" i="80"/>
  <c r="AR16" i="36"/>
  <c r="AS9" i="36"/>
  <c r="AR9" i="36"/>
  <c r="AP21" i="36"/>
  <c r="AB25" i="80"/>
  <c r="AE17" i="80"/>
  <c r="AS6" i="36"/>
  <c r="AD12" i="36"/>
  <c r="AR13" i="36"/>
  <c r="AT18" i="36"/>
  <c r="AG8" i="80"/>
  <c r="AO32" i="80"/>
  <c r="AP25" i="36"/>
  <c r="AR14" i="36"/>
  <c r="AI14" i="80"/>
  <c r="AP6" i="36"/>
  <c r="AO29" i="80"/>
  <c r="AI18" i="80"/>
  <c r="AL30" i="80"/>
  <c r="AK31" i="80"/>
  <c r="AI22" i="80"/>
  <c r="AP15" i="36"/>
  <c r="AR18" i="36"/>
  <c r="AE19" i="80"/>
  <c r="AB4" i="36"/>
  <c r="AR5" i="36"/>
  <c r="AT22" i="36"/>
  <c r="AQ3" i="36"/>
  <c r="AO28" i="80"/>
  <c r="AB8" i="80"/>
  <c r="AT9" i="36"/>
  <c r="AR24" i="36"/>
  <c r="AR29" i="36"/>
  <c r="AS16" i="36"/>
  <c r="AE6" i="80"/>
  <c r="AO26" i="80"/>
  <c r="Z6" i="80"/>
  <c r="AG24" i="80"/>
  <c r="AI27" i="36"/>
  <c r="AQ9" i="36"/>
  <c r="AS15" i="36"/>
  <c r="AI6" i="36"/>
  <c r="AR11" i="36"/>
  <c r="AS20" i="36"/>
  <c r="AQ29" i="36"/>
  <c r="AP26" i="36"/>
  <c r="AS4" i="36"/>
  <c r="AI20" i="80"/>
  <c r="Z24" i="80"/>
  <c r="AI25" i="80"/>
  <c r="AS29" i="36"/>
  <c r="AT23" i="36"/>
  <c r="AG27" i="80"/>
  <c r="AP10" i="36"/>
  <c r="AR10" i="36"/>
  <c r="AS10" i="36"/>
  <c r="AQ27" i="36"/>
  <c r="AT20" i="36"/>
  <c r="AE9" i="80"/>
  <c r="AB3" i="80"/>
  <c r="AG12" i="80"/>
  <c r="AR7" i="36"/>
  <c r="AE31" i="80"/>
  <c r="AG18" i="80"/>
  <c r="AL18" i="80"/>
  <c r="AI4" i="80"/>
  <c r="AP12" i="36"/>
  <c r="AQ8" i="36"/>
  <c r="AG19" i="80"/>
  <c r="AE30" i="80"/>
  <c r="AG30" i="80"/>
  <c r="AP28" i="36"/>
  <c r="AL14" i="80"/>
  <c r="AT26" i="36"/>
  <c r="AS17" i="36"/>
  <c r="Z25" i="80"/>
  <c r="AT19" i="36"/>
  <c r="AL9" i="80"/>
  <c r="AL15" i="80"/>
  <c r="AB24" i="80"/>
  <c r="AP31" i="36"/>
  <c r="Z3" i="80"/>
  <c r="AQ15" i="36"/>
  <c r="AB18" i="80"/>
  <c r="AP18" i="36"/>
  <c r="AT15" i="36"/>
  <c r="AR22" i="36"/>
  <c r="AK5" i="80"/>
  <c r="AP19" i="36"/>
  <c r="AQ25" i="36"/>
  <c r="AK29" i="80"/>
  <c r="Z31" i="80"/>
  <c r="AG28" i="80"/>
  <c r="AG3" i="80"/>
  <c r="AL29" i="80"/>
  <c r="AR26" i="36"/>
  <c r="AO12" i="80"/>
  <c r="AK17" i="80"/>
  <c r="AK22" i="80"/>
  <c r="AT5" i="36"/>
  <c r="AG29" i="80"/>
  <c r="AB7" i="80"/>
  <c r="AO19" i="80"/>
  <c r="AP30" i="36"/>
  <c r="AO6" i="80"/>
  <c r="AQ23" i="36"/>
  <c r="AI10" i="80"/>
  <c r="AI3" i="80"/>
  <c r="AR8" i="36"/>
  <c r="AT29" i="36"/>
  <c r="AK20" i="80"/>
  <c r="AP16" i="36"/>
  <c r="AG10" i="80"/>
  <c r="AG17" i="80"/>
  <c r="AK6" i="80"/>
  <c r="AP13" i="36"/>
  <c r="AQ19" i="36"/>
  <c r="Z16" i="80"/>
  <c r="AS23" i="36"/>
  <c r="Z11" i="80"/>
  <c r="AP4" i="36"/>
  <c r="AT30" i="36"/>
  <c r="AI29" i="80"/>
  <c r="AS11" i="36"/>
  <c r="AE16" i="80"/>
  <c r="AI16" i="80"/>
  <c r="Z26" i="80"/>
  <c r="AP29" i="36"/>
  <c r="AO14" i="80"/>
  <c r="AS19" i="36"/>
  <c r="AG11" i="80"/>
  <c r="AT24" i="36"/>
  <c r="AO24" i="80"/>
  <c r="AP17" i="36"/>
  <c r="AQ10" i="36"/>
  <c r="AG6" i="80"/>
  <c r="AT25" i="36"/>
  <c r="Z10" i="80"/>
  <c r="AK30" i="80"/>
  <c r="Z18" i="80"/>
  <c r="AR4" i="36"/>
  <c r="AE12" i="80"/>
  <c r="AL24" i="80"/>
  <c r="AB31" i="80"/>
  <c r="AT17" i="36"/>
  <c r="AT16" i="36"/>
  <c r="AK7" i="80"/>
  <c r="AK16" i="80"/>
  <c r="AS26" i="36"/>
  <c r="AO16" i="80"/>
  <c r="AS8" i="36"/>
  <c r="AG5" i="80"/>
  <c r="AT11" i="36"/>
  <c r="AS18" i="36"/>
  <c r="AR32" i="36"/>
  <c r="AO22" i="80"/>
  <c r="AI32" i="80"/>
  <c r="AO30" i="80"/>
  <c r="AR6" i="36"/>
  <c r="AR15" i="36"/>
  <c r="AO4" i="80"/>
  <c r="AT12" i="36"/>
  <c r="AR25" i="36"/>
  <c r="AQ32" i="36"/>
  <c r="AE20" i="80"/>
  <c r="AP7" i="36"/>
  <c r="AO27" i="80"/>
  <c r="AL17" i="80"/>
  <c r="AS31" i="36"/>
  <c r="AI13" i="36"/>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D224" i="84"/>
  <c r="E231" i="84"/>
  <c r="D208" i="84"/>
  <c r="G231" i="84"/>
  <c r="E217" i="84"/>
  <c r="D216" i="84"/>
  <c r="G225" i="84"/>
  <c r="B208" i="84"/>
  <c r="G210" i="84"/>
  <c r="E225" i="84"/>
  <c r="G217" i="84"/>
  <c r="E210" i="84"/>
  <c r="B224" i="84"/>
  <c r="B216" i="84"/>
  <c r="P25" i="73"/>
  <c r="F106" i="84"/>
  <c r="E106" i="84"/>
  <c r="E107" i="84"/>
  <c r="D108" i="84"/>
  <c r="AM14" i="80"/>
  <c r="AJ14" i="80"/>
  <c r="AN14" i="80"/>
  <c r="AF25" i="80"/>
  <c r="AH5" i="80"/>
  <c r="AD19" i="80"/>
  <c r="AC19" i="80"/>
  <c r="AN19" i="80"/>
  <c r="AM19" i="80"/>
  <c r="AC18" i="80"/>
  <c r="AD18" i="80"/>
  <c r="AM15" i="80"/>
  <c r="AA15" i="80"/>
  <c r="AN15" i="80"/>
  <c r="AN26" i="80"/>
  <c r="AM26" i="80"/>
  <c r="AJ26" i="80"/>
  <c r="AH30" i="80"/>
  <c r="AF32" i="80"/>
  <c r="AC27" i="80"/>
  <c r="AM27" i="80"/>
  <c r="AN27" i="80"/>
  <c r="AD27" i="80"/>
  <c r="AH11" i="80"/>
  <c r="AF24" i="80"/>
  <c r="AF28" i="80"/>
  <c r="AH3" i="80"/>
  <c r="AC20" i="36"/>
  <c r="AF16" i="80"/>
  <c r="AF11" i="80"/>
  <c r="AH18" i="80"/>
  <c r="AF12" i="80"/>
  <c r="AA26" i="80"/>
  <c r="AA7" i="80"/>
  <c r="AK21" i="36"/>
  <c r="AJ21" i="36"/>
  <c r="AM18" i="80"/>
  <c r="AN18" i="80"/>
  <c r="AJ18" i="80"/>
  <c r="AH19" i="80"/>
  <c r="AK27" i="36"/>
  <c r="AJ27" i="36"/>
  <c r="AH17" i="80"/>
  <c r="AC10" i="80"/>
  <c r="AD10" i="80"/>
  <c r="AF22" i="80"/>
  <c r="AF18" i="80"/>
  <c r="AF14" i="80"/>
  <c r="AF6" i="80"/>
  <c r="AC7" i="80"/>
  <c r="AN7" i="80"/>
  <c r="AM7" i="80"/>
  <c r="AD7" i="80"/>
  <c r="AH4" i="80"/>
  <c r="AH12" i="80"/>
  <c r="AA16" i="80"/>
  <c r="AA25" i="80"/>
  <c r="AN28" i="80"/>
  <c r="AM28" i="80"/>
  <c r="AJ28" i="80"/>
  <c r="AH25" i="80"/>
  <c r="AJ32" i="80"/>
  <c r="AM32" i="80"/>
  <c r="AN32" i="80"/>
  <c r="AD3" i="80"/>
  <c r="AC3" i="80"/>
  <c r="AH27" i="80"/>
  <c r="AJ12" i="80"/>
  <c r="AN12" i="80"/>
  <c r="AM12" i="80"/>
  <c r="AJ4" i="80"/>
  <c r="AN4" i="80"/>
  <c r="AM4" i="80"/>
  <c r="AH16" i="80"/>
  <c r="AM24" i="80"/>
  <c r="AN24" i="80"/>
  <c r="AJ24" i="80"/>
  <c r="AM22" i="80"/>
  <c r="AJ22" i="80"/>
  <c r="AN22" i="80"/>
  <c r="AH26" i="80"/>
  <c r="AA31" i="80"/>
  <c r="AA4" i="80"/>
  <c r="AA32" i="80"/>
  <c r="AF31" i="80"/>
  <c r="AM29" i="80"/>
  <c r="AJ29" i="80"/>
  <c r="AN29" i="80"/>
  <c r="AM11" i="80"/>
  <c r="AD11" i="80"/>
  <c r="AC11" i="80"/>
  <c r="AN11" i="80"/>
  <c r="AF4" i="80"/>
  <c r="AN5" i="80"/>
  <c r="AM5" i="80"/>
  <c r="AC5" i="80"/>
  <c r="AD5" i="80"/>
  <c r="AM16" i="80"/>
  <c r="AN16" i="80"/>
  <c r="AJ16" i="80"/>
  <c r="AJ31" i="80"/>
  <c r="AN31" i="80"/>
  <c r="AM31" i="80"/>
  <c r="AN20" i="80"/>
  <c r="AM20" i="80"/>
  <c r="AJ20" i="80"/>
  <c r="AD14" i="80"/>
  <c r="AC14" i="80"/>
  <c r="AF26" i="80"/>
  <c r="AC4" i="36"/>
  <c r="AK13" i="36"/>
  <c r="AJ13" i="36"/>
  <c r="AH6" i="80"/>
  <c r="AJ17" i="80"/>
  <c r="AN17" i="80"/>
  <c r="AM17" i="80"/>
  <c r="AA17" i="80"/>
  <c r="AF3" i="80"/>
  <c r="AN6" i="80"/>
  <c r="AD6" i="80"/>
  <c r="AC6" i="80"/>
  <c r="AM6" i="80"/>
  <c r="AA10" i="80"/>
  <c r="AH9" i="80"/>
  <c r="AA22" i="80"/>
  <c r="AF8" i="80"/>
  <c r="AA28" i="80"/>
  <c r="AH7" i="80"/>
  <c r="AD30" i="80"/>
  <c r="AC30" i="80"/>
  <c r="AH24" i="80"/>
  <c r="AH22" i="80"/>
  <c r="AC9" i="80"/>
  <c r="AD9" i="80"/>
  <c r="AD25" i="80"/>
  <c r="AC25" i="80"/>
  <c r="AM30" i="80"/>
  <c r="AJ30" i="80"/>
  <c r="AN30" i="80"/>
  <c r="AH8" i="80"/>
  <c r="AF20" i="80"/>
  <c r="AF30" i="80"/>
  <c r="AD31" i="80"/>
  <c r="AC31" i="80"/>
  <c r="AA9" i="80"/>
  <c r="AA20" i="36"/>
  <c r="AF9" i="80"/>
  <c r="AA20" i="80"/>
  <c r="AJ3" i="80"/>
  <c r="AN3" i="80"/>
  <c r="AM3" i="80"/>
  <c r="AH14" i="80"/>
  <c r="AD17" i="80"/>
  <c r="AC17" i="80"/>
  <c r="AF19" i="80"/>
  <c r="AH10" i="80"/>
  <c r="AH28" i="80"/>
  <c r="AH29" i="80"/>
  <c r="AA6" i="80"/>
  <c r="AJ10" i="80"/>
  <c r="AN10" i="80"/>
  <c r="AM10" i="80"/>
  <c r="AC8" i="80"/>
  <c r="AD8" i="80"/>
  <c r="AM8" i="80"/>
  <c r="AN8" i="80"/>
  <c r="AJ25" i="80"/>
  <c r="AM25" i="80"/>
  <c r="AN25" i="80"/>
  <c r="AC24" i="80"/>
  <c r="AD24" i="80"/>
  <c r="AA24" i="80"/>
  <c r="AA23" i="80"/>
  <c r="AM23" i="80"/>
  <c r="AN23" i="80"/>
  <c r="AC12" i="36"/>
  <c r="AD22" i="80"/>
  <c r="AC22" i="80"/>
  <c r="AF7" i="80"/>
  <c r="AH20" i="80"/>
  <c r="AF17" i="80"/>
  <c r="AH32" i="80"/>
  <c r="AA29" i="80"/>
  <c r="AC32" i="80"/>
  <c r="AD32" i="80"/>
  <c r="AA3" i="80"/>
  <c r="AA11" i="80"/>
  <c r="AK6" i="36"/>
  <c r="AJ6" i="36"/>
  <c r="AJ9" i="80"/>
  <c r="AN9" i="80"/>
  <c r="AM9" i="80"/>
  <c r="AA18" i="80"/>
  <c r="C19" i="82"/>
  <c r="G18" i="82"/>
  <c r="O17" i="77"/>
  <c r="I79" i="60"/>
  <c r="H38" i="76"/>
  <c r="K38" i="76" s="1"/>
  <c r="AM20" i="36"/>
  <c r="AM12" i="36"/>
  <c r="AM4" i="36"/>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J26" i="36" s="1"/>
  <c r="V26" i="36" s="1"/>
  <c r="N1758" i="69"/>
  <c r="J894" i="36"/>
  <c r="C78" i="6"/>
  <c r="E14" i="73"/>
  <c r="E4" i="73"/>
  <c r="D4" i="73"/>
  <c r="G79" i="6"/>
  <c r="A79" i="6"/>
  <c r="A80" i="6"/>
  <c r="I76" i="59"/>
  <c r="J890" i="36"/>
  <c r="N1681" i="69"/>
  <c r="AE32" i="36"/>
  <c r="AD8" i="36"/>
  <c r="AI25" i="36"/>
  <c r="AI26" i="36"/>
  <c r="Z3" i="36"/>
  <c r="AG5" i="36"/>
  <c r="AL19" i="36"/>
  <c r="AE3" i="36"/>
  <c r="AE31" i="36"/>
  <c r="AL5" i="36"/>
  <c r="AE27" i="36"/>
  <c r="AB11" i="36"/>
  <c r="AL29" i="36"/>
  <c r="AD7" i="36"/>
  <c r="AD18" i="36"/>
  <c r="AE9" i="36"/>
  <c r="AE30" i="36"/>
  <c r="AB13" i="36"/>
  <c r="AE17" i="36"/>
  <c r="Z32" i="36"/>
  <c r="AB15" i="36"/>
  <c r="AD16" i="36"/>
  <c r="AD3" i="36"/>
  <c r="AD17" i="36"/>
  <c r="AG15" i="36"/>
  <c r="AE23" i="36"/>
  <c r="AG13" i="36"/>
  <c r="AL18" i="36"/>
  <c r="AG6" i="36"/>
  <c r="AE4" i="36"/>
  <c r="AI12" i="36"/>
  <c r="AL11" i="36"/>
  <c r="Z24" i="36"/>
  <c r="Z26" i="36"/>
  <c r="AB26" i="36"/>
  <c r="AI8" i="36"/>
  <c r="AI23" i="36"/>
  <c r="AB3" i="36"/>
  <c r="Z29" i="36"/>
  <c r="Z25" i="36"/>
  <c r="Z23" i="36"/>
  <c r="AI17" i="36"/>
  <c r="AI4" i="36"/>
  <c r="AE20" i="36"/>
  <c r="AG7" i="36"/>
  <c r="AI20" i="36"/>
  <c r="AL3" i="36"/>
  <c r="AG4" i="36"/>
  <c r="AG29" i="36"/>
  <c r="AL14" i="36"/>
  <c r="AB27" i="36"/>
  <c r="Z21" i="36"/>
  <c r="AB7" i="36"/>
  <c r="AI11" i="36"/>
  <c r="AG8" i="36"/>
  <c r="AE25" i="36"/>
  <c r="AG23" i="36"/>
  <c r="AB29" i="36"/>
  <c r="AD10" i="36"/>
  <c r="AB17" i="36"/>
  <c r="AL9" i="36"/>
  <c r="AG30" i="36"/>
  <c r="AB6" i="36"/>
  <c r="AE15" i="36"/>
  <c r="AB24" i="36"/>
  <c r="Z10" i="36"/>
  <c r="AI24" i="36"/>
  <c r="AL17" i="36"/>
  <c r="AI32" i="36"/>
  <c r="AE5" i="36"/>
  <c r="AB32" i="36"/>
  <c r="AG28" i="36"/>
  <c r="Z17" i="36"/>
  <c r="AD24" i="36"/>
  <c r="AD14" i="36"/>
  <c r="AG16" i="36"/>
  <c r="AB22" i="36"/>
  <c r="AL23" i="36"/>
  <c r="AL32" i="36"/>
  <c r="AD13" i="36"/>
  <c r="Z6" i="36"/>
  <c r="Z14" i="36"/>
  <c r="Z31" i="36"/>
  <c r="AG19" i="36"/>
  <c r="AD9" i="36"/>
  <c r="AG12" i="36"/>
  <c r="AB18" i="36"/>
  <c r="AD25" i="36"/>
  <c r="AL15" i="36"/>
  <c r="AB31" i="36"/>
  <c r="AG31" i="36"/>
  <c r="AG27" i="36"/>
  <c r="AI16" i="36"/>
  <c r="Z30" i="36"/>
  <c r="AL31" i="36"/>
  <c r="AG21" i="36"/>
  <c r="AI22" i="36"/>
  <c r="AL28" i="36"/>
  <c r="Z9" i="36"/>
  <c r="AG32" i="36"/>
  <c r="AD6" i="36"/>
  <c r="AG11" i="36"/>
  <c r="Z15" i="36"/>
  <c r="AD32" i="36"/>
  <c r="AG24" i="36"/>
  <c r="AE21" i="36"/>
  <c r="AL22" i="36"/>
  <c r="AB19" i="36"/>
  <c r="AB23" i="36"/>
  <c r="AE11" i="36"/>
  <c r="AD21" i="36"/>
  <c r="AG10" i="36"/>
  <c r="AI3" i="36"/>
  <c r="Z22" i="36"/>
  <c r="AB9" i="36"/>
  <c r="AI28" i="36"/>
  <c r="AD15" i="36"/>
  <c r="AG18" i="36"/>
  <c r="AD11" i="36"/>
  <c r="AE10" i="36"/>
  <c r="AD19" i="36"/>
  <c r="AD26" i="36"/>
  <c r="AD31" i="36"/>
  <c r="AL20" i="36"/>
  <c r="Z5" i="36"/>
  <c r="Z18" i="36"/>
  <c r="AE14" i="36"/>
  <c r="AL30" i="36"/>
  <c r="AL7" i="36"/>
  <c r="AE7" i="36"/>
  <c r="AL4" i="36"/>
  <c r="AD29" i="36"/>
  <c r="AB10" i="36"/>
  <c r="AD27" i="36"/>
  <c r="AD5" i="36"/>
  <c r="Z16" i="36"/>
  <c r="AI5" i="36"/>
  <c r="AG25" i="36"/>
  <c r="Z7" i="36"/>
  <c r="AE12" i="36"/>
  <c r="AE8" i="36"/>
  <c r="Z13" i="36"/>
  <c r="Z19" i="36"/>
  <c r="Z27" i="36"/>
  <c r="AD28" i="36"/>
  <c r="AL8" i="36"/>
  <c r="AG3" i="36"/>
  <c r="AB30" i="36"/>
  <c r="AL16" i="36"/>
  <c r="AB16" i="36"/>
  <c r="AL12" i="36"/>
  <c r="AG26" i="36"/>
  <c r="AB8" i="36"/>
  <c r="AE26" i="36"/>
  <c r="AI10" i="36"/>
  <c r="AI29" i="36"/>
  <c r="AG14" i="36"/>
  <c r="AE16" i="36"/>
  <c r="AI31" i="36"/>
  <c r="AE29" i="36"/>
  <c r="AE13" i="36"/>
  <c r="AB14" i="36"/>
  <c r="AB21" i="36"/>
  <c r="AI15" i="36"/>
  <c r="AI19" i="36"/>
  <c r="AE18" i="36"/>
  <c r="AL24" i="36"/>
  <c r="Z28" i="36"/>
  <c r="AI14" i="36"/>
  <c r="AD22" i="36"/>
  <c r="AE28" i="36"/>
  <c r="AI18" i="36"/>
  <c r="AG9" i="36"/>
  <c r="AE19" i="36"/>
  <c r="AD30" i="36"/>
  <c r="AE22" i="36"/>
  <c r="AG22" i="36"/>
  <c r="AL26" i="36"/>
  <c r="AD23" i="36"/>
  <c r="AI9" i="36"/>
  <c r="AI7" i="36"/>
  <c r="Z11" i="36"/>
  <c r="AG20" i="36"/>
  <c r="AB5" i="36"/>
  <c r="AL10" i="36"/>
  <c r="AI30" i="36"/>
  <c r="AB25" i="36"/>
  <c r="AB28" i="36"/>
  <c r="AE24" i="36"/>
  <c r="Z8" i="36"/>
  <c r="Z4" i="36"/>
  <c r="AL25" i="36"/>
  <c r="AE6" i="36"/>
  <c r="AG17" i="36"/>
  <c r="Z12" i="36"/>
  <c r="G105" i="85" l="1"/>
  <c r="B103" i="85"/>
  <c r="B111" i="85"/>
  <c r="D111" i="85"/>
  <c r="E112" i="85"/>
  <c r="E105" i="85"/>
  <c r="G112" i="85"/>
  <c r="D103" i="85"/>
  <c r="H216" i="84"/>
  <c r="H224" i="84"/>
  <c r="H208" i="84"/>
  <c r="G214" i="84"/>
  <c r="D225" i="84"/>
  <c r="E208" i="84"/>
  <c r="B236" i="84"/>
  <c r="B227" i="84"/>
  <c r="G234" i="84"/>
  <c r="D231" i="84"/>
  <c r="G211" i="84"/>
  <c r="G221" i="84"/>
  <c r="G207" i="84"/>
  <c r="E212" i="84"/>
  <c r="D218" i="84"/>
  <c r="B230" i="84"/>
  <c r="E216" i="84"/>
  <c r="D219" i="84"/>
  <c r="E224" i="84"/>
  <c r="G222" i="84"/>
  <c r="G230" i="84"/>
  <c r="G228" i="84"/>
  <c r="B215" i="84"/>
  <c r="E213" i="84"/>
  <c r="B232" i="84"/>
  <c r="B219" i="84"/>
  <c r="D215" i="84"/>
  <c r="B228" i="84"/>
  <c r="B210" i="84"/>
  <c r="B225" i="84"/>
  <c r="B217" i="84"/>
  <c r="E207" i="84"/>
  <c r="B209" i="84"/>
  <c r="G220" i="84"/>
  <c r="E227" i="84"/>
  <c r="B214" i="84"/>
  <c r="E222" i="84"/>
  <c r="D213" i="84"/>
  <c r="D229" i="84"/>
  <c r="B207" i="84"/>
  <c r="G227" i="84"/>
  <c r="D214" i="84"/>
  <c r="B231" i="84"/>
  <c r="D212" i="84"/>
  <c r="G233" i="84"/>
  <c r="B233" i="84"/>
  <c r="B212" i="84"/>
  <c r="E219" i="84"/>
  <c r="E232" i="84"/>
  <c r="D221" i="84"/>
  <c r="G229" i="84"/>
  <c r="E229" i="84"/>
  <c r="G224" i="84"/>
  <c r="B229" i="84"/>
  <c r="E228" i="84"/>
  <c r="E234" i="84"/>
  <c r="D228" i="84"/>
  <c r="B226" i="84"/>
  <c r="E226" i="84"/>
  <c r="E230" i="84"/>
  <c r="B220" i="84"/>
  <c r="E235" i="84"/>
  <c r="D222" i="84"/>
  <c r="D209" i="84"/>
  <c r="D232" i="84"/>
  <c r="B222" i="84"/>
  <c r="B235" i="84"/>
  <c r="B218" i="84"/>
  <c r="E223" i="84"/>
  <c r="B213" i="84"/>
  <c r="G216" i="84"/>
  <c r="D207" i="84"/>
  <c r="G218" i="84"/>
  <c r="G236" i="84"/>
  <c r="D227" i="84"/>
  <c r="E215" i="84"/>
  <c r="D234" i="84"/>
  <c r="G226" i="84"/>
  <c r="D210" i="84"/>
  <c r="G232" i="84"/>
  <c r="D220" i="84"/>
  <c r="D223" i="84"/>
  <c r="G208" i="84"/>
  <c r="E209" i="84"/>
  <c r="G209" i="84"/>
  <c r="G223" i="84"/>
  <c r="E236" i="84"/>
  <c r="D226" i="84"/>
  <c r="D211" i="84"/>
  <c r="E233" i="84"/>
  <c r="D217" i="84"/>
  <c r="D230" i="84"/>
  <c r="E218" i="84"/>
  <c r="G235" i="84"/>
  <c r="E221" i="84"/>
  <c r="B221" i="84"/>
  <c r="D236" i="84"/>
  <c r="E214" i="84"/>
  <c r="E211" i="84"/>
  <c r="G213" i="84"/>
  <c r="B234" i="84"/>
  <c r="G219" i="84"/>
  <c r="D233" i="84"/>
  <c r="D235" i="84"/>
  <c r="E220" i="84"/>
  <c r="G212" i="84"/>
  <c r="B223" i="84"/>
  <c r="B211" i="84"/>
  <c r="G215" i="84"/>
  <c r="P27" i="73"/>
  <c r="F108" i="84"/>
  <c r="L35" i="84"/>
  <c r="F225" i="84"/>
  <c r="C224" i="84"/>
  <c r="K34" i="84"/>
  <c r="F231" i="84"/>
  <c r="L41" i="84"/>
  <c r="F210" i="84"/>
  <c r="L20" i="84"/>
  <c r="C216" i="84"/>
  <c r="K26" i="84"/>
  <c r="L27" i="84"/>
  <c r="F217" i="84"/>
  <c r="C208" i="84"/>
  <c r="K18" i="84"/>
  <c r="AM27" i="36"/>
  <c r="AN27" i="36"/>
  <c r="AC27" i="36"/>
  <c r="AC8" i="36"/>
  <c r="AN8" i="36"/>
  <c r="AM8" i="36"/>
  <c r="AJ31" i="36"/>
  <c r="AK31" i="36"/>
  <c r="AF22" i="36"/>
  <c r="AF25" i="36"/>
  <c r="AH32" i="36"/>
  <c r="AH4" i="36"/>
  <c r="AF9" i="36"/>
  <c r="AH29" i="36"/>
  <c r="AF32" i="36"/>
  <c r="AO20" i="36"/>
  <c r="AF20" i="36"/>
  <c r="AF18" i="36"/>
  <c r="AF5" i="36"/>
  <c r="AJ26" i="36"/>
  <c r="AK26" i="36"/>
  <c r="AA19" i="36"/>
  <c r="AO19" i="36"/>
  <c r="AM24" i="36"/>
  <c r="E46" i="7"/>
  <c r="AC24" i="36"/>
  <c r="E46" i="82"/>
  <c r="K33" i="77" s="1"/>
  <c r="AN24" i="36"/>
  <c r="AA5" i="36"/>
  <c r="AO5" i="36"/>
  <c r="AF14" i="36"/>
  <c r="AK7" i="36"/>
  <c r="AJ7" i="36"/>
  <c r="AK29" i="36"/>
  <c r="AJ29" i="36"/>
  <c r="AC11" i="36"/>
  <c r="AM11" i="36"/>
  <c r="AN11" i="36"/>
  <c r="AO4" i="36"/>
  <c r="AA4" i="36"/>
  <c r="AO3" i="36"/>
  <c r="AA3" i="36"/>
  <c r="AF19" i="36"/>
  <c r="AA31" i="36"/>
  <c r="AO31" i="36"/>
  <c r="AF13" i="36"/>
  <c r="AH3" i="36"/>
  <c r="AN6" i="36"/>
  <c r="AM6" i="36"/>
  <c r="AC6" i="36"/>
  <c r="AK15" i="36"/>
  <c r="AJ15" i="36"/>
  <c r="AH28" i="36"/>
  <c r="AK10" i="36"/>
  <c r="AJ10" i="36"/>
  <c r="AH5" i="36"/>
  <c r="AK17" i="36"/>
  <c r="AJ17" i="36"/>
  <c r="AK28" i="36"/>
  <c r="AJ28" i="36"/>
  <c r="AA18" i="36"/>
  <c r="AO18" i="36"/>
  <c r="AA6" i="36"/>
  <c r="AO6" i="36"/>
  <c r="AF23" i="36"/>
  <c r="AC29" i="36"/>
  <c r="AN29" i="36"/>
  <c r="AM29" i="36"/>
  <c r="AH15" i="36"/>
  <c r="AA9" i="36"/>
  <c r="AO9" i="36"/>
  <c r="AH22" i="36"/>
  <c r="AM30" i="36"/>
  <c r="AC30" i="36"/>
  <c r="AN30" i="36"/>
  <c r="AH17" i="36"/>
  <c r="AC16" i="36"/>
  <c r="AN16" i="36"/>
  <c r="AM16" i="36"/>
  <c r="AF7" i="36"/>
  <c r="AC21" i="36"/>
  <c r="AN21" i="36"/>
  <c r="AM21" i="36"/>
  <c r="AA8" i="36"/>
  <c r="AO8" i="36"/>
  <c r="AN23" i="36"/>
  <c r="AM23" i="36"/>
  <c r="AC23" i="36"/>
  <c r="AH9" i="36"/>
  <c r="AH10" i="36"/>
  <c r="AH23" i="36"/>
  <c r="AJ22" i="36"/>
  <c r="AK22" i="36"/>
  <c r="AJ9" i="36"/>
  <c r="AK9" i="36"/>
  <c r="AM13" i="36"/>
  <c r="AC13" i="36"/>
  <c r="AN13" i="36"/>
  <c r="AO12" i="36"/>
  <c r="AA12" i="36"/>
  <c r="AH24" i="36"/>
  <c r="I46" i="82"/>
  <c r="P33" i="77" s="1"/>
  <c r="I46" i="7"/>
  <c r="AA17" i="36"/>
  <c r="AO17" i="36"/>
  <c r="AO22" i="36"/>
  <c r="AA22" i="36"/>
  <c r="AF31" i="36"/>
  <c r="AF16" i="36"/>
  <c r="AA23" i="36"/>
  <c r="AO23" i="36"/>
  <c r="AF4" i="36"/>
  <c r="AN17" i="36"/>
  <c r="AM17" i="36"/>
  <c r="AC17" i="36"/>
  <c r="AK8" i="36"/>
  <c r="AJ8" i="36"/>
  <c r="AH12" i="36"/>
  <c r="AF21" i="36"/>
  <c r="AF6" i="36"/>
  <c r="AK16" i="36"/>
  <c r="AJ16" i="36"/>
  <c r="AA16" i="36"/>
  <c r="AO16" i="36"/>
  <c r="AO28" i="36"/>
  <c r="AA28" i="36"/>
  <c r="AA32" i="36"/>
  <c r="AO32" i="36"/>
  <c r="AO29" i="36"/>
  <c r="AA29" i="36"/>
  <c r="AN18" i="36"/>
  <c r="AM18" i="36"/>
  <c r="AC18" i="36"/>
  <c r="AF26" i="36"/>
  <c r="H46" i="82"/>
  <c r="O33" i="77" s="1"/>
  <c r="H46" i="7"/>
  <c r="AF24" i="36"/>
  <c r="AH21" i="36"/>
  <c r="AO30" i="36"/>
  <c r="AA30" i="36"/>
  <c r="AF15" i="36"/>
  <c r="AK3" i="36"/>
  <c r="AJ3" i="36"/>
  <c r="AA26" i="36"/>
  <c r="AO26" i="36"/>
  <c r="C46" i="82"/>
  <c r="F33" i="77" s="1"/>
  <c r="C46" i="7"/>
  <c r="AA24" i="36"/>
  <c r="D46" i="7" s="1"/>
  <c r="AO24" i="36"/>
  <c r="AH11" i="36"/>
  <c r="AN5" i="36"/>
  <c r="AC5" i="36"/>
  <c r="AM5" i="36"/>
  <c r="AA13" i="36"/>
  <c r="AO13" i="36"/>
  <c r="AN31" i="36"/>
  <c r="AM31" i="36"/>
  <c r="AC31" i="36"/>
  <c r="AH26" i="36"/>
  <c r="AC28" i="36"/>
  <c r="AM28" i="36"/>
  <c r="AN28" i="36"/>
  <c r="AF11" i="36"/>
  <c r="AA14" i="36"/>
  <c r="AO14" i="36"/>
  <c r="AC14" i="36"/>
  <c r="AN14" i="36"/>
  <c r="AM14" i="36"/>
  <c r="AK5" i="36"/>
  <c r="AJ5" i="36"/>
  <c r="AH13" i="36"/>
  <c r="AH7" i="36"/>
  <c r="AF10" i="36"/>
  <c r="AF30" i="36"/>
  <c r="AA7" i="36"/>
  <c r="AO7" i="36"/>
  <c r="AK25" i="36"/>
  <c r="AJ25" i="36"/>
  <c r="AK19" i="36"/>
  <c r="AJ19" i="36"/>
  <c r="AH6" i="36"/>
  <c r="AC19" i="36"/>
  <c r="AM19" i="36"/>
  <c r="AN19" i="36"/>
  <c r="AH20" i="36"/>
  <c r="AF29" i="36"/>
  <c r="AN26" i="36"/>
  <c r="AM26" i="36"/>
  <c r="AC26" i="36"/>
  <c r="AK23" i="36"/>
  <c r="AJ23" i="36"/>
  <c r="AH8" i="36"/>
  <c r="AO15" i="36"/>
  <c r="AA15" i="36"/>
  <c r="AF17" i="36"/>
  <c r="AF28" i="36"/>
  <c r="AJ4" i="36"/>
  <c r="AN4" i="36"/>
  <c r="AK4" i="36"/>
  <c r="AH27" i="36"/>
  <c r="AK12" i="36"/>
  <c r="AJ12" i="36"/>
  <c r="AN12" i="36"/>
  <c r="AN10" i="36"/>
  <c r="AC10" i="36"/>
  <c r="AM10" i="36"/>
  <c r="AN9" i="36"/>
  <c r="AM9" i="36"/>
  <c r="AC9" i="36"/>
  <c r="AH30" i="36"/>
  <c r="AJ11" i="36"/>
  <c r="AK11" i="36"/>
  <c r="AF3" i="36"/>
  <c r="AA27" i="36"/>
  <c r="AO27" i="36"/>
  <c r="AJ18" i="36"/>
  <c r="AK18" i="36"/>
  <c r="AH18" i="36"/>
  <c r="AA11" i="36"/>
  <c r="AO11" i="36"/>
  <c r="AH25" i="36"/>
  <c r="AJ14" i="36"/>
  <c r="AK14" i="36"/>
  <c r="AA21" i="36"/>
  <c r="AO21" i="36"/>
  <c r="AO25" i="36"/>
  <c r="AA25" i="36"/>
  <c r="AN25" i="36"/>
  <c r="AC25" i="36"/>
  <c r="AM25" i="36"/>
  <c r="AK32" i="36"/>
  <c r="AJ32" i="36"/>
  <c r="AC7" i="36"/>
  <c r="AN7" i="36"/>
  <c r="AM7" i="36"/>
  <c r="AA10" i="36"/>
  <c r="AO10" i="36"/>
  <c r="AJ20" i="36"/>
  <c r="AN20" i="36"/>
  <c r="AK20" i="36"/>
  <c r="J46" i="7"/>
  <c r="J46" i="82"/>
  <c r="Q33" i="77" s="1"/>
  <c r="AK24" i="36"/>
  <c r="K43" i="7" s="1"/>
  <c r="AJ24" i="36"/>
  <c r="AF12" i="36"/>
  <c r="AF8" i="36"/>
  <c r="AK30" i="36"/>
  <c r="AJ30" i="36"/>
  <c r="AH14" i="36"/>
  <c r="AF27" i="36"/>
  <c r="AH16" i="36"/>
  <c r="AN15" i="36"/>
  <c r="AM15" i="36"/>
  <c r="AC15" i="36"/>
  <c r="G46" i="7"/>
  <c r="G46" i="82"/>
  <c r="M33" i="77" s="1"/>
  <c r="AH19" i="36"/>
  <c r="AM32" i="36"/>
  <c r="AC32" i="36"/>
  <c r="AN32" i="36"/>
  <c r="AH31" i="36"/>
  <c r="L43" i="7"/>
  <c r="AC3" i="36"/>
  <c r="AN3" i="36"/>
  <c r="AM3" i="36"/>
  <c r="AC22" i="36"/>
  <c r="AN22" i="36"/>
  <c r="AM22" i="36"/>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N27" i="73"/>
  <c r="U26" i="36"/>
  <c r="T27" i="73" s="1"/>
  <c r="H48" i="29"/>
  <c r="O1682" i="69"/>
  <c r="K891" i="36"/>
  <c r="K894" i="36"/>
  <c r="O1758" i="69"/>
  <c r="K890" i="36"/>
  <c r="O1681" i="69"/>
  <c r="B4" i="59"/>
  <c r="J25" i="36"/>
  <c r="E113" i="85" l="1"/>
  <c r="G104" i="85"/>
  <c r="C103" i="85"/>
  <c r="B106" i="85"/>
  <c r="G108" i="85"/>
  <c r="E104" i="85"/>
  <c r="E110" i="85"/>
  <c r="B113" i="85"/>
  <c r="D107" i="85"/>
  <c r="B109" i="85"/>
  <c r="G109" i="85"/>
  <c r="G110" i="85"/>
  <c r="G102" i="85"/>
  <c r="F112" i="85"/>
  <c r="E106" i="85"/>
  <c r="D112" i="85"/>
  <c r="G103" i="85"/>
  <c r="D110" i="85"/>
  <c r="G106" i="85"/>
  <c r="G107" i="85"/>
  <c r="E109" i="85"/>
  <c r="D109" i="85"/>
  <c r="H103" i="85"/>
  <c r="D106" i="85"/>
  <c r="G113" i="85"/>
  <c r="B104" i="85"/>
  <c r="E111" i="85"/>
  <c r="C111" i="85"/>
  <c r="D102" i="85"/>
  <c r="D104" i="85"/>
  <c r="B102" i="85"/>
  <c r="E102" i="85"/>
  <c r="E108" i="85"/>
  <c r="H111" i="85"/>
  <c r="B105" i="85"/>
  <c r="D105" i="85"/>
  <c r="G111" i="85"/>
  <c r="B107" i="85"/>
  <c r="B112" i="85"/>
  <c r="B110" i="85"/>
  <c r="D113" i="85"/>
  <c r="F105" i="85"/>
  <c r="B108" i="85"/>
  <c r="D108" i="85"/>
  <c r="E107" i="85"/>
  <c r="E103" i="85"/>
  <c r="H217" i="84"/>
  <c r="H102" i="84"/>
  <c r="H91" i="84"/>
  <c r="H223" i="84"/>
  <c r="H96" i="84"/>
  <c r="H87" i="84"/>
  <c r="H227" i="84"/>
  <c r="H220" i="84"/>
  <c r="H229" i="84"/>
  <c r="H214" i="84"/>
  <c r="H86" i="84"/>
  <c r="H105" i="84"/>
  <c r="H98" i="84"/>
  <c r="H93" i="84"/>
  <c r="H212" i="84"/>
  <c r="H219" i="84"/>
  <c r="H235" i="84"/>
  <c r="H215" i="84"/>
  <c r="H90" i="84"/>
  <c r="H88" i="84"/>
  <c r="H226" i="84"/>
  <c r="H114" i="84"/>
  <c r="H97" i="84"/>
  <c r="H107" i="84"/>
  <c r="H92" i="84"/>
  <c r="H230" i="84"/>
  <c r="H113" i="84"/>
  <c r="H222" i="84"/>
  <c r="H233" i="84"/>
  <c r="L46" i="82"/>
  <c r="H101" i="84"/>
  <c r="H218" i="84"/>
  <c r="H104" i="84"/>
  <c r="H211" i="84"/>
  <c r="H94" i="84"/>
  <c r="H108" i="84"/>
  <c r="H100" i="84"/>
  <c r="H225" i="84"/>
  <c r="H112" i="84"/>
  <c r="H111" i="84"/>
  <c r="H85" i="84"/>
  <c r="H213" i="84"/>
  <c r="H236" i="84"/>
  <c r="H89" i="84"/>
  <c r="H110" i="84"/>
  <c r="H221" i="84"/>
  <c r="H95" i="84"/>
  <c r="H103" i="84"/>
  <c r="H109" i="84"/>
  <c r="H207" i="84"/>
  <c r="H232" i="84"/>
  <c r="H209" i="84"/>
  <c r="H99" i="84"/>
  <c r="H234" i="84"/>
  <c r="H210" i="84"/>
  <c r="H231" i="84"/>
  <c r="C207" i="84"/>
  <c r="K17" i="84"/>
  <c r="F214" i="84"/>
  <c r="L24" i="84"/>
  <c r="C219" i="84"/>
  <c r="K29" i="84"/>
  <c r="F224" i="84"/>
  <c r="L34" i="84"/>
  <c r="L28" i="84"/>
  <c r="F218" i="84"/>
  <c r="C223" i="84"/>
  <c r="K33" i="84"/>
  <c r="K28" i="84"/>
  <c r="C218" i="84"/>
  <c r="C235" i="84"/>
  <c r="K45" i="84"/>
  <c r="L23" i="84"/>
  <c r="F213" i="84"/>
  <c r="K39" i="84"/>
  <c r="C229" i="84"/>
  <c r="C214" i="84"/>
  <c r="K24" i="84"/>
  <c r="F208" i="84"/>
  <c r="L18" i="84"/>
  <c r="K40" i="84"/>
  <c r="C230" i="84"/>
  <c r="C222" i="84"/>
  <c r="K32" i="84"/>
  <c r="L22" i="84"/>
  <c r="F212" i="84"/>
  <c r="C220" i="84"/>
  <c r="K30" i="84"/>
  <c r="K36" i="84"/>
  <c r="C226" i="84"/>
  <c r="L26" i="84"/>
  <c r="F216" i="84"/>
  <c r="L39" i="84"/>
  <c r="F229" i="84"/>
  <c r="F209" i="84"/>
  <c r="L19" i="84"/>
  <c r="F220" i="84"/>
  <c r="L30" i="84"/>
  <c r="C234" i="84"/>
  <c r="K44" i="84"/>
  <c r="K43" i="84"/>
  <c r="C233" i="84"/>
  <c r="F221" i="84"/>
  <c r="L31" i="84"/>
  <c r="C210" i="84"/>
  <c r="K20" i="84"/>
  <c r="F46" i="7"/>
  <c r="K38" i="84"/>
  <c r="C228" i="84"/>
  <c r="F223" i="84"/>
  <c r="L33" i="84"/>
  <c r="L29" i="84"/>
  <c r="F219" i="84"/>
  <c r="K25" i="84"/>
  <c r="C215" i="84"/>
  <c r="L40" i="84"/>
  <c r="F230" i="84"/>
  <c r="C212" i="84"/>
  <c r="K22" i="84"/>
  <c r="L38" i="84"/>
  <c r="F228" i="84"/>
  <c r="L36" i="84"/>
  <c r="F226" i="84"/>
  <c r="L42" i="84"/>
  <c r="F232" i="84"/>
  <c r="L46" i="7"/>
  <c r="H106" i="84"/>
  <c r="C236" i="84"/>
  <c r="K46" i="84"/>
  <c r="L25" i="84"/>
  <c r="F215" i="84"/>
  <c r="C221" i="84"/>
  <c r="K31" i="84"/>
  <c r="L43" i="84"/>
  <c r="F233" i="84"/>
  <c r="C231" i="84"/>
  <c r="K41" i="84"/>
  <c r="K27" i="84"/>
  <c r="C217" i="84"/>
  <c r="C225" i="84"/>
  <c r="K35" i="84"/>
  <c r="F211" i="84"/>
  <c r="L21" i="84"/>
  <c r="F234" i="84"/>
  <c r="L44" i="84"/>
  <c r="L46" i="84"/>
  <c r="F236" i="84"/>
  <c r="L32" i="84"/>
  <c r="F222" i="84"/>
  <c r="K42" i="84"/>
  <c r="C232" i="84"/>
  <c r="K19" i="84"/>
  <c r="C209" i="84"/>
  <c r="C227" i="84"/>
  <c r="K37" i="84"/>
  <c r="K46" i="7"/>
  <c r="H228" i="84"/>
  <c r="C211" i="84"/>
  <c r="K21" i="84"/>
  <c r="K23" i="84"/>
  <c r="C213" i="84"/>
  <c r="L37" i="84"/>
  <c r="F227" i="84"/>
  <c r="F207" i="84"/>
  <c r="L17" i="84"/>
  <c r="L45" i="84"/>
  <c r="F235" i="84"/>
  <c r="F46" i="82"/>
  <c r="L33" i="77" s="1"/>
  <c r="K46" i="82"/>
  <c r="S33" i="77" s="1"/>
  <c r="D46" i="82"/>
  <c r="H33" i="77" s="1"/>
  <c r="U26" i="80"/>
  <c r="V26" i="80"/>
  <c r="U27" i="73"/>
  <c r="E27" i="73" s="1"/>
  <c r="H27" i="73"/>
  <c r="G27" i="73"/>
  <c r="F27" i="73"/>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C108" i="85" l="1"/>
  <c r="C104" i="85"/>
  <c r="C105" i="85"/>
  <c r="C102" i="85"/>
  <c r="H104" i="85"/>
  <c r="H102" i="85"/>
  <c r="H48" i="85"/>
  <c r="H108" i="85"/>
  <c r="H106" i="85"/>
  <c r="H41" i="85"/>
  <c r="H107" i="85"/>
  <c r="H39" i="85"/>
  <c r="H49" i="85"/>
  <c r="F104" i="85"/>
  <c r="F103" i="85"/>
  <c r="H38" i="85"/>
  <c r="H43" i="85"/>
  <c r="H46" i="85"/>
  <c r="H109" i="85"/>
  <c r="C106" i="85"/>
  <c r="F106" i="85"/>
  <c r="C107" i="85"/>
  <c r="F107" i="85"/>
  <c r="C113" i="85"/>
  <c r="F113" i="85"/>
  <c r="C109" i="85"/>
  <c r="H47" i="85"/>
  <c r="H45" i="85"/>
  <c r="H110" i="85"/>
  <c r="H112" i="85"/>
  <c r="F111" i="85"/>
  <c r="F108" i="85"/>
  <c r="F102" i="85"/>
  <c r="C112" i="85"/>
  <c r="F110" i="85"/>
  <c r="C110" i="85"/>
  <c r="F109" i="85"/>
  <c r="H105" i="85"/>
  <c r="H42" i="85"/>
  <c r="H113" i="85"/>
  <c r="H40" i="85"/>
  <c r="H44" i="85"/>
  <c r="G11" i="84"/>
  <c r="G39" i="84"/>
  <c r="B107" i="84"/>
  <c r="D27" i="73"/>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11" i="85" l="1"/>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34" authorId="0" shapeId="0" xr:uid="{116DB112-C26B-478D-8037-89C5BA810664}">
      <text>
        <r>
          <rPr>
            <sz val="11"/>
            <color theme="1"/>
            <rFont val="Calibri"/>
            <family val="2"/>
            <scheme val="minor"/>
          </rPr>
          <t>Dropdown status drives visual cue. Percent fields and evidence support payment defense.</t>
        </r>
      </text>
    </comment>
    <comment ref="B143" authorId="0" shapeId="0" xr:uid="{30FF4EAD-FD43-4F33-9D45-7051E91BE882}">
      <text>
        <r>
          <rPr>
            <sz val="11"/>
            <color theme="1"/>
            <rFont val="Calibri"/>
            <family val="2"/>
            <scheme val="minor"/>
          </rPr>
          <t>Dropdown status drives visual cue. Percent fields and evidence support payment defense.</t>
        </r>
      </text>
    </comment>
    <comment ref="B155" authorId="0" shapeId="0" xr:uid="{65BD7B14-DD2A-4192-AE9A-5D62AAC671AF}">
      <text>
        <r>
          <rPr>
            <sz val="11"/>
            <color theme="1"/>
            <rFont val="Calibri"/>
            <family val="2"/>
            <scheme val="minor"/>
          </rPr>
          <t>Compare installed materials against approved submittals/spec sections.</t>
        </r>
      </text>
    </comment>
    <comment ref="B164" authorId="0" shapeId="0" xr:uid="{0109F294-4B07-4574-B8E4-118A70A20476}">
      <text>
        <r>
          <rPr>
            <sz val="11"/>
            <color theme="1"/>
            <rFont val="Calibri"/>
            <family val="2"/>
            <scheme val="minor"/>
          </rPr>
          <t>Planned vs actual production supports delay/time-extension rebuttal.</t>
        </r>
      </text>
    </comment>
    <comment ref="B172" authorId="0" shapeId="0" xr:uid="{C4C1280F-F5EA-4A6C-8701-1EB12007008A}">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<sst xmlns="http://schemas.openxmlformats.org/spreadsheetml/2006/main" count="39384" uniqueCount="5995">
  <si>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</si>
  <si>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</si>
  <si>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</si>
  <si>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</si>
  <si>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</si>
  <si>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</si>
  <si>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</si>
  <si>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</si>
  <si>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</si>
  <si>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</si>
  <si>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</si>
  <si>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</si>
  <si>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</si>
  <si>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</si>
  <si>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</si>
  <si>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</si>
  <si>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</si>
  <si>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</si>
  <si>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</si>
  <si>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</si>
  <si>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</si>
  <si>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</si>
  <si>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</si>
  <si>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</si>
  <si>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</si>
  <si>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</si>
  <si>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</si>
  <si>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</si>
  <si>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</si>
  <si>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</si>
  <si>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</si>
  <si>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</si>
  <si>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</si>
  <si>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</si>
  <si>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</si>
  <si>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</si>
  <si>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</si>
  <si>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</si>
  <si>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</si>
  <si>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</si>
  <si>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</si>
  <si>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</si>
  <si>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</si>
  <si>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</si>
  <si>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</si>
  <si>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</si>
  <si>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</si>
  <si>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</si>
  <si>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</si>
  <si>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</si>
  <si>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</si>
  <si>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</si>
  <si>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</si>
  <si>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</si>
  <si>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</si>
  <si>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</si>
  <si>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</si>
  <si>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</si>
  <si>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</si>
  <si>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</si>
  <si>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</si>
  <si>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</si>
  <si>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</si>
  <si>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</si>
  <si>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</si>
  <si>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</si>
  <si>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</si>
  <si>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</si>
  <si>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</si>
  <si>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</si>
  <si>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</si>
  <si>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</si>
  <si>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</si>
  <si>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</si>
  <si>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</si>
  <si>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</si>
  <si>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</si>
  <si>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</si>
  <si>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</si>
  <si>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</si>
  <si>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</si>
  <si>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</si>
  <si>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</si>
  <si>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</si>
  <si>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</si>
  <si>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</si>
  <si>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</si>
  <si>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</si>
  <si>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</si>
  <si>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</si>
  <si>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</si>
  <si>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</si>
  <si>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</si>
  <si>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</si>
  <si>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</si>
  <si>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</si>
  <si>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</si>
  <si>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</si>
  <si>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</si>
  <si>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</si>
  <si>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</si>
  <si>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</si>
  <si>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</si>
  <si>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</si>
  <si>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</si>
  <si>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</si>
  <si>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</si>
  <si>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</si>
  <si>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</si>
  <si>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</si>
  <si>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</si>
  <si>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</si>
  <si>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</si>
  <si>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</si>
  <si>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</si>
  <si>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</si>
  <si>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</si>
  <si>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</si>
  <si>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</si>
  <si>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</si>
  <si>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</si>
  <si>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</si>
  <si>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</si>
  <si>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</si>
  <si>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</si>
  <si>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</si>
  <si>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</si>
  <si>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</si>
  <si>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</si>
  <si>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</si>
  <si>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</si>
  <si>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</si>
  <si>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</si>
  <si>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</si>
  <si>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</si>
  <si>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</si>
  <si>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</si>
  <si>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</si>
  <si>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</si>
  <si>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</si>
  <si>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</si>
  <si>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</si>
  <si>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</si>
  <si>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</si>
  <si>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</si>
  <si>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</si>
  <si>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</si>
  <si>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</si>
  <si>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</si>
  <si>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</si>
  <si>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</si>
  <si>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</si>
  <si>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</si>
  <si>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</si>
  <si>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</si>
  <si>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</si>
  <si>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</si>
  <si>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</si>
  <si>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</si>
  <si>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</si>
  <si>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</si>
  <si>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</si>
  <si>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</si>
  <si>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</si>
  <si>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</si>
  <si>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</si>
  <si>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</si>
  <si>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</si>
  <si>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</si>
  <si>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</si>
  <si>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</si>
  <si>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</si>
  <si>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</si>
  <si>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</si>
  <si>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</si>
  <si>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</si>
  <si>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</si>
  <si>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</si>
  <si>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</si>
  <si>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</si>
  <si>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</si>
  <si>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</si>
  <si>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</si>
  <si>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</si>
  <si>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</si>
  <si>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</si>
  <si>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</si>
  <si>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</si>
  <si>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</si>
  <si>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</si>
  <si>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</si>
  <si>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</si>
  <si>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</si>
  <si>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</si>
  <si>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</si>
  <si>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</si>
  <si>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</si>
  <si>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</si>
  <si>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</si>
  <si>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</si>
  <si>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</si>
  <si>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</si>
  <si>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</si>
  <si>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</si>
  <si>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</si>
  <si>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</si>
  <si>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</si>
  <si>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</si>
  <si>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</si>
  <si>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</si>
  <si>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</si>
  <si>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</si>
  <si>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</si>
  <si>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</si>
  <si>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</si>
  <si>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</si>
  <si>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</si>
  <si>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</si>
  <si>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</si>
  <si>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</si>
  <si>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</si>
  <si>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</si>
  <si>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</si>
  <si>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</si>
  <si>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</si>
  <si>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</si>
  <si>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</si>
  <si>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</si>
  <si>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</si>
  <si>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</si>
  <si>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</si>
  <si>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</si>
  <si>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</si>
  <si>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</si>
  <si>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</si>
  <si>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</si>
  <si>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</si>
  <si>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</si>
  <si>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</si>
  <si>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</si>
  <si>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</si>
  <si>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</si>
  <si>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</si>
  <si>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</si>
  <si>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</si>
  <si>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</si>
  <si>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</si>
  <si>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</si>
  <si>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</si>
  <si>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</si>
  <si>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</si>
  <si>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</si>
  <si>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</si>
  <si>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</si>
  <si>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</si>
  <si>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</si>
  <si>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</si>
  <si>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</si>
  <si>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</si>
  <si>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</si>
  <si>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</si>
  <si>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</si>
  <si>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</si>
  <si>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</si>
  <si>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</si>
  <si>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</si>
  <si>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</si>
  <si>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</si>
  <si>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</si>
  <si>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</si>
  <si>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</si>
  <si>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</si>
  <si>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</si>
  <si>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</si>
  <si>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</si>
  <si>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</si>
  <si>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</si>
  <si>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</si>
  <si>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</si>
  <si>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</si>
  <si>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</si>
  <si>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</si>
  <si>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</si>
  <si>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</si>
  <si>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</si>
  <si>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</si>
  <si>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</si>
  <si>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</si>
  <si>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</si>
  <si>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</si>
  <si>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</si>
  <si>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</si>
  <si>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</si>
  <si>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</si>
  <si>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</si>
  <si>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</si>
  <si>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</si>
  <si>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</si>
  <si>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</si>
  <si>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</si>
  <si>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</si>
  <si>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</si>
  <si>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</si>
  <si>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</si>
  <si>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</si>
  <si>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</si>
  <si>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</si>
  <si>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</si>
  <si>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</si>
  <si>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</si>
  <si>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</si>
  <si>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</si>
  <si>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</si>
  <si>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</si>
  <si>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</si>
  <si>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</si>
  <si>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</si>
  <si>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</si>
  <si>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</si>
  <si>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</si>
  <si>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</si>
  <si>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</si>
  <si>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</si>
  <si>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</si>
  <si>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</si>
  <si>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</si>
  <si>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</si>
  <si>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</si>
  <si>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</si>
  <si>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</si>
  <si>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</si>
  <si>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</si>
  <si>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</si>
  <si>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</si>
  <si>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</si>
  <si>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</si>
  <si>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</si>
  <si>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</si>
  <si>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</si>
  <si>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</si>
  <si>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</si>
  <si>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</si>
  <si>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</si>
  <si>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</si>
  <si>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</si>
  <si>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</si>
  <si>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2 Hours</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</si>
  <si>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</si>
  <si>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</si>
  <si>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</si>
  <si>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</si>
  <si>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</si>
  <si>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</si>
  <si>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</si>
  <si>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</si>
  <si>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</si>
  <si>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</si>
  <si>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</si>
  <si>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</si>
  <si>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</si>
  <si>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</si>
  <si>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</si>
  <si>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</si>
  <si>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</si>
  <si>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</si>
  <si>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</si>
  <si>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</si>
  <si>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</si>
  <si>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</si>
  <si>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</si>
  <si>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</si>
  <si>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</si>
  <si>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</si>
  <si>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</si>
  <si>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</si>
  <si>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</si>
  <si>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</si>
  <si>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</si>
  <si>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</si>
  <si>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</si>
  <si>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</si>
  <si>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</si>
  <si>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</si>
  <si>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</si>
  <si>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</si>
  <si>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</si>
  <si>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</si>
  <si>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</si>
  <si>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</si>
  <si>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</si>
  <si>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</si>
  <si>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</si>
  <si>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</si>
  <si>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</si>
  <si>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</si>
  <si>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</si>
  <si>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</si>
  <si>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</si>
  <si>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</si>
  <si>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</si>
  <si>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</si>
  <si>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</si>
  <si>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</si>
  <si>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</si>
  <si>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</si>
  <si>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</si>
  <si>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</si>
  <si>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</si>
  <si>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</si>
  <si>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</si>
  <si>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</si>
  <si>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</si>
  <si>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</si>
  <si>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</si>
  <si>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</si>
  <si>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</si>
  <si>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</si>
  <si>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</si>
  <si>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</si>
  <si>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</si>
  <si>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</si>
  <si>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</si>
  <si>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</si>
  <si>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</si>
  <si>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</si>
  <si>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</si>
  <si>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</si>
  <si>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</si>
  <si>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</si>
  <si>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</si>
  <si>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</si>
  <si>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</si>
  <si>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</si>
  <si>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</si>
  <si>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</si>
  <si>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</si>
  <si>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</si>
  <si>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</si>
  <si>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</si>
  <si>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</si>
  <si>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</si>
  <si>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</si>
  <si>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</si>
  <si>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</si>
  <si>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</si>
  <si>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</si>
  <si>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</si>
  <si>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</si>
  <si>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</si>
  <si>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</si>
  <si>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</si>
  <si>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</si>
  <si>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</si>
  <si>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</si>
  <si>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</si>
  <si>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</si>
  <si>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</si>
  <si>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</si>
  <si>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</si>
  <si>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</si>
  <si>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</si>
  <si>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</si>
  <si>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</si>
  <si>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</si>
  <si>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</si>
  <si>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</si>
  <si>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</si>
  <si>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</si>
  <si>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</si>
  <si>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</si>
  <si>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</si>
  <si>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</si>
  <si>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</si>
  <si>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</si>
  <si>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</si>
  <si>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</si>
  <si>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</si>
  <si>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</si>
  <si>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</si>
  <si>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</si>
  <si>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</si>
  <si>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</si>
  <si>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</si>
  <si>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</si>
  <si>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</si>
  <si>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</si>
  <si>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</si>
  <si>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</si>
  <si>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</si>
  <si>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</si>
  <si>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</si>
  <si>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</si>
  <si>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</si>
  <si>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</si>
  <si>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</si>
  <si>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</si>
  <si>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</si>
  <si>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</si>
  <si>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</si>
  <si>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</si>
  <si>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</si>
  <si>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</si>
  <si>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</si>
  <si>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</si>
  <si>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</si>
  <si>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</si>
  <si>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</si>
  <si>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</si>
  <si>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</si>
  <si>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</si>
  <si>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</si>
  <si>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</si>
  <si>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</si>
  <si>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</si>
  <si>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</si>
  <si>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</si>
  <si>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</si>
  <si>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</si>
  <si>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</si>
  <si>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</si>
  <si>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</si>
  <si>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</si>
  <si>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</si>
  <si>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</si>
  <si>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</si>
  <si>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</si>
  <si>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</si>
  <si>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</si>
  <si>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</si>
  <si>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</si>
  <si>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</si>
  <si>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</si>
  <si>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</si>
  <si>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</si>
  <si>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</si>
  <si>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</si>
  <si>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</si>
  <si>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</si>
  <si>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</si>
  <si>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</si>
  <si>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</si>
  <si>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</si>
  <si>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</si>
  <si>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</si>
  <si>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</si>
  <si>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</si>
  <si>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</si>
  <si>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</si>
  <si>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</si>
  <si>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</si>
  <si>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</si>
  <si>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</si>
  <si>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</si>
  <si>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</si>
  <si>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</si>
  <si>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</si>
  <si>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</si>
  <si>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</si>
  <si>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</si>
  <si>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</si>
  <si>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</si>
  <si>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</si>
  <si>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</si>
  <si>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</si>
  <si>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</si>
  <si>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</si>
  <si>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</si>
  <si>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</si>
  <si>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</si>
  <si>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</si>
  <si>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</si>
  <si>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</si>
  <si>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</si>
  <si>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</si>
  <si>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</si>
  <si>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</si>
  <si>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</si>
  <si>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</si>
  <si>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</si>
  <si>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</si>
  <si>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</si>
  <si>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</si>
  <si>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</si>
  <si>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</si>
  <si>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</si>
  <si>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</si>
  <si>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</si>
  <si>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</si>
  <si>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</si>
  <si>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</si>
  <si>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</si>
  <si>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</si>
  <si>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</si>
  <si>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</si>
  <si>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</si>
  <si>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</si>
  <si>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</si>
  <si>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</si>
  <si>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</si>
  <si>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</si>
  <si>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</si>
  <si>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</si>
  <si>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</si>
  <si>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</si>
  <si>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</si>
  <si>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</si>
  <si>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</si>
  <si>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</si>
  <si>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</si>
  <si>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</si>
  <si>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</si>
  <si>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</si>
  <si>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</si>
  <si>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</si>
  <si>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</si>
  <si>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</si>
  <si>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</si>
  <si>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</si>
  <si>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</si>
  <si>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</si>
  <si>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</si>
  <si>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</si>
  <si>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</si>
  <si>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</si>
  <si>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</si>
  <si>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</si>
  <si>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</si>
  <si>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</si>
  <si>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</si>
  <si>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</si>
  <si>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</si>
  <si>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</si>
  <si>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</si>
  <si>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</si>
  <si>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</si>
  <si>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</si>
  <si>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</si>
  <si>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</si>
  <si>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</si>
  <si>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</si>
  <si>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</si>
  <si>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</si>
  <si>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</si>
  <si>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</si>
  <si>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</si>
  <si>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</si>
  <si>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</si>
  <si>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</si>
  <si>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</si>
  <si>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</si>
  <si>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</si>
  <si>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</si>
  <si>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</si>
  <si>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</si>
  <si>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</si>
  <si>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</si>
  <si>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</si>
  <si>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</si>
  <si>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</si>
  <si>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</si>
  <si>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</si>
  <si>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</si>
  <si>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</si>
  <si>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</si>
  <si>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</si>
  <si>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</si>
  <si>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</si>
  <si>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</si>
  <si>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</si>
  <si>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</si>
  <si>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</si>
  <si>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</si>
  <si>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</si>
  <si>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</si>
  <si>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</si>
  <si>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</si>
  <si>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</si>
  <si>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</si>
  <si>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</si>
  <si>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</si>
  <si>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</si>
  <si>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</si>
  <si>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</si>
  <si>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</si>
  <si>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</si>
  <si>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</si>
  <si>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</si>
  <si>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</si>
  <si>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</si>
  <si>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</si>
  <si>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</si>
  <si>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</si>
  <si>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</si>
  <si>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</si>
  <si>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</si>
  <si>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</si>
  <si>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</si>
  <si>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</si>
  <si>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</si>
  <si>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</si>
  <si>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</si>
  <si>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</si>
  <si>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</si>
  <si>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</si>
  <si>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</si>
  <si>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</si>
  <si>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</si>
  <si>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</si>
  <si>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</si>
  <si>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</si>
  <si>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</si>
  <si>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</si>
  <si>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</si>
  <si>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</si>
  <si>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</si>
  <si>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</si>
  <si>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</si>
  <si>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</si>
  <si>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</si>
  <si>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</si>
  <si>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</si>
  <si>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</si>
  <si>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</si>
  <si>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</si>
  <si>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</si>
  <si>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</si>
  <si>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</si>
  <si>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</si>
  <si>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</si>
  <si>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</si>
  <si>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</si>
  <si>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</si>
  <si>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</si>
  <si>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</si>
  <si>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</si>
  <si>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</si>
  <si>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</si>
  <si>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</si>
  <si>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</si>
  <si>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</si>
  <si>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</si>
  <si>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</si>
  <si>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</si>
  <si>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</si>
  <si>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</si>
  <si>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</si>
  <si>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</si>
  <si>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</si>
  <si>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</si>
  <si>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</si>
  <si>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</si>
  <si>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</si>
  <si>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</si>
  <si>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</si>
  <si>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</si>
  <si>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</si>
  <si>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</si>
  <si>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</si>
  <si>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</si>
  <si>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</si>
  <si>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</si>
  <si>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</si>
  <si>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</si>
  <si>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</si>
  <si>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</si>
  <si>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</si>
  <si>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</si>
  <si>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</si>
  <si>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</si>
  <si>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</si>
  <si>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</si>
  <si>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</si>
  <si>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</si>
  <si>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</si>
  <si>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</si>
  <si>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</si>
  <si>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</si>
  <si>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</si>
  <si>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</si>
  <si>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</si>
  <si>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</si>
  <si>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</si>
  <si>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</si>
  <si>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</si>
  <si>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</si>
  <si>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</si>
  <si>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</si>
  <si>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</si>
  <si>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</si>
  <si>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</si>
  <si>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</si>
  <si>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</si>
  <si>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</si>
  <si>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</si>
  <si>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</si>
  <si>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</si>
  <si>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</si>
  <si>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</si>
  <si>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</si>
  <si>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</si>
  <si>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</si>
  <si>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</si>
  <si>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</si>
  <si>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</si>
  <si>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</si>
  <si>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</si>
  <si>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</si>
  <si>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</si>
  <si>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</si>
  <si>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</si>
  <si>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</si>
  <si>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</si>
  <si>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</si>
  <si>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</si>
  <si>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</si>
  <si>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</si>
  <si>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</si>
  <si>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</si>
  <si>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</si>
  <si>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</si>
  <si>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</si>
  <si>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</si>
  <si>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</si>
  <si>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</si>
  <si>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</si>
  <si>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</si>
  <si>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</si>
  <si>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</si>
  <si>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</si>
  <si>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</si>
  <si>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</si>
  <si>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</si>
  <si>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</si>
  <si>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</si>
  <si>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</si>
  <si>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</si>
  <si>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</si>
  <si>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</si>
  <si>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</si>
  <si>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</si>
  <si>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</si>
  <si>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</si>
  <si>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</si>
  <si>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</si>
  <si>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</si>
  <si>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</si>
  <si>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</si>
  <si>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</si>
  <si>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</si>
  <si>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</si>
  <si>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</si>
  <si>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</si>
  <si>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</si>
  <si>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</si>
  <si>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</si>
  <si>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</si>
  <si>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</si>
  <si>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</si>
  <si>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</si>
  <si>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</si>
  <si>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</si>
  <si>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</si>
  <si>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</si>
  <si>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</si>
  <si>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</si>
  <si>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</si>
  <si>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</si>
  <si>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</si>
  <si>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</si>
  <si>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</si>
  <si>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</si>
  <si>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</si>
  <si>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</si>
  <si>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</si>
  <si>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</si>
  <si>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</si>
  <si>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</si>
  <si>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</si>
  <si>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</si>
  <si>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</si>
  <si>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</si>
  <si>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</si>
  <si>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</si>
  <si>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</si>
  <si>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</si>
  <si>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</si>
  <si>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</si>
  <si>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</si>
  <si>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</si>
  <si>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</si>
  <si>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</si>
  <si>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</si>
  <si>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</si>
  <si>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</si>
  <si>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</si>
  <si>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</si>
  <si>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</si>
  <si>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</si>
  <si>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</si>
  <si>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</si>
  <si>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</si>
  <si>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</si>
  <si>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</si>
  <si>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</si>
  <si>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</si>
  <si>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</si>
  <si>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</si>
  <si>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</si>
  <si>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</si>
  <si>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</si>
  <si>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</si>
  <si>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</si>
  <si>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</si>
  <si>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</si>
  <si>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</si>
  <si>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</si>
  <si>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</si>
  <si>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</si>
  <si>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</si>
  <si>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</si>
  <si>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</si>
  <si>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</si>
  <si>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</si>
  <si>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</si>
  <si>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</si>
  <si>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</si>
  <si>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</si>
  <si>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</si>
  <si>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</si>
  <si>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</si>
  <si>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</si>
  <si>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</si>
  <si>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</si>
  <si>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</si>
  <si>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</si>
  <si>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</si>
  <si>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</si>
  <si>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</si>
  <si>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</si>
  <si>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</si>
  <si>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</si>
  <si>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</si>
  <si>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</si>
  <si>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</si>
  <si>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</si>
  <si>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</si>
  <si>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</si>
  <si>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</si>
  <si>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</si>
  <si>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</si>
  <si>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</si>
  <si>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</si>
  <si>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</si>
  <si>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</si>
  <si>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</si>
  <si>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</si>
  <si>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</si>
  <si>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</si>
  <si>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</si>
  <si>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</si>
  <si>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</si>
  <si>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</si>
  <si>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</si>
  <si>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</si>
  <si>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</si>
  <si>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</si>
  <si>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</si>
  <si>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</si>
  <si>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</si>
  <si>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</si>
  <si>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</si>
  <si>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</si>
  <si>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</si>
  <si>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</si>
  <si>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</si>
  <si>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</si>
  <si>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</si>
  <si>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</si>
  <si>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</si>
  <si>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</si>
  <si>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</si>
  <si>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</si>
  <si>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</si>
  <si>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</si>
  <si>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</si>
  <si>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</si>
  <si>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</si>
  <si>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</si>
  <si>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</si>
  <si>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</si>
  <si>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</si>
  <si>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</si>
  <si>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</si>
  <si>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</si>
  <si>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</si>
  <si>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</si>
  <si>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</si>
  <si>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</si>
  <si>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</si>
  <si>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</si>
  <si>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</si>
  <si>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</si>
  <si>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</si>
  <si>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</si>
  <si>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</si>
  <si>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</si>
  <si>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</si>
  <si>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</si>
  <si>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</si>
  <si>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</si>
  <si>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</si>
  <si>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</si>
  <si>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</si>
  <si>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</si>
  <si>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</si>
  <si>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</si>
  <si>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</si>
  <si>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</si>
  <si>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</si>
  <si>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</si>
  <si>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</si>
  <si>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</si>
  <si>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</si>
  <si>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</si>
  <si>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</si>
  <si>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</si>
  <si>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</si>
  <si>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</si>
  <si>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</si>
  <si>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</si>
  <si>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</si>
  <si>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</si>
  <si>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</si>
  <si>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</si>
  <si>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</si>
  <si>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</si>
  <si>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</si>
  <si>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</si>
  <si>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</si>
  <si>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</si>
  <si>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</si>
  <si>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</si>
  <si>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</si>
  <si>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</si>
  <si>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</si>
  <si>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</si>
  <si>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</si>
  <si>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</si>
  <si>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</si>
  <si>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</si>
  <si>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</si>
  <si>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</si>
  <si>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</si>
  <si>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</si>
  <si>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</si>
  <si>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</si>
  <si>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</si>
  <si>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</si>
  <si>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</si>
  <si>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</si>
  <si>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</si>
  <si>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</si>
  <si>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</si>
  <si>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</si>
  <si>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</si>
  <si>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</si>
  <si>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</si>
  <si>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</si>
  <si>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</si>
  <si>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</si>
  <si>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</si>
  <si>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</si>
  <si>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</si>
  <si>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</si>
  <si>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</si>
  <si>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</si>
  <si>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</si>
  <si>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</si>
  <si>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</si>
  <si>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</si>
  <si>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Partial / Green</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</si>
  <si>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</si>
  <si>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</si>
  <si>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</si>
  <si>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</si>
  <si>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</si>
  <si>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</si>
  <si>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</si>
  <si>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</si>
  <si>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</si>
  <si>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</si>
  <si>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</si>
  <si>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</si>
  <si>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</si>
  <si>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</si>
  <si>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</si>
  <si>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</si>
  <si>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</si>
  <si>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</si>
  <si>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</si>
  <si>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</si>
  <si>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</si>
  <si>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</si>
  <si>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</si>
  <si>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</si>
  <si>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</si>
  <si>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</si>
  <si>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</si>
  <si>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</si>
  <si>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</si>
  <si>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</si>
  <si>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</si>
  <si>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</si>
  <si>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</si>
  <si>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</si>
  <si>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</si>
  <si>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</si>
  <si>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</si>
  <si>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</si>
  <si>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</si>
  <si>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</si>
  <si>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</si>
  <si>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</si>
  <si>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</si>
  <si>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</si>
  <si>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</si>
  <si>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</si>
  <si>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</si>
  <si>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</si>
  <si>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</si>
  <si>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</si>
  <si>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</si>
  <si>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</si>
  <si>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</si>
  <si>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</si>
  <si>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</si>
  <si>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</si>
  <si>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</si>
  <si>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</si>
  <si>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</si>
  <si>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</si>
  <si>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</si>
  <si>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</si>
  <si>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</si>
  <si>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</si>
  <si>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</si>
  <si>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</si>
  <si>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</si>
  <si>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</si>
  <si>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</si>
  <si>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</si>
  <si>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</si>
  <si>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</si>
  <si>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</si>
  <si>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</si>
  <si>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</si>
  <si>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</si>
  <si>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</si>
  <si>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</si>
  <si>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</si>
  <si>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</si>
  <si>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</si>
  <si>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</si>
  <si>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</si>
  <si>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</si>
  <si>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</si>
  <si>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</si>
  <si>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</si>
  <si>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</si>
  <si>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</si>
  <si>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</si>
  <si>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</si>
  <si>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</si>
  <si>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</si>
  <si>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</si>
  <si>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</si>
  <si>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</si>
  <si>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</si>
  <si>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</si>
  <si>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</si>
  <si>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</si>
  <si>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</si>
  <si>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</si>
  <si>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</si>
  <si>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</si>
  <si>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</si>
  <si>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</si>
  <si>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</si>
  <si>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</si>
  <si>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</si>
  <si>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</si>
  <si>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</si>
  <si>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</si>
  <si>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</si>
  <si>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</si>
  <si>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</si>
  <si>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</si>
  <si>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</si>
  <si>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</si>
  <si>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</si>
  <si>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</si>
  <si>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</si>
  <si>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</si>
  <si>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</si>
  <si>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</si>
  <si>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</si>
  <si>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</si>
  <si>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</si>
  <si>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</si>
  <si>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</si>
  <si>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</si>
  <si>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</si>
  <si>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</si>
  <si>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</si>
  <si>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</si>
  <si>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</si>
  <si>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</si>
  <si>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</si>
  <si>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</si>
  <si>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</si>
  <si>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</si>
  <si>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</si>
  <si>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</si>
  <si>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</si>
  <si>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</si>
  <si>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</si>
  <si>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</si>
  <si>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</si>
  <si>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</si>
  <si>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</si>
  <si>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</si>
  <si>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</si>
  <si>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</si>
  <si>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</si>
  <si>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</si>
  <si>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</si>
  <si>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</si>
  <si>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</si>
  <si>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</si>
  <si>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</si>
  <si>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</si>
  <si>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</si>
  <si>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</si>
  <si>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</si>
  <si>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</si>
  <si>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</si>
  <si>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</si>
  <si>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</si>
  <si>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</si>
  <si>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</si>
  <si>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</si>
  <si>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</si>
  <si>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</si>
  <si>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</si>
  <si>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</si>
  <si>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</si>
  <si>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</si>
  <si>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</si>
  <si>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</si>
  <si>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</si>
  <si>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</si>
  <si>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</si>
  <si>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</si>
  <si>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</si>
  <si>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</si>
  <si>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</si>
  <si>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</si>
  <si>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</si>
  <si>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</si>
  <si>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</si>
  <si>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</si>
  <si>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</si>
  <si>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</si>
  <si>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</si>
  <si>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</si>
  <si>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</si>
  <si>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</si>
  <si>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</si>
  <si>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</si>
  <si>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</si>
  <si>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</si>
  <si>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</si>
  <si>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</si>
  <si>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</si>
  <si>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</si>
  <si>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</si>
  <si>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</si>
  <si>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</si>
  <si>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</si>
  <si>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</si>
  <si>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</si>
  <si>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</si>
  <si>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</si>
  <si>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</si>
  <si>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</si>
  <si>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</si>
  <si>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</si>
  <si>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</si>
  <si>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</si>
  <si>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</si>
  <si>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</si>
  <si>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</si>
  <si>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</si>
  <si>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</si>
  <si>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</si>
  <si>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</si>
  <si>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</si>
  <si>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</si>
  <si>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</si>
  <si>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</si>
  <si>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</si>
  <si>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</si>
  <si>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</si>
  <si>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</si>
  <si>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</si>
  <si>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</si>
  <si>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</si>
  <si>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</si>
  <si>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</si>
  <si>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</si>
  <si>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</si>
  <si>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</si>
  <si>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</si>
  <si>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</si>
  <si>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</si>
  <si>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</si>
  <si>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</si>
  <si>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</si>
  <si>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</si>
  <si>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</si>
  <si>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</si>
  <si>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</si>
  <si>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</si>
  <si>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</si>
  <si>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</si>
  <si>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</si>
  <si>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</si>
  <si>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</si>
  <si>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</si>
  <si>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</si>
  <si>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</si>
  <si>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</si>
  <si>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</si>
  <si>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</si>
  <si>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</si>
  <si>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</si>
  <si>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</si>
  <si>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</si>
  <si>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</si>
  <si>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</si>
  <si>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</si>
  <si>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</si>
  <si>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</si>
  <si>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</si>
  <si>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</si>
  <si>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</si>
  <si>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</si>
  <si>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</si>
  <si>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</si>
  <si>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</si>
  <si>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</si>
  <si>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</si>
  <si>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</si>
  <si>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</si>
  <si>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</si>
  <si>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</si>
  <si>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</si>
  <si>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</si>
  <si>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</si>
  <si>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</si>
  <si>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</si>
  <si>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</si>
  <si>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</si>
  <si>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</si>
  <si>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</si>
  <si>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</si>
  <si>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</si>
  <si>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</si>
  <si>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</si>
  <si>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</si>
  <si>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</si>
  <si>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</si>
  <si>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</si>
  <si>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</si>
  <si>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</si>
  <si>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</si>
  <si>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</si>
  <si>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</si>
  <si>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</si>
  <si>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</si>
  <si>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</si>
  <si>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</si>
  <si>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</si>
  <si>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</si>
  <si>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</si>
  <si>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</si>
  <si>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</si>
  <si>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</si>
  <si>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</si>
  <si>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</si>
  <si>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</si>
  <si>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</si>
  <si>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</si>
  <si>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</si>
  <si>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</si>
  <si>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</si>
  <si>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</si>
  <si>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</si>
  <si>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</si>
  <si>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</si>
  <si>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</si>
  <si>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</si>
  <si>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</si>
  <si>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</si>
  <si>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</si>
  <si>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</si>
  <si>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</si>
  <si>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</si>
  <si>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</si>
  <si>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</si>
  <si>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</si>
  <si>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</si>
  <si>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</si>
  <si>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</si>
  <si>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</si>
  <si>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</si>
  <si>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</si>
  <si>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</si>
  <si>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</si>
  <si>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</si>
  <si>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</si>
  <si>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</si>
  <si>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</si>
  <si>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</si>
  <si>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</si>
  <si>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</si>
  <si>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</si>
  <si>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</si>
  <si>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</si>
  <si>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</si>
  <si>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</si>
  <si>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</si>
  <si>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</si>
  <si>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</si>
  <si>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</si>
  <si>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</si>
  <si>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</si>
  <si>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</si>
  <si>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</si>
  <si>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</si>
  <si>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</si>
  <si>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</si>
  <si>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</si>
  <si>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</si>
  <si>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</si>
  <si>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</si>
  <si>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</si>
  <si>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</si>
  <si>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</si>
  <si>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</si>
  <si>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</si>
  <si>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</si>
  <si>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</si>
  <si>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</si>
  <si>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</si>
  <si>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</si>
  <si>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</si>
  <si>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</si>
  <si>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</si>
  <si>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</si>
  <si>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</si>
  <si>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</si>
  <si>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</si>
  <si>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</si>
  <si>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</si>
  <si>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</si>
  <si>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</si>
  <si>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</si>
  <si>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</si>
  <si>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</si>
  <si>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</si>
  <si>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</si>
  <si>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</si>
  <si>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</si>
  <si>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</si>
  <si>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</si>
  <si>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</si>
  <si>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</si>
  <si>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</si>
  <si>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</si>
  <si>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</si>
  <si>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</si>
  <si>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</si>
  <si>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</si>
  <si>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</si>
  <si>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</si>
  <si>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</si>
  <si>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</si>
  <si>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</si>
  <si>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</si>
  <si>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</si>
  <si>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</si>
  <si>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</si>
  <si>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</si>
  <si>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</si>
  <si>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</si>
  <si>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</si>
  <si>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</si>
  <si>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</si>
  <si>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</si>
  <si>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</si>
  <si>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</si>
  <si>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</si>
  <si>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</si>
  <si>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</si>
  <si>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</si>
  <si>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</si>
  <si>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</si>
  <si>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</si>
  <si>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</si>
  <si>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</si>
  <si>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</si>
  <si>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</si>
  <si>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</si>
  <si>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</si>
  <si>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</si>
  <si>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</si>
  <si>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</si>
  <si>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</si>
  <si>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</si>
  <si>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</si>
  <si>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</si>
  <si>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</si>
  <si>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</si>
  <si>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</si>
  <si>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</si>
  <si>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</si>
  <si>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</si>
  <si>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</si>
  <si>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</si>
  <si>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</si>
  <si>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</si>
  <si>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</si>
  <si>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</si>
  <si>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</si>
  <si>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</si>
  <si>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</si>
  <si>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</si>
  <si>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</si>
  <si>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</si>
  <si>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</si>
  <si>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</si>
  <si>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</si>
  <si>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</si>
  <si>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</si>
  <si>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</si>
  <si>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</si>
  <si>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</si>
  <si>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</si>
  <si>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</si>
  <si>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</si>
  <si>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</si>
  <si>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</si>
  <si>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</si>
  <si>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</si>
  <si>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</si>
  <si>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</si>
  <si>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</si>
  <si>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</si>
  <si>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</si>
  <si>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</si>
  <si>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</si>
  <si>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</si>
  <si>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</si>
  <si>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</si>
  <si>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</si>
  <si>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</si>
  <si>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</si>
  <si>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</si>
  <si>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</si>
  <si>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</si>
  <si>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</si>
  <si>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</si>
  <si>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</si>
  <si>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</si>
  <si>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</si>
  <si>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</si>
  <si>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</si>
  <si>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</si>
  <si>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</si>
  <si>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</si>
  <si>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</si>
  <si>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</si>
  <si>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</si>
  <si>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</si>
  <si>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</si>
  <si>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</si>
  <si>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</si>
  <si>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</si>
  <si>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</si>
  <si>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</si>
  <si>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</si>
  <si>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</si>
  <si>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</si>
  <si>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</si>
  <si>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</si>
  <si>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</si>
  <si>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</si>
  <si>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</si>
  <si>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</si>
  <si>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</si>
  <si>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</si>
  <si>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</si>
  <si>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</si>
  <si>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</si>
  <si>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</si>
  <si>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</si>
  <si>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</si>
  <si>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</si>
  <si>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</si>
  <si>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</si>
  <si>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</si>
  <si>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</si>
  <si>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</si>
  <si>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</si>
  <si>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</si>
  <si>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</si>
  <si>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</si>
  <si>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</si>
  <si>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</si>
  <si>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</si>
  <si>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</si>
  <si>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</si>
  <si>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</si>
  <si>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</si>
  <si>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</si>
  <si>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</si>
  <si>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</si>
  <si>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</si>
  <si>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</si>
  <si>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</si>
  <si>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</si>
  <si>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</si>
  <si>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</si>
  <si>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</si>
  <si>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</si>
  <si>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</si>
  <si>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</si>
  <si>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</si>
  <si>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</si>
  <si>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</si>
  <si>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</si>
  <si>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</si>
  <si>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</si>
  <si>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</si>
  <si>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</si>
  <si>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</si>
  <si>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</si>
  <si>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</si>
  <si>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</si>
  <si>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</si>
  <si>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</si>
  <si>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</si>
  <si>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</si>
  <si>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</si>
  <si>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</si>
  <si>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</si>
  <si>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</si>
  <si>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</si>
  <si>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</si>
  <si>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</si>
  <si>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</si>
  <si>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</si>
  <si>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</si>
  <si>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</si>
  <si>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</si>
  <si>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</si>
  <si>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</si>
  <si>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</si>
  <si>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</si>
  <si>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</si>
  <si>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</si>
  <si>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</si>
  <si>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</si>
  <si>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</si>
  <si>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</si>
  <si>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</si>
  <si>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</si>
  <si>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</si>
  <si>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</si>
  <si>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</si>
  <si>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</si>
  <si>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</si>
  <si>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</si>
  <si>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</si>
  <si>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</si>
  <si>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</si>
  <si>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</si>
  <si>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</si>
  <si>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</si>
  <si>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</si>
  <si>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</si>
  <si>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</si>
  <si>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</si>
  <si>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</si>
  <si>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</si>
  <si>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</si>
  <si>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</si>
  <si>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</si>
  <si>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</si>
  <si>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</si>
  <si>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</si>
  <si>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</si>
  <si>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</si>
  <si>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</si>
  <si>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</si>
  <si>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</si>
  <si>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</si>
  <si>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</si>
  <si>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</si>
  <si>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</si>
  <si>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</si>
  <si>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</si>
  <si>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</si>
  <si>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</si>
  <si>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</si>
  <si>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</si>
  <si>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</si>
  <si>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</si>
  <si>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</si>
  <si>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</si>
  <si>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</si>
  <si>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</si>
  <si>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</si>
  <si>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</si>
  <si>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</si>
  <si>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</si>
  <si>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</si>
  <si>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</si>
  <si>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</si>
  <si>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</si>
  <si>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</si>
  <si>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</si>
  <si>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</si>
  <si>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</si>
  <si>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</si>
  <si>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</si>
  <si>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</si>
  <si>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</si>
  <si>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</si>
  <si>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</si>
  <si>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</si>
  <si>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</si>
  <si>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</si>
  <si>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</si>
  <si>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</si>
  <si>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</si>
  <si>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</si>
  <si>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</si>
  <si>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</si>
  <si>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</si>
  <si>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</si>
  <si>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</si>
  <si>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</si>
  <si>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</si>
  <si>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</si>
  <si>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</si>
  <si>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</si>
  <si>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</si>
  <si>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</si>
  <si>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</si>
  <si>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</si>
  <si>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</si>
  <si>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</si>
  <si>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</si>
  <si>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</si>
  <si>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</si>
  <si>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</si>
  <si>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</si>
  <si>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</si>
  <si>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</si>
  <si>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</si>
  <si>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</si>
  <si>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</si>
  <si>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</si>
  <si>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</si>
  <si>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</si>
  <si>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</si>
  <si>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</si>
  <si>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</si>
  <si>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</si>
  <si>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</si>
  <si>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</si>
  <si>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</si>
  <si>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</si>
  <si>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</si>
  <si>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</si>
  <si>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</si>
  <si>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</si>
  <si>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</si>
  <si>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</si>
  <si>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</si>
  <si>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</si>
  <si>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</si>
  <si>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</si>
  <si>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</si>
  <si>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</si>
  <si>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</si>
  <si>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</si>
  <si>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</si>
  <si>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</si>
  <si>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</si>
  <si>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</si>
  <si>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</si>
  <si>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</si>
  <si>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</si>
  <si>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</si>
  <si>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</si>
  <si>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</si>
  <si>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</si>
  <si>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</si>
  <si>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</si>
  <si>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</si>
  <si>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</si>
  <si>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</si>
  <si>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</si>
  <si>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</si>
  <si>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</si>
  <si>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</si>
  <si>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</si>
  <si>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</si>
  <si>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</si>
  <si>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</si>
  <si>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</si>
  <si>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</si>
  <si>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</si>
  <si>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</si>
  <si>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</si>
  <si>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</si>
  <si>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</si>
  <si>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</si>
  <si>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</si>
  <si>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</si>
  <si>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</si>
  <si>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</si>
  <si>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</si>
  <si>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</si>
  <si>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</si>
  <si>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</si>
  <si>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</si>
  <si>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</si>
  <si>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</si>
  <si>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</si>
  <si>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</si>
  <si>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</si>
  <si>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</si>
  <si>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</si>
  <si>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</si>
  <si>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</si>
  <si>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</si>
  <si>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</si>
  <si>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</si>
  <si>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</si>
  <si>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</si>
  <si>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</si>
  <si>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</si>
  <si>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</si>
  <si>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</si>
  <si>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</si>
  <si>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</si>
  <si>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</si>
  <si>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</si>
  <si>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</si>
  <si>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</si>
  <si>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</si>
  <si>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</si>
  <si>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</si>
  <si>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</si>
  <si>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</si>
  <si>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</si>
  <si>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</si>
  <si>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</si>
  <si>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</si>
  <si>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</si>
  <si>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</si>
  <si>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</si>
  <si>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</si>
  <si>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</si>
  <si>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</si>
  <si>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</si>
  <si>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</si>
  <si>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</si>
  <si>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</si>
  <si>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</si>
  <si>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</si>
  <si>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</si>
  <si>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</si>
  <si>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</si>
  <si>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</si>
  <si>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</si>
  <si>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</si>
  <si>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</si>
  <si>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</si>
  <si>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</si>
  <si>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</si>
  <si>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</si>
  <si>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</si>
  <si>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</si>
  <si>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</si>
  <si>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</si>
  <si>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</si>
  <si>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</si>
  <si>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</si>
  <si>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</si>
  <si>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</si>
  <si>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</si>
  <si>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</si>
  <si>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</si>
  <si>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</si>
  <si>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</si>
  <si>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</si>
  <si>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</si>
  <si>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</si>
  <si>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</si>
  <si>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</si>
  <si>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</si>
  <si>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</si>
  <si>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</si>
  <si>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</si>
  <si>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</si>
  <si>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</si>
  <si>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</si>
  <si>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</si>
  <si>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</si>
  <si>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</si>
  <si>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</si>
  <si>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</si>
  <si>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</si>
  <si>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</si>
  <si>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</si>
  <si>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</si>
  <si>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</si>
  <si>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</si>
  <si>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</si>
  <si>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</si>
  <si>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</si>
  <si>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</si>
  <si>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</si>
  <si>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</si>
  <si>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</si>
  <si>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</si>
  <si>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</si>
  <si>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</si>
  <si>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</si>
  <si>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</si>
  <si>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</si>
  <si>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</si>
  <si>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</si>
  <si>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</si>
  <si>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</si>
  <si>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</si>
  <si>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</si>
  <si>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</si>
  <si>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</si>
  <si>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</si>
  <si>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</si>
  <si>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</si>
  <si>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</si>
  <si>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</si>
  <si>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</si>
  <si>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</si>
  <si>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</si>
  <si>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</si>
  <si>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</si>
  <si>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</si>
  <si>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</si>
  <si>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</si>
  <si>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</si>
  <si>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</si>
  <si>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</si>
  <si>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</si>
  <si>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</si>
  <si>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</si>
  <si>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</si>
  <si>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</si>
  <si>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</si>
  <si>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</si>
  <si>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</si>
  <si>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</si>
  <si>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</si>
  <si>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</si>
  <si>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</si>
  <si>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</si>
  <si>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</si>
  <si>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</si>
  <si>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</si>
  <si>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</si>
  <si>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</si>
  <si>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</si>
  <si>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</si>
  <si>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</si>
  <si>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</si>
  <si>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</si>
  <si>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</si>
  <si>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</si>
  <si>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</si>
  <si>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</si>
  <si>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</si>
  <si>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</si>
  <si>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</si>
  <si>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</si>
  <si>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</si>
  <si>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</si>
  <si>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</si>
  <si>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</si>
  <si>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</si>
  <si>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</si>
  <si>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</si>
  <si>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</si>
  <si>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</si>
  <si>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</si>
  <si>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</si>
  <si>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</si>
  <si>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</si>
  <si>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</si>
  <si>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</si>
  <si>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</si>
  <si>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</si>
  <si>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</si>
  <si>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</si>
  <si>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</si>
  <si>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</si>
  <si>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</si>
  <si>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</si>
  <si>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</si>
  <si>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</si>
  <si>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</si>
  <si>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</si>
  <si>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</si>
  <si>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</si>
  <si>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</si>
  <si>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</si>
  <si>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</si>
  <si>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</si>
  <si>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</si>
  <si>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</si>
  <si>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</si>
  <si>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</si>
  <si>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</si>
  <si>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</si>
  <si>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</si>
  <si>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</si>
  <si>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</si>
  <si>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</si>
  <si>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</si>
  <si>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</si>
  <si>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</si>
  <si>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</si>
  <si>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</si>
  <si>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</si>
  <si>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</si>
  <si>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</si>
  <si>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</si>
  <si>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</si>
  <si>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</si>
  <si>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</si>
  <si>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</si>
  <si>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</si>
  <si>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</si>
  <si>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</si>
  <si>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</si>
  <si>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</si>
  <si>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</si>
  <si>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</si>
  <si>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</si>
  <si>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</si>
  <si>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</si>
  <si>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</si>
  <si>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</si>
  <si>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</si>
  <si>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</si>
  <si>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</si>
  <si>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</si>
  <si>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</si>
  <si>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</si>
  <si>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</si>
  <si>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</si>
  <si>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</si>
  <si>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</si>
  <si>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</si>
  <si>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</si>
  <si>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</si>
  <si>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</si>
  <si>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</si>
  <si>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</si>
  <si>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</si>
  <si>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</si>
  <si>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</si>
  <si>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</si>
  <si>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</si>
  <si>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</si>
  <si>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</si>
  <si>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</si>
  <si>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</si>
  <si>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</si>
  <si>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</si>
  <si>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</si>
  <si>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</si>
  <si>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</si>
  <si>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</si>
  <si>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</si>
  <si>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</si>
  <si>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</si>
  <si>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</si>
  <si>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</si>
  <si>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</si>
  <si>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</si>
  <si>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</si>
  <si>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</si>
  <si>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</si>
  <si>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</si>
  <si>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</si>
  <si>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</si>
  <si>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</si>
  <si>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</si>
  <si>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</si>
  <si>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</si>
  <si>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</si>
  <si>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</si>
  <si>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</si>
  <si>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</si>
  <si>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</si>
  <si>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</si>
  <si>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</si>
  <si>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</si>
  <si>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</si>
  <si>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</si>
  <si>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</si>
  <si>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</si>
  <si>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</si>
  <si>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</si>
  <si>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</si>
  <si>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</si>
  <si>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</si>
  <si>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</si>
  <si>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</si>
  <si>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</si>
  <si>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</si>
  <si>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</si>
  <si>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</si>
  <si>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</si>
  <si>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</si>
  <si>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</si>
  <si>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</si>
  <si>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</si>
  <si>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</si>
  <si>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</si>
  <si>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</si>
  <si>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</si>
  <si>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</si>
  <si>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</si>
  <si>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</si>
  <si>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</si>
  <si>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</si>
  <si>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</si>
  <si>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</si>
  <si>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</si>
  <si>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</si>
  <si>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</si>
  <si>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</si>
  <si>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</si>
  <si>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</si>
  <si>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</si>
  <si>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</si>
  <si>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</si>
  <si>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</si>
  <si>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</si>
  <si>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</si>
  <si>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</si>
  <si>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</si>
  <si>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</si>
  <si>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</si>
  <si>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</si>
  <si>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</si>
  <si>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</si>
  <si>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</si>
  <si>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</si>
  <si>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</si>
  <si>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</si>
  <si>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</si>
  <si>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</si>
  <si>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</si>
  <si>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</si>
  <si>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</si>
  <si>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</si>
  <si>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</si>
  <si>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</si>
  <si>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</si>
  <si>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</si>
  <si>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</si>
  <si>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</si>
  <si>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</si>
  <si>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</si>
  <si>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</si>
  <si>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</si>
  <si>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</si>
  <si>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</si>
  <si>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</si>
  <si>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</si>
  <si>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</si>
  <si>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</si>
  <si>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</si>
  <si>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</si>
  <si>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</si>
  <si>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</si>
  <si>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</si>
  <si>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</si>
  <si>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</si>
  <si>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</si>
  <si>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</si>
  <si>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</si>
  <si>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</si>
  <si>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</si>
  <si>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</si>
  <si>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</si>
  <si>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</si>
  <si>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</si>
  <si>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</si>
  <si>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</si>
  <si>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</si>
  <si>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</si>
  <si>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</si>
  <si>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</si>
  <si>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</si>
  <si>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</si>
  <si>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</si>
  <si>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</si>
  <si>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</si>
  <si>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</si>
  <si>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</si>
  <si>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</si>
  <si>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</si>
  <si>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</si>
  <si>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</si>
  <si>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</si>
  <si>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</si>
  <si>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</si>
  <si>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</si>
  <si>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</si>
  <si>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</si>
  <si>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</si>
  <si>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</si>
  <si>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</si>
  <si>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</si>
  <si>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</si>
  <si>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</si>
  <si>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</si>
  <si>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</si>
  <si>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</si>
  <si>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</si>
  <si>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</si>
  <si>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</si>
  <si>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</si>
  <si>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</si>
  <si>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</si>
  <si>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</si>
  <si>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</si>
  <si>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</si>
  <si>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</si>
  <si>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</si>
  <si>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</si>
  <si>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</si>
  <si>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</si>
  <si>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</si>
  <si>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</si>
  <si>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</si>
  <si>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</si>
  <si>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</si>
  <si>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</si>
  <si>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</si>
  <si>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</si>
  <si>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</si>
  <si>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</si>
  <si>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</si>
  <si>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</si>
  <si>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</si>
  <si>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</si>
  <si>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</si>
  <si>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</si>
  <si>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</si>
  <si>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</si>
  <si>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</si>
  <si>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</si>
  <si>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</si>
  <si>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</si>
  <si>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</si>
  <si>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</si>
  <si>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</si>
  <si>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</si>
  <si>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</si>
  <si>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</si>
  <si>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</si>
  <si>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</si>
  <si>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</si>
  <si>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</si>
  <si>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</si>
  <si>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</si>
  <si>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</si>
  <si>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</si>
  <si>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</si>
  <si>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</si>
  <si>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</si>
  <si>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</si>
  <si>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</si>
  <si>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</si>
  <si>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</si>
  <si>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</si>
  <si>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</si>
  <si>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</si>
  <si>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</si>
  <si>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</si>
  <si>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</si>
  <si>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</si>
  <si>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</si>
  <si>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</si>
  <si>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</si>
  <si>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</si>
  <si>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</si>
  <si>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</si>
  <si>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</si>
  <si>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</si>
  <si>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</si>
  <si>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</si>
  <si>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</si>
  <si>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</si>
  <si>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</si>
  <si>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</si>
  <si>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</si>
  <si>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</si>
  <si>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</si>
  <si>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</si>
  <si>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</si>
  <si>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</si>
  <si>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</si>
  <si>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</si>
  <si>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</si>
  <si>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</si>
  <si>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</si>
  <si>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</si>
  <si>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</si>
  <si>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</si>
  <si>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</si>
  <si>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</si>
  <si>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</si>
  <si>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</si>
  <si>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</si>
  <si>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</si>
  <si>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</si>
  <si>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</si>
  <si>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</si>
  <si>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</si>
  <si>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</si>
  <si>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</si>
  <si>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</si>
  <si>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</si>
  <si>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</si>
  <si>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</si>
  <si>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</si>
  <si>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</si>
  <si>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</si>
  <si>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</si>
  <si>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</si>
  <si>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</si>
  <si>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</si>
  <si>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</si>
  <si>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</si>
  <si>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</si>
  <si>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</si>
  <si>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</si>
  <si>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</si>
  <si>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</si>
  <si>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</si>
  <si>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</si>
  <si>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</si>
  <si>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</si>
  <si>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</si>
  <si>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</si>
  <si>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</si>
  <si>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</si>
  <si>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</si>
  <si>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</si>
  <si>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</si>
  <si>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</si>
  <si>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</si>
  <si>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</si>
  <si>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</si>
  <si>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</si>
  <si>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</si>
  <si>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</si>
  <si>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</si>
  <si>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</si>
  <si>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</si>
  <si>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</si>
  <si>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</si>
  <si>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</si>
  <si>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</si>
  <si>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</si>
  <si>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</si>
  <si>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</si>
  <si>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</si>
  <si>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</si>
  <si>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</si>
  <si>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</si>
  <si>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</si>
  <si>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</si>
  <si>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</si>
  <si>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</si>
  <si>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</si>
  <si>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</si>
  <si>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</si>
  <si>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</si>
  <si>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</si>
  <si>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</si>
  <si>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</si>
  <si>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</si>
  <si>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</si>
  <si>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</si>
  <si>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</si>
  <si>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</si>
  <si>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</si>
  <si>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</si>
  <si>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</si>
  <si>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</si>
  <si>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</si>
  <si>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</si>
  <si>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</si>
  <si>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</si>
  <si>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</si>
  <si>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</si>
  <si>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</si>
  <si>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</si>
  <si>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</si>
  <si>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</si>
  <si>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</si>
  <si>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</si>
  <si>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</si>
  <si>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</si>
  <si>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</si>
  <si>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</si>
  <si>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</si>
  <si>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</si>
  <si>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</si>
  <si>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</si>
  <si>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</si>
  <si>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</si>
  <si>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</si>
  <si>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</si>
  <si>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</si>
  <si>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</si>
  <si>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</si>
  <si>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</si>
  <si>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</si>
  <si>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</si>
  <si>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</si>
  <si>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</si>
  <si>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</si>
  <si>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</si>
  <si>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</si>
  <si>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</si>
  <si>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</si>
  <si>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</si>
  <si>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</si>
  <si>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</si>
  <si>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</si>
  <si>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</si>
  <si>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</si>
  <si>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</si>
  <si>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</si>
  <si>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</si>
  <si>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</si>
  <si>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</si>
  <si>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</si>
  <si>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</si>
  <si>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</si>
  <si>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</si>
  <si>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</si>
  <si>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</si>
  <si>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</si>
  <si>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</si>
  <si>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</si>
  <si>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</si>
  <si>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</si>
  <si>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</si>
  <si>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</si>
  <si>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</si>
  <si>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</si>
  <si>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</si>
  <si>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</si>
  <si>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</si>
  <si>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</si>
  <si>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</si>
  <si>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</si>
  <si>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</si>
  <si>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</si>
  <si>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</si>
  <si>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</si>
  <si>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</si>
  <si>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</si>
  <si>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</si>
  <si>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</si>
  <si>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</si>
  <si>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</si>
  <si>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</si>
  <si>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</si>
  <si>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</si>
  <si>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</si>
  <si>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</si>
  <si>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</si>
  <si>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</si>
  <si>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</si>
  <si>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</si>
  <si>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</si>
  <si>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</si>
  <si>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</si>
  <si>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</si>
  <si>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</si>
  <si>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</si>
  <si>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</si>
  <si>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</si>
  <si>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</si>
  <si>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</si>
  <si>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</si>
  <si>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</si>
  <si>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</si>
  <si>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</si>
  <si>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</si>
  <si>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</si>
  <si>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</si>
  <si>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</si>
  <si>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</si>
  <si>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</si>
  <si>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</si>
  <si>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</si>
  <si>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</si>
  <si>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</si>
  <si>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</si>
  <si>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</si>
  <si>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</si>
  <si>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</si>
  <si>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</si>
  <si>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</si>
  <si>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</si>
  <si>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</si>
  <si>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</si>
  <si>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</si>
  <si>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</si>
  <si>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</si>
  <si>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</si>
  <si>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</si>
  <si>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</si>
  <si>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</si>
  <si>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</si>
  <si>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</si>
  <si>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</si>
  <si>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</si>
  <si>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</si>
  <si>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</si>
  <si>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</si>
  <si>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</si>
  <si>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</si>
  <si>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</si>
  <si>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</si>
  <si>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</si>
  <si>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</si>
  <si>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</si>
  <si>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</si>
  <si>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</si>
  <si>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</si>
  <si>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</si>
  <si>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</si>
  <si>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</si>
  <si>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</si>
  <si>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</si>
  <si>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</si>
  <si>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</si>
  <si>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</si>
  <si>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</si>
  <si>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</si>
  <si>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</si>
  <si>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</si>
  <si>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</si>
  <si>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</si>
  <si>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</si>
  <si>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</si>
  <si>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</si>
  <si>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</si>
  <si>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</si>
  <si>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</si>
  <si>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</si>
  <si>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</si>
  <si>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</si>
  <si>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</si>
  <si>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</si>
  <si>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</si>
  <si>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</si>
  <si>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</si>
  <si>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</si>
  <si>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</si>
  <si>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</si>
  <si>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</si>
  <si>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</si>
  <si>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</si>
  <si>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</si>
  <si>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</si>
  <si>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</si>
  <si>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</si>
  <si>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</si>
  <si>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</si>
  <si>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</si>
  <si>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</si>
  <si>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</si>
  <si>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</si>
  <si>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</si>
  <si>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</si>
  <si>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</si>
  <si>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</si>
  <si>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</si>
  <si>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</si>
  <si>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</si>
  <si>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</si>
  <si>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</si>
  <si>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</si>
  <si>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</si>
  <si>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</si>
  <si>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</si>
  <si>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</si>
  <si>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</si>
  <si>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</si>
  <si>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</si>
  <si>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</si>
  <si>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</si>
  <si>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</si>
  <si>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</si>
  <si>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</si>
  <si>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</si>
  <si>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</si>
  <si>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</si>
  <si>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</si>
  <si>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</si>
  <si>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</si>
  <si>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</si>
  <si>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</si>
  <si>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</si>
  <si>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</si>
  <si>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</si>
  <si>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</si>
  <si>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</si>
  <si>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</si>
  <si>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</si>
  <si>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</si>
  <si>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</si>
  <si>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</si>
  <si>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</si>
  <si>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</si>
  <si>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</si>
  <si>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</si>
  <si>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</si>
  <si>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</si>
  <si>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</si>
  <si>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</si>
  <si>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</si>
  <si>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</si>
  <si>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</si>
  <si>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</si>
  <si>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</si>
  <si>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</si>
  <si>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</si>
  <si>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</si>
  <si>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</si>
  <si>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</si>
  <si>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</si>
  <si>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</si>
  <si>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</si>
  <si>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</si>
  <si>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</si>
  <si>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</si>
  <si>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</si>
  <si>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</si>
  <si>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</si>
  <si>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</si>
  <si>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</si>
  <si>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</si>
  <si>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</si>
  <si>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</si>
  <si>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</si>
  <si>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</si>
  <si>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</si>
  <si>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</si>
  <si>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</si>
  <si>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</si>
  <si>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</si>
  <si>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</si>
  <si>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</si>
  <si>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</si>
  <si>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</si>
  <si>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</si>
  <si>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</si>
  <si>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</si>
  <si>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</si>
  <si>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</si>
  <si>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</si>
  <si>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</si>
  <si>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</si>
  <si>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</si>
  <si>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</si>
  <si>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</si>
  <si>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</si>
  <si>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</si>
  <si>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</si>
  <si>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</si>
  <si>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</si>
  <si>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</si>
  <si>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</si>
  <si>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</si>
  <si>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</si>
  <si>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</si>
  <si>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</si>
  <si>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</si>
  <si>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</si>
  <si>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</si>
  <si>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</si>
  <si>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</si>
  <si>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</si>
  <si>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</si>
  <si>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</si>
  <si>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</si>
  <si>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</si>
  <si>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</si>
  <si>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</si>
  <si>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</si>
  <si>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</si>
  <si>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</si>
  <si>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</si>
  <si>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</si>
  <si>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</si>
  <si>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</si>
  <si>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</si>
  <si>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</si>
  <si>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</si>
  <si>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</si>
  <si>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</si>
  <si>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</si>
  <si>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</si>
  <si>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</si>
  <si>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</si>
  <si>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</si>
  <si>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</si>
  <si>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</si>
  <si>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</si>
  <si>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</si>
  <si>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</si>
  <si>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</si>
  <si>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</si>
  <si>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</si>
  <si>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</si>
  <si>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</si>
  <si>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</si>
  <si>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</si>
  <si>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</si>
  <si>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</si>
  <si>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</si>
  <si>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</si>
  <si>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</si>
  <si>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</si>
  <si>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</si>
  <si>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</si>
  <si>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</si>
  <si>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</si>
  <si>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</si>
  <si>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</si>
  <si>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</si>
  <si>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</si>
  <si>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</si>
  <si>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</si>
  <si>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</si>
  <si>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</si>
  <si>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</si>
  <si>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</si>
  <si>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</si>
  <si>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</si>
  <si>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</si>
  <si>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</si>
  <si>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</si>
  <si>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</si>
  <si>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</si>
  <si>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</si>
  <si>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</si>
  <si>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</si>
  <si>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</si>
  <si>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</si>
  <si>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</si>
  <si>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</si>
  <si>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</si>
  <si>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</si>
  <si>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</si>
  <si>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</si>
  <si>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</si>
  <si>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</si>
  <si>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</si>
  <si>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</si>
  <si>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</si>
  <si>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</si>
  <si>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</si>
  <si>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</si>
  <si>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</si>
  <si>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</si>
  <si>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</si>
  <si>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</si>
  <si>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</si>
  <si>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</si>
  <si>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</si>
  <si>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</si>
  <si>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</si>
  <si>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</si>
  <si>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</si>
  <si>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</si>
  <si>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</si>
  <si>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</si>
  <si>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</si>
  <si>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</si>
  <si>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</si>
  <si>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</si>
  <si>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</si>
  <si>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</si>
  <si>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</si>
  <si>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</si>
  <si>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</si>
  <si>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</si>
  <si>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</si>
  <si>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</si>
  <si>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</si>
  <si>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</si>
  <si>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</si>
  <si>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</si>
  <si>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</si>
  <si>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</si>
  <si>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</si>
  <si>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</si>
  <si>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</si>
  <si>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</si>
  <si>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</si>
  <si>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</si>
  <si>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</si>
  <si>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</si>
  <si>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</si>
  <si>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</si>
  <si>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</si>
  <si>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</si>
  <si>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</si>
  <si>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</si>
  <si>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</si>
  <si>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</si>
  <si>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</si>
  <si>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</si>
  <si>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</si>
  <si>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</si>
  <si>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</si>
  <si>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</si>
  <si>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</si>
  <si>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</si>
  <si>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</si>
  <si>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</si>
  <si>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</si>
  <si>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</si>
  <si>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</si>
  <si>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</si>
  <si>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</si>
  <si>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</si>
  <si>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</si>
  <si>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</si>
  <si>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</si>
  <si>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</si>
  <si>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</si>
  <si>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</si>
  <si>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</si>
  <si>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</si>
  <si>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</si>
  <si>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</si>
  <si>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</si>
  <si>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</si>
  <si>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</si>
  <si>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</si>
  <si>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</si>
  <si>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</si>
  <si>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</si>
  <si>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</si>
  <si>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</si>
  <si>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</si>
  <si>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</si>
  <si>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</si>
  <si>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</si>
  <si>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</si>
  <si>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</si>
  <si>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</si>
  <si>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</si>
  <si>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</si>
  <si>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</si>
  <si>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</si>
  <si>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</si>
  <si>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</si>
  <si>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</si>
  <si>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</si>
  <si>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</si>
  <si>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</si>
  <si>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</si>
  <si>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</si>
  <si>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</si>
  <si>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</si>
  <si>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</si>
  <si>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</si>
  <si>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</si>
  <si>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</si>
  <si>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</si>
  <si>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</si>
  <si>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</si>
  <si>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</si>
  <si>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</si>
  <si>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</si>
  <si>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</si>
  <si>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</si>
  <si>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</si>
  <si>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</si>
  <si>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</si>
  <si>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</si>
  <si>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</si>
  <si>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</si>
  <si>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</si>
  <si>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</si>
  <si>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</si>
  <si>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</si>
  <si>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</si>
  <si>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</si>
  <si>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</si>
  <si>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</si>
  <si>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</si>
  <si>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</si>
  <si>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</si>
  <si>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</si>
  <si>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</si>
  <si>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</si>
  <si>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</si>
  <si>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</si>
  <si>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</si>
  <si>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</si>
  <si>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</si>
  <si>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</si>
  <si>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</si>
  <si>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</si>
  <si>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</si>
  <si>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</si>
  <si>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</si>
  <si>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</si>
  <si>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</si>
  <si>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</si>
  <si>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</si>
  <si>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</si>
  <si>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</si>
  <si>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</si>
  <si>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</si>
  <si>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</si>
  <si>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</si>
  <si>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</si>
  <si>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</si>
  <si>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</si>
  <si>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</si>
  <si>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</si>
  <si>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</si>
  <si>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</si>
  <si>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</si>
  <si>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</si>
  <si>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</si>
  <si>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</si>
  <si>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</si>
  <si>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</si>
  <si>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</si>
  <si>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</si>
  <si>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</si>
  <si>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</si>
  <si>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</si>
  <si>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</si>
  <si>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</si>
  <si>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</si>
  <si>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</si>
  <si>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</si>
  <si>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</si>
  <si>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</si>
  <si>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</si>
  <si>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</si>
  <si>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</si>
  <si>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</si>
  <si>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</si>
  <si>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</si>
  <si>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</si>
  <si>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</si>
  <si>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</si>
  <si>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</si>
  <si>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</si>
  <si>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</si>
  <si>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</si>
  <si>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</si>
  <si>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</si>
  <si>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</si>
  <si>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</si>
  <si>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</si>
  <si>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</si>
  <si>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</si>
  <si>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</si>
  <si>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</si>
  <si>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</si>
  <si>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</si>
  <si>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</si>
  <si>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</si>
  <si>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</si>
  <si>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</si>
  <si>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</si>
  <si>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</si>
  <si>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</si>
  <si>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</si>
  <si>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</si>
  <si>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</si>
  <si>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</si>
  <si>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</si>
  <si>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</si>
  <si>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</si>
  <si>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</si>
  <si>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</si>
  <si>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</si>
  <si>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</si>
  <si>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</si>
  <si>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</si>
  <si>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</si>
  <si>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</si>
  <si>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</si>
  <si>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</si>
  <si>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</si>
  <si>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</si>
  <si>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</si>
  <si>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</si>
  <si>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</si>
  <si>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</si>
  <si>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</si>
  <si>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</si>
  <si>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</si>
  <si>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</si>
  <si>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</si>
  <si>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</si>
  <si>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</si>
  <si>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</si>
  <si>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</si>
  <si>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</si>
  <si>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</si>
  <si>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</si>
  <si>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</si>
  <si>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</si>
  <si>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</si>
  <si>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</si>
  <si>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</si>
  <si>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</si>
  <si>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</si>
  <si>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</si>
  <si>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</si>
  <si>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</si>
  <si>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</si>
  <si>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</si>
  <si>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</si>
  <si>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</si>
  <si>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</si>
  <si>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</si>
  <si>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</si>
  <si>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</si>
  <si>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</si>
  <si>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</si>
  <si>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</si>
  <si>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</si>
  <si>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</si>
  <si>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</si>
  <si>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</si>
  <si>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</si>
  <si>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</si>
  <si>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</si>
  <si>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</si>
  <si>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</si>
  <si>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</si>
  <si>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</si>
  <si>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</si>
  <si>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</si>
  <si>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</si>
  <si>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</si>
  <si>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</si>
  <si>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</si>
  <si>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</si>
  <si>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</si>
  <si>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</si>
  <si>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</si>
  <si>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</si>
  <si>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</si>
  <si>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</si>
  <si>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</si>
  <si>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</si>
  <si>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</si>
  <si>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</si>
  <si>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</si>
  <si>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</si>
  <si>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</si>
  <si>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</si>
  <si>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</si>
  <si>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</si>
  <si>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</si>
  <si>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</si>
  <si>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</si>
  <si>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</si>
  <si>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</si>
  <si>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</si>
  <si>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</si>
  <si>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</si>
  <si>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</si>
  <si>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</si>
  <si>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</si>
  <si>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</si>
  <si>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</si>
  <si>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</si>
  <si>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</si>
  <si>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</si>
  <si>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</si>
  <si>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</si>
  <si>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</si>
  <si>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</si>
  <si>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</si>
  <si>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</si>
  <si>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</si>
  <si>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</si>
  <si>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</si>
  <si>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</si>
  <si>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</si>
  <si>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</si>
  <si>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</si>
  <si>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</si>
  <si>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</si>
  <si>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</si>
  <si>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</si>
  <si>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</si>
  <si>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</si>
  <si>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</si>
  <si>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</si>
  <si>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</si>
  <si>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</si>
  <si>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</si>
  <si>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</si>
  <si>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</si>
  <si>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</si>
  <si>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</si>
  <si>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</si>
  <si>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</si>
  <si>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</si>
  <si>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</si>
  <si>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</si>
  <si>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</si>
  <si>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</si>
  <si>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</si>
  <si>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</si>
  <si>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</si>
  <si>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</si>
  <si>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</si>
  <si>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</si>
  <si>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</si>
  <si>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</si>
  <si>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</si>
  <si>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</si>
  <si>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</si>
  <si>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</si>
  <si>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</si>
  <si>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</si>
  <si>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</si>
  <si>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</si>
  <si>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</si>
  <si>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</si>
  <si>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</si>
  <si>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</si>
  <si>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</si>
  <si>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</si>
  <si>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</si>
  <si>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</si>
  <si>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</si>
  <si>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</si>
  <si>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</si>
  <si>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</si>
  <si>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</si>
  <si>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</si>
  <si>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</si>
  <si>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</si>
  <si>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</si>
  <si>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</si>
  <si>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</si>
  <si>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</si>
  <si>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</si>
  <si>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</si>
  <si>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</si>
  <si>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</si>
  <si>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</si>
  <si>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</si>
  <si>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</si>
  <si>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</si>
  <si>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</si>
  <si>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</si>
  <si>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</si>
  <si>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</si>
  <si>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</si>
  <si>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</si>
  <si>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</si>
  <si>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</si>
  <si>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</si>
  <si>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</si>
  <si>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</si>
  <si>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</si>
  <si>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</si>
  <si>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</si>
  <si>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</si>
  <si>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</si>
  <si>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</si>
  <si>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</si>
  <si>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</si>
  <si>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</si>
  <si>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</si>
  <si>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</si>
  <si>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</si>
  <si>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</si>
  <si>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</si>
  <si>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</si>
  <si>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</si>
  <si>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</si>
  <si>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</si>
  <si>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</si>
  <si>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</si>
  <si>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</si>
  <si>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</si>
  <si>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</si>
  <si>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</si>
  <si>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</si>
  <si>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</si>
  <si>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</si>
  <si>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</si>
  <si>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</si>
  <si>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</si>
  <si>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</si>
  <si>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</si>
  <si>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</si>
  <si>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</si>
  <si>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</si>
  <si>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</si>
  <si>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</si>
  <si>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</si>
  <si>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</si>
  <si>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</si>
  <si>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</si>
  <si>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</si>
  <si>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</si>
  <si>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</si>
  <si>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</si>
  <si>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</si>
  <si>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</si>
  <si>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</si>
  <si>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</si>
  <si>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</si>
  <si>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</si>
  <si>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</si>
  <si>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</si>
  <si>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</si>
  <si>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</si>
  <si>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</si>
  <si>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</si>
  <si>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</si>
  <si>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</si>
  <si>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</si>
  <si>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</si>
  <si>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</si>
  <si>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</si>
  <si>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</si>
  <si>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</si>
  <si>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</si>
  <si>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</si>
  <si>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</si>
  <si>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</si>
  <si>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</si>
  <si>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</si>
  <si>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</si>
  <si>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</si>
  <si>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</si>
  <si>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</si>
  <si>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</si>
  <si>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</si>
  <si>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</si>
  <si>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</si>
  <si>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</si>
  <si>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</si>
  <si>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</si>
  <si>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</si>
  <si>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</si>
  <si>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</si>
  <si>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</si>
  <si>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</si>
  <si>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</si>
  <si>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</si>
  <si>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</si>
  <si>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</si>
  <si>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</si>
  <si>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</si>
  <si>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</si>
  <si>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</si>
  <si>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</si>
  <si>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</si>
  <si>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</si>
  <si>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</si>
  <si>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</si>
  <si>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</si>
  <si>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</si>
  <si>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</si>
  <si>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</si>
  <si>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</si>
  <si>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</si>
  <si>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</si>
  <si>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</si>
  <si>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</si>
  <si>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</si>
  <si>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</si>
  <si>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</si>
  <si>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</si>
  <si>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</si>
  <si>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</si>
  <si>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</si>
  <si>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</si>
  <si>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</si>
  <si>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</si>
  <si>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</si>
  <si>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</si>
  <si>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</si>
  <si>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</si>
  <si>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</si>
  <si>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</si>
  <si>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</si>
  <si>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</si>
  <si>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</si>
  <si>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</si>
  <si>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</si>
  <si>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</si>
  <si>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</si>
  <si>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</si>
  <si>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</si>
  <si>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</si>
  <si>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</si>
  <si>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</si>
  <si>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</si>
  <si>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</si>
  <si>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</si>
  <si>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</si>
  <si>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</si>
  <si>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</si>
  <si>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</si>
  <si>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</si>
  <si>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</si>
  <si>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</si>
  <si>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</si>
  <si>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</si>
  <si>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</si>
  <si>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</si>
  <si>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</si>
  <si>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</si>
  <si>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</si>
  <si>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</si>
  <si>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</si>
  <si>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</si>
  <si>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</si>
  <si>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</si>
  <si>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</si>
  <si>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</si>
  <si>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</si>
  <si>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</si>
  <si>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</si>
  <si>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</si>
  <si>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</si>
  <si>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</si>
  <si>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</si>
  <si>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</si>
  <si>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</si>
  <si>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</si>
  <si>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</si>
  <si>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</si>
  <si>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</si>
  <si>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</si>
  <si>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</si>
  <si>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</si>
  <si>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</si>
  <si>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</si>
  <si>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</si>
  <si>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</si>
  <si>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</si>
  <si>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</si>
  <si>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</si>
  <si>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</si>
  <si>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</si>
  <si>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</si>
  <si>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</si>
  <si>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</si>
  <si>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</si>
  <si>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</si>
  <si>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</si>
  <si>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</si>
  <si>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</si>
  <si>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</si>
  <si>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</si>
  <si>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</si>
  <si>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</si>
  <si>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</si>
  <si>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</si>
  <si>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</si>
  <si>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</si>
  <si>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</si>
  <si>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</si>
  <si>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</si>
  <si>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</si>
  <si>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</si>
  <si>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</si>
  <si>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</si>
  <si>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</si>
  <si>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</si>
  <si>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</si>
  <si>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</si>
  <si>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</si>
  <si>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</si>
  <si>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</si>
  <si>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</si>
  <si>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</si>
  <si>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</si>
  <si>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</si>
  <si>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</si>
  <si>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</si>
  <si>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</si>
  <si>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</si>
  <si>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</si>
  <si>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</si>
  <si>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</si>
  <si>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</si>
  <si>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</si>
  <si>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</si>
  <si>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</si>
  <si>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</si>
  <si>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</si>
  <si>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</si>
  <si>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</si>
  <si>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</si>
  <si>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</si>
  <si>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</si>
  <si>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</si>
  <si>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</si>
  <si>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</si>
  <si>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</si>
  <si>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</si>
  <si>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</si>
  <si>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</si>
  <si>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</si>
  <si>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</si>
  <si>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</si>
  <si>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</si>
  <si>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</si>
  <si>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</si>
  <si>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</si>
  <si>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</si>
  <si>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</si>
  <si>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</si>
  <si>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</si>
  <si>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</si>
  <si>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</si>
  <si>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</si>
  <si>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</si>
  <si>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</si>
  <si>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</si>
  <si>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</si>
  <si>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</si>
  <si>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</si>
  <si>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</si>
  <si>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</si>
  <si>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</si>
  <si>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</si>
  <si>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</si>
  <si>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</si>
  <si>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</si>
  <si>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</si>
  <si>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</si>
  <si>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</si>
  <si>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</si>
  <si>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</si>
  <si>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</si>
  <si>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</si>
  <si>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</si>
  <si>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</si>
  <si>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</si>
  <si>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</si>
  <si>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</si>
  <si>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</si>
  <si>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</si>
  <si>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</si>
  <si>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</si>
  <si>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</si>
  <si>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</si>
  <si>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</si>
  <si>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</si>
  <si>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</si>
  <si>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</si>
  <si>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</si>
  <si>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</si>
  <si>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</si>
  <si>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</si>
  <si>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</si>
  <si>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</si>
  <si>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</si>
  <si>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</si>
  <si>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</si>
  <si>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</si>
  <si>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</si>
  <si>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</si>
  <si>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</si>
  <si>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</si>
  <si>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</si>
  <si>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</si>
  <si>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</si>
  <si>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</si>
  <si>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</si>
  <si>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</si>
  <si>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</si>
  <si>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</si>
  <si>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</si>
  <si>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</si>
  <si>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</si>
  <si>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</si>
  <si>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</si>
  <si>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</si>
  <si>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</si>
  <si>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</si>
  <si>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</si>
  <si>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</si>
  <si>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</si>
  <si>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</si>
  <si>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</si>
  <si>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</si>
  <si>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</si>
  <si>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</si>
  <si>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</si>
  <si>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</si>
  <si>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</si>
  <si>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</si>
  <si>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</si>
  <si>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</si>
  <si>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</si>
  <si>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</si>
  <si>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</si>
  <si>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</si>
  <si>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</si>
  <si>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</si>
  <si>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</si>
  <si>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</si>
  <si>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</si>
  <si>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</si>
  <si>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</si>
  <si>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</si>
  <si>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</si>
  <si>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</si>
  <si>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</si>
  <si>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</si>
  <si>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</si>
  <si>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</si>
  <si>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</si>
  <si>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</si>
  <si>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</si>
  <si>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</si>
  <si>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</si>
  <si>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</si>
  <si>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</si>
  <si>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</si>
  <si>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</si>
  <si>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</si>
  <si>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</si>
  <si>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</si>
  <si>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</si>
  <si>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</si>
  <si>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</si>
  <si>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</si>
  <si>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</si>
  <si>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</si>
  <si>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</si>
  <si>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</si>
  <si>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</si>
  <si>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</si>
  <si>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</si>
  <si>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</si>
  <si>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</si>
  <si>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</si>
  <si>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</si>
  <si>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</si>
  <si>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</si>
  <si>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</si>
  <si>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</si>
  <si>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</si>
  <si>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</si>
  <si>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</si>
  <si>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</si>
  <si>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</si>
  <si>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</si>
  <si>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</si>
  <si>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</si>
  <si>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</si>
  <si>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</si>
  <si>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</si>
  <si>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</si>
  <si>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</si>
  <si>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</si>
  <si>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</si>
  <si>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</si>
  <si>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</si>
  <si>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</si>
  <si>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</si>
  <si>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</si>
  <si>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</si>
  <si>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</si>
  <si>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</si>
  <si>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</si>
  <si>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</si>
  <si>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</si>
  <si>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</si>
  <si>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</si>
  <si>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</si>
  <si>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</si>
  <si>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</si>
  <si>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</si>
  <si>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</si>
  <si>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</si>
  <si>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</si>
  <si>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</si>
  <si>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</si>
  <si>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</si>
  <si>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</si>
  <si>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</si>
  <si>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</si>
  <si>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</si>
  <si>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</si>
  <si>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</si>
  <si>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</si>
  <si>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</si>
  <si>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</si>
  <si>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</si>
  <si>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</si>
  <si>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</si>
  <si>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</si>
  <si>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</si>
  <si>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</si>
  <si>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</si>
  <si>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</si>
  <si>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</si>
  <si>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</si>
  <si>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</si>
  <si>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</si>
  <si>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</si>
  <si>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</si>
  <si>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</si>
  <si>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</si>
  <si>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</si>
  <si>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</si>
  <si>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</si>
  <si>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</si>
  <si>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</si>
  <si>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</si>
  <si>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</si>
  <si>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</si>
  <si>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</si>
  <si>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</si>
  <si>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</si>
  <si>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</si>
  <si>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</si>
  <si>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</si>
  <si>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</si>
  <si>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</si>
  <si>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</si>
  <si>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</si>
  <si>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</si>
  <si>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</si>
  <si>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</si>
  <si>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</si>
  <si>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</si>
  <si>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</si>
  <si>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</si>
  <si>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</si>
  <si>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</si>
  <si>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</si>
  <si>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</si>
  <si>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</si>
  <si>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</si>
  <si>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</si>
  <si>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</si>
  <si>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</si>
  <si>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</si>
  <si>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</si>
  <si>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</si>
  <si>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</si>
  <si>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</si>
  <si>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</si>
  <si>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</si>
  <si>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</si>
  <si>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</si>
  <si>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</si>
  <si>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</si>
  <si>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</si>
  <si>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</si>
  <si>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</si>
  <si>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</si>
  <si>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</si>
  <si>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</si>
  <si>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</si>
  <si>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</si>
  <si>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</si>
  <si>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</si>
  <si>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</si>
  <si>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</si>
  <si>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</si>
  <si>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</si>
  <si>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</si>
  <si>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</si>
  <si>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</si>
  <si>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</si>
  <si>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</si>
  <si>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</si>
  <si>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</si>
  <si>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</si>
  <si>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</si>
  <si>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</si>
  <si>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</si>
  <si>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</si>
  <si>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</si>
  <si>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</si>
  <si>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</si>
  <si>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</si>
  <si>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</si>
  <si>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</si>
  <si>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</si>
  <si>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</si>
  <si>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</si>
  <si>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</si>
  <si>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</si>
  <si>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</si>
  <si>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</si>
  <si>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</si>
  <si>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</si>
  <si>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</si>
  <si>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</si>
  <si>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</si>
  <si>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</si>
  <si>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</si>
  <si>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</si>
  <si>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</si>
  <si>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</si>
  <si>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</si>
  <si>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</si>
  <si>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</si>
  <si>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</si>
  <si>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</si>
  <si>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</si>
  <si>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</si>
  <si>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</si>
  <si>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</si>
  <si>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</si>
  <si>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</si>
  <si>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</si>
  <si>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</si>
  <si>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</si>
  <si>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</si>
  <si>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</si>
  <si>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</si>
  <si>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</si>
  <si>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</si>
  <si>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</si>
  <si>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</si>
  <si>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</si>
  <si>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</si>
  <si>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</si>
  <si>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</si>
  <si>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</si>
  <si>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</si>
  <si>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</si>
  <si>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</si>
  <si>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</si>
  <si>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</si>
  <si>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</si>
  <si>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</si>
  <si>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</si>
  <si>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</si>
  <si>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</si>
  <si>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</si>
  <si>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</si>
  <si>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</si>
  <si>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</si>
  <si>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</si>
  <si>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</si>
  <si>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</si>
  <si>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</si>
  <si>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</si>
  <si>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</si>
  <si>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</si>
  <si>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</si>
  <si>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</si>
  <si>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</si>
  <si>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</si>
  <si>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</si>
  <si>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</si>
  <si>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</si>
  <si>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</si>
  <si>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</si>
  <si>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</si>
  <si>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</si>
  <si>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</si>
  <si>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</si>
  <si>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</si>
  <si>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</si>
  <si>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</si>
  <si>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</si>
  <si>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</si>
  <si>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</si>
  <si>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</si>
  <si>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</si>
  <si>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</si>
  <si>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</si>
  <si>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</si>
  <si>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</si>
  <si>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</si>
  <si>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</si>
  <si>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</si>
  <si>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</si>
  <si>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</si>
  <si>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</si>
  <si>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</si>
  <si>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</si>
  <si>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</si>
  <si>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</si>
  <si>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</si>
  <si>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</si>
  <si>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</si>
  <si>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</si>
  <si>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</si>
  <si>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</si>
  <si>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</si>
  <si>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</si>
  <si>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</si>
  <si>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</si>
  <si>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</si>
  <si>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</si>
  <si>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</si>
  <si>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</si>
  <si>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</si>
  <si>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</si>
  <si>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</si>
  <si>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</si>
  <si>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</si>
  <si>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</si>
  <si>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</si>
  <si>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</si>
  <si>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</si>
  <si>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</si>
  <si>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</si>
  <si>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</si>
  <si>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</si>
  <si>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</si>
  <si>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</si>
  <si>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</si>
  <si>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</si>
  <si>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</si>
  <si>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</si>
  <si>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</si>
  <si>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</si>
  <si>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</si>
  <si>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</si>
  <si>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</si>
  <si>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</si>
  <si>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</si>
  <si>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</si>
  <si>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</si>
  <si>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</si>
  <si>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</si>
  <si>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</si>
  <si>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</si>
  <si>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</si>
  <si>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</si>
  <si>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</si>
  <si>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</si>
  <si>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</si>
  <si>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</si>
  <si>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</si>
  <si>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</si>
  <si>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</si>
  <si>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</si>
  <si>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</si>
  <si>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</si>
  <si>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</si>
  <si>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</si>
  <si>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</si>
  <si>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</si>
  <si>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</si>
  <si>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</si>
  <si>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</si>
  <si>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</si>
  <si>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</si>
  <si>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</si>
  <si>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</si>
  <si>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</si>
  <si>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</si>
  <si>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</si>
  <si>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</si>
  <si>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</si>
  <si>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</si>
  <si>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</si>
  <si>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</si>
  <si>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</si>
  <si>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</si>
  <si>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</si>
  <si>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</si>
  <si>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</si>
  <si>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</si>
  <si>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</si>
  <si>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</si>
  <si>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</si>
  <si>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</si>
  <si>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</si>
  <si>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</si>
  <si>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</si>
  <si>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</si>
  <si>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</si>
  <si>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</si>
  <si>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</si>
  <si>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</si>
  <si>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</si>
  <si>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</si>
  <si>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</si>
  <si>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</si>
  <si>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</si>
  <si>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</si>
  <si>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</si>
  <si>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</si>
  <si>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</si>
  <si>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</si>
  <si>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</si>
  <si>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</si>
  <si>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</si>
  <si>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</si>
  <si>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</si>
  <si>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</si>
  <si>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</si>
  <si>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</si>
  <si>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</si>
  <si>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</si>
  <si>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</si>
  <si>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</si>
  <si>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</si>
  <si>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</si>
  <si>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</si>
  <si>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</si>
  <si>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</si>
  <si>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</si>
  <si>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</si>
  <si>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</si>
  <si>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</si>
  <si>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</si>
  <si>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</si>
  <si>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</si>
  <si>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</si>
  <si>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</si>
  <si>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</si>
  <si>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</si>
  <si>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</si>
  <si>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</si>
  <si>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</si>
  <si>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</si>
  <si>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</si>
  <si>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</si>
  <si>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</si>
  <si>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</si>
  <si>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</si>
  <si>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</si>
  <si>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</si>
  <si>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</si>
  <si>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</si>
  <si>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</si>
  <si>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</si>
  <si>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</si>
  <si>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</si>
  <si>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</si>
  <si>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</si>
  <si>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</si>
  <si>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</si>
  <si>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</si>
  <si>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</si>
  <si>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</si>
  <si>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</si>
  <si>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</si>
  <si>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</si>
  <si>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</si>
  <si>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</si>
  <si>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</si>
  <si>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</si>
  <si>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</si>
  <si>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</si>
  <si>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</si>
  <si>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</si>
  <si>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</si>
  <si>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</si>
  <si>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</si>
  <si>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</si>
  <si>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</si>
  <si>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</si>
  <si>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</si>
  <si>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</si>
  <si>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</si>
  <si>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</si>
  <si>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</si>
  <si>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</si>
  <si>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</si>
  <si>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</si>
  <si>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</si>
  <si>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</si>
  <si>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</si>
  <si>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</si>
  <si>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</si>
  <si>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</si>
  <si>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</si>
  <si>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</si>
  <si>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</si>
  <si>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</si>
  <si>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</si>
  <si>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</si>
  <si>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</si>
  <si>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</si>
  <si>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</si>
  <si>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</si>
  <si>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</si>
  <si>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</si>
  <si>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</si>
  <si>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</si>
  <si>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</si>
  <si>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</si>
  <si>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</si>
  <si>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</si>
  <si>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</si>
  <si>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</si>
  <si>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</si>
  <si>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</si>
  <si>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</si>
  <si>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</si>
  <si>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</si>
  <si>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</si>
  <si>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</si>
  <si>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</si>
  <si>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</si>
  <si>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</si>
  <si>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</si>
  <si>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</si>
  <si>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</si>
  <si>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</si>
  <si>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</si>
  <si>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</si>
  <si>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</si>
  <si>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</si>
  <si>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</si>
  <si>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</si>
  <si>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</si>
  <si>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</si>
  <si>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</si>
  <si>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</si>
  <si>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</si>
  <si>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</si>
  <si>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</si>
  <si>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</si>
  <si>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</si>
  <si>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</si>
  <si>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</si>
  <si>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</si>
  <si>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</si>
  <si>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</si>
  <si>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</si>
  <si>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</si>
  <si>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</si>
  <si>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</si>
  <si>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</si>
  <si>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</si>
  <si>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</si>
  <si>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</si>
  <si>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</si>
  <si>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</si>
  <si>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</si>
  <si>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</si>
  <si>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</si>
  <si>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</si>
  <si>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</si>
  <si>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</si>
  <si>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</si>
  <si>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</si>
  <si>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</si>
  <si>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</si>
  <si>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</si>
  <si>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</si>
  <si>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</si>
  <si>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</si>
  <si>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</si>
  <si>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</si>
  <si>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</si>
  <si>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</si>
  <si>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</si>
  <si>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</si>
  <si>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</si>
  <si>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</si>
  <si>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</si>
  <si>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</si>
  <si>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</si>
  <si>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</si>
  <si>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</si>
  <si>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</si>
  <si>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</si>
  <si>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</si>
  <si>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</si>
  <si>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</si>
  <si>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</si>
  <si>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</si>
  <si>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</si>
  <si>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</si>
  <si>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</si>
  <si>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</si>
  <si>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</si>
  <si>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</si>
  <si>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</si>
  <si>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</si>
  <si>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</si>
  <si>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</si>
  <si>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</si>
  <si>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</si>
  <si>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</si>
  <si>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</si>
  <si>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</si>
  <si>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</si>
  <si>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</si>
  <si>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</si>
  <si>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</si>
  <si>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</si>
  <si>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</si>
  <si>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</si>
  <si>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</si>
  <si>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</si>
  <si>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</si>
  <si>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</si>
  <si>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</si>
  <si>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</si>
  <si>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</si>
  <si>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</si>
  <si>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</si>
  <si>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</si>
  <si>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</si>
  <si>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</si>
  <si>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</si>
  <si>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</si>
  <si>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</si>
  <si>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</si>
  <si>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</si>
  <si>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</si>
  <si>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</si>
  <si>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</si>
  <si>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</si>
  <si>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</si>
  <si>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</si>
  <si>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</si>
  <si>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</si>
  <si>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</si>
  <si>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</si>
  <si>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</si>
  <si>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</si>
  <si>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</si>
  <si>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</si>
  <si>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</si>
  <si>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</si>
  <si>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</si>
  <si>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</si>
  <si>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</si>
  <si>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</si>
  <si>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</si>
  <si>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</si>
  <si>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</si>
  <si>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</si>
  <si>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</si>
  <si>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</si>
  <si>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</si>
  <si>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</si>
  <si>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</si>
  <si>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</si>
  <si>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</si>
  <si>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</si>
  <si>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</si>
  <si>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</si>
  <si>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</si>
  <si>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</si>
  <si>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</si>
  <si>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</si>
  <si>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</si>
  <si>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</si>
  <si>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</si>
  <si>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</si>
  <si>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</si>
  <si>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</si>
  <si>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</si>
  <si>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</si>
  <si>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</si>
  <si>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</si>
  <si>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</si>
  <si>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</si>
  <si>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</si>
  <si>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</si>
  <si>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</si>
  <si>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</si>
  <si>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</si>
  <si>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</si>
  <si>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</si>
  <si>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</si>
  <si>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</si>
  <si>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</si>
  <si>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</si>
  <si>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</si>
  <si>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</si>
  <si>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</si>
  <si>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</si>
  <si>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</si>
  <si>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</si>
  <si>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</si>
  <si>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</si>
  <si>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</si>
  <si>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</si>
  <si>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</si>
  <si>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</si>
  <si>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</si>
  <si>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</si>
  <si>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</si>
  <si>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</si>
  <si>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</si>
  <si>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</si>
  <si>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</si>
  <si>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</si>
  <si>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</si>
  <si>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</si>
  <si>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</si>
  <si>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</si>
  <si>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</si>
  <si>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</si>
  <si>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</si>
  <si>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</si>
  <si>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</si>
  <si>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</si>
  <si>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</si>
  <si>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</si>
  <si>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</si>
  <si>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</si>
  <si>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</si>
  <si>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</si>
  <si>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</si>
  <si>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</si>
  <si>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</si>
  <si>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</si>
  <si>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</si>
  <si>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</si>
  <si>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</si>
  <si>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</si>
  <si>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</si>
  <si>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</si>
  <si>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</si>
  <si>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</si>
  <si>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</si>
  <si>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</si>
  <si>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</si>
  <si>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</si>
  <si>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</si>
  <si>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</si>
  <si>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</si>
  <si>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</si>
  <si>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</si>
  <si>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</si>
  <si>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</si>
  <si>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</si>
  <si>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</si>
  <si>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</si>
  <si>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</si>
  <si>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</si>
  <si>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</si>
  <si>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</si>
  <si>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</si>
  <si>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</si>
  <si>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</si>
  <si>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</si>
  <si>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</si>
  <si>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</si>
  <si>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</si>
  <si>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</si>
  <si>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</si>
  <si>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</si>
  <si>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</si>
  <si>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</si>
  <si>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</si>
  <si>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</si>
  <si>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</si>
  <si>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</si>
  <si>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</si>
  <si>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</si>
  <si>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</si>
  <si>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</si>
  <si>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</si>
  <si>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</si>
  <si>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</si>
  <si>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</si>
  <si>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</si>
  <si>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</si>
  <si>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</si>
  <si>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</si>
  <si>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</si>
  <si>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</si>
  <si>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</si>
  <si>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</si>
  <si>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</si>
  <si>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</si>
  <si>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</si>
  <si>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</si>
  <si>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</si>
  <si>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</si>
  <si>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</si>
  <si>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</si>
  <si>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</si>
  <si>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</si>
  <si>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</si>
  <si>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</si>
  <si>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</si>
  <si>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</si>
  <si>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</si>
  <si>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</si>
  <si>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</si>
  <si>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</si>
  <si>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</si>
  <si>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</si>
  <si>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</si>
  <si>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</si>
  <si>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</si>
  <si>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</si>
  <si>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</si>
  <si>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</si>
  <si>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</si>
  <si>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</si>
  <si>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</si>
  <si>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</si>
  <si>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</si>
  <si>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</si>
  <si>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</si>
  <si>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</si>
  <si>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</si>
  <si>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</si>
  <si>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</si>
  <si>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</si>
  <si>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</si>
  <si>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</si>
  <si>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</si>
  <si>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</si>
  <si>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</si>
  <si>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</si>
  <si>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</si>
  <si>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</si>
  <si>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</si>
  <si>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</si>
  <si>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</si>
  <si>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</si>
  <si>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</si>
  <si>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</si>
  <si>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</si>
  <si>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</si>
  <si>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</si>
  <si>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</si>
  <si>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</si>
  <si>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</si>
  <si>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</si>
  <si>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</si>
  <si>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</si>
  <si>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</si>
  <si>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</si>
  <si>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</si>
  <si>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</si>
  <si>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</si>
  <si>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</si>
  <si>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</si>
  <si>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</si>
  <si>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</si>
  <si>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</si>
  <si>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</si>
  <si>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</si>
  <si>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</si>
  <si>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</si>
  <si>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</si>
  <si>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</si>
  <si>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</si>
  <si>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</si>
  <si>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</si>
  <si>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</si>
  <si>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</si>
  <si>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</si>
  <si>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</si>
  <si>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</si>
  <si>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</si>
  <si>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</si>
  <si>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</si>
  <si>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</si>
  <si>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</si>
  <si>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</si>
  <si>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</si>
  <si>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</si>
  <si>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</si>
  <si>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</si>
  <si>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</si>
  <si>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</si>
  <si>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</si>
  <si>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</si>
  <si>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</si>
  <si>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</si>
  <si>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</si>
  <si>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</si>
  <si>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</si>
  <si>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</si>
  <si>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</si>
  <si>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</si>
  <si>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</si>
  <si>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</si>
  <si>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</si>
  <si>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</si>
  <si>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</si>
  <si>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</si>
  <si>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</si>
  <si>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</si>
  <si>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</si>
  <si>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</si>
  <si>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</si>
  <si>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</si>
  <si>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</si>
  <si>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</si>
  <si>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</si>
  <si>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</si>
  <si>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</si>
  <si>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</si>
  <si>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</si>
  <si>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</si>
  <si>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</si>
  <si>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</si>
  <si>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</si>
  <si>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</si>
  <si>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</si>
  <si>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</si>
  <si>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</si>
  <si>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</si>
  <si>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</si>
  <si>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</si>
  <si>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</si>
  <si>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</si>
  <si>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</si>
  <si>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</si>
  <si>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</si>
  <si>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</si>
  <si>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</si>
  <si>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</si>
  <si>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</si>
  <si>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</si>
  <si>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</si>
  <si>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</si>
  <si>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</si>
  <si>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</si>
  <si>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</si>
  <si>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</si>
  <si>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</si>
  <si>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</si>
  <si>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</si>
  <si>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</si>
  <si>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</si>
  <si>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</si>
  <si>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</si>
  <si>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</si>
  <si>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</si>
  <si>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</si>
  <si>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</si>
  <si>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</si>
  <si>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</si>
  <si>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</si>
  <si>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</si>
  <si>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</si>
  <si>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</si>
  <si>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</si>
  <si>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</si>
  <si>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</si>
  <si>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</si>
  <si>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</si>
  <si>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</si>
  <si>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</si>
  <si>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</si>
  <si>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</si>
  <si>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</si>
  <si>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</si>
  <si>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</si>
  <si>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</si>
  <si>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</si>
  <si>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</si>
  <si>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</si>
  <si>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</si>
  <si>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</si>
  <si>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</si>
  <si>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</si>
  <si>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</si>
  <si>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</si>
  <si>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</si>
  <si>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</si>
  <si>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</si>
  <si>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</si>
  <si>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</si>
  <si>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</si>
  <si>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</si>
  <si>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</si>
  <si>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</si>
  <si>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</si>
  <si>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</si>
  <si>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</si>
  <si>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</si>
  <si>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</si>
  <si>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</si>
  <si>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</si>
  <si>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</si>
  <si>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</si>
  <si>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</si>
  <si>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</si>
  <si>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</si>
  <si>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</si>
  <si>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</si>
  <si>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</si>
  <si>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</si>
  <si>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</si>
  <si>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</si>
  <si>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</si>
  <si>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</si>
  <si>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</si>
  <si>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</si>
  <si>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</si>
  <si>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</si>
  <si>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</si>
  <si>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</si>
  <si>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</si>
  <si>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</si>
  <si>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</si>
  <si>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</si>
  <si>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</si>
  <si>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</si>
  <si>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</si>
  <si>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</si>
  <si>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</si>
  <si>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</si>
  <si>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</si>
  <si>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</si>
  <si>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</si>
  <si>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</si>
  <si>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</si>
  <si>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</si>
  <si>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</si>
  <si>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</si>
  <si>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</si>
  <si>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</si>
  <si>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</si>
  <si>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</si>
  <si>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</si>
  <si>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</si>
  <si>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</si>
  <si>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</si>
  <si>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</si>
  <si>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</si>
  <si>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</si>
  <si>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</si>
  <si>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</si>
  <si>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</si>
  <si>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</si>
  <si>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</si>
  <si>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</si>
  <si>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</si>
  <si>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</si>
  <si>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</si>
  <si>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</si>
  <si>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</si>
  <si>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</si>
  <si>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</si>
  <si>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</si>
  <si>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</si>
  <si>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</si>
  <si>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</si>
  <si>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</si>
  <si>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</si>
  <si>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</si>
  <si>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</si>
  <si>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</si>
  <si>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</si>
  <si>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</si>
  <si>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</si>
  <si>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</si>
  <si>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</si>
  <si>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</si>
  <si>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</si>
  <si>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</si>
  <si>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</si>
  <si>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</si>
  <si>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</si>
  <si>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</si>
  <si>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</si>
  <si>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</si>
  <si>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</si>
  <si>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</si>
  <si>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</si>
  <si>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</si>
  <si>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</si>
  <si>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</si>
  <si>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</si>
  <si>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</si>
  <si>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</si>
  <si>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</si>
  <si>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</si>
  <si>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</si>
  <si>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</si>
  <si>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</si>
  <si>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</si>
  <si>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</si>
  <si>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</si>
  <si>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</si>
  <si>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</si>
  <si>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</si>
  <si>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</si>
  <si>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</si>
  <si>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</si>
  <si>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</si>
  <si>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</si>
  <si>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</si>
  <si>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</si>
  <si>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</si>
  <si>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</si>
  <si>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</si>
  <si>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</si>
  <si>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</si>
  <si>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</si>
  <si>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</si>
  <si>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</si>
  <si>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</si>
  <si>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</si>
  <si>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</si>
  <si>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</si>
  <si>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</si>
  <si>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</si>
  <si>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</si>
  <si>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</si>
  <si>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</si>
  <si>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</si>
  <si>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</si>
  <si>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</si>
  <si>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</si>
  <si>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</si>
  <si>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</si>
  <si>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</si>
  <si>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</si>
  <si>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</si>
  <si>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</si>
  <si>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</si>
  <si>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</si>
  <si>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</si>
  <si>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</si>
  <si>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</si>
  <si>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</si>
  <si>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</si>
  <si>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</si>
  <si>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</si>
  <si>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</si>
  <si>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</si>
  <si>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</si>
  <si>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</si>
  <si>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</si>
  <si>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</si>
  <si>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</si>
  <si>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</si>
  <si>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</si>
  <si>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</si>
  <si>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</si>
  <si>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</si>
  <si>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</si>
  <si>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</si>
  <si>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</si>
  <si>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</si>
  <si>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</si>
  <si>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</si>
  <si>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</si>
  <si>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</si>
  <si>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</si>
  <si>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</si>
  <si>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</si>
  <si>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</si>
  <si>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</si>
  <si>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</si>
  <si>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</si>
  <si>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</si>
  <si>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</si>
  <si>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</si>
  <si>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</si>
  <si>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</si>
  <si>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</si>
  <si>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</si>
  <si>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</si>
  <si>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</si>
  <si>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</si>
  <si>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</si>
  <si>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</si>
  <si>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</si>
  <si>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</si>
  <si>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</si>
  <si>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</si>
  <si>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</si>
  <si>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</si>
  <si>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</si>
  <si>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</si>
  <si>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</si>
  <si>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</si>
  <si>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</si>
  <si>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</si>
  <si>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</si>
  <si>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</si>
  <si>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</si>
  <si>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</si>
  <si>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</si>
  <si>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</si>
  <si>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</si>
  <si>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</si>
  <si>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</si>
  <si>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</si>
  <si>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</si>
  <si>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</si>
  <si>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</si>
  <si>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</si>
  <si>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</si>
  <si>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</si>
  <si>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</si>
  <si>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</si>
  <si>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</si>
  <si>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</si>
  <si>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</si>
  <si>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</si>
  <si>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</si>
  <si>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</si>
  <si>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</si>
  <si>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</si>
  <si>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</si>
  <si>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</si>
  <si>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</si>
  <si>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</si>
  <si>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</si>
  <si>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</si>
  <si>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</si>
  <si>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</si>
  <si>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</si>
  <si>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</si>
  <si>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</si>
  <si>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</si>
  <si>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</si>
  <si>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</si>
  <si>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</si>
  <si>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</si>
  <si>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</si>
  <si>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</si>
  <si>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</si>
  <si>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</si>
  <si>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</si>
  <si>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</si>
  <si>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</si>
  <si>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</si>
  <si>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</si>
  <si>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</si>
  <si>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</si>
  <si>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</si>
  <si>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</si>
  <si>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</si>
  <si>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</si>
  <si>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</si>
  <si>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</si>
  <si>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</si>
  <si>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</si>
  <si>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</si>
  <si>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</si>
  <si>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</si>
  <si>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</si>
  <si>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</si>
  <si>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</si>
  <si>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</si>
  <si>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</si>
  <si>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</si>
  <si>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</si>
  <si>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</si>
  <si>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</si>
  <si>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</si>
  <si>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</si>
  <si>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</si>
  <si>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</si>
  <si>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</si>
  <si>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</si>
  <si>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</si>
  <si>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</si>
  <si>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</si>
  <si>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</si>
  <si>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</si>
  <si>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</si>
  <si>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</si>
  <si>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</si>
  <si>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</si>
  <si>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</si>
  <si>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</si>
  <si>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</si>
  <si>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</si>
  <si>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</si>
  <si>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</si>
  <si>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</si>
  <si>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</si>
  <si>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</si>
  <si>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</si>
  <si>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</si>
  <si>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</si>
  <si>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</si>
  <si>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</si>
  <si>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</si>
  <si>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</si>
  <si>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</si>
  <si>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</si>
  <si>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</si>
  <si>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</si>
  <si>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</si>
  <si>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</si>
  <si>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</si>
  <si>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</si>
  <si>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</si>
  <si>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</si>
  <si>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</si>
  <si>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</si>
  <si>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</si>
  <si>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</si>
  <si>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</si>
  <si>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</si>
  <si>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</si>
  <si>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</si>
  <si>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</si>
  <si>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</si>
  <si>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</si>
  <si>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</si>
  <si>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</si>
  <si>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</si>
  <si>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</si>
  <si>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</si>
  <si>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</si>
  <si>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</si>
  <si>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</si>
  <si>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</si>
  <si>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</si>
  <si>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</si>
  <si>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</si>
  <si>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</si>
  <si>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</si>
  <si>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</si>
  <si>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</si>
  <si>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</si>
  <si>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</si>
  <si>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</si>
  <si>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</si>
  <si>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</si>
  <si>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</si>
  <si>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</si>
  <si>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</si>
  <si>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</si>
  <si>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</si>
  <si>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</si>
  <si>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</si>
  <si>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</si>
  <si>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</si>
  <si>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</si>
  <si>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</si>
  <si>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</si>
  <si>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</si>
  <si>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</si>
  <si>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</si>
  <si>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</si>
  <si>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</si>
  <si>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</si>
  <si>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</si>
  <si>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</si>
  <si>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</si>
  <si>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</si>
  <si>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</si>
  <si>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</si>
  <si>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</si>
  <si>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</si>
  <si>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</si>
  <si>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</si>
  <si>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</si>
  <si>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</si>
  <si>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</si>
  <si>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</si>
  <si>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</si>
  <si>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</si>
  <si>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</si>
  <si>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</si>
  <si>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</si>
  <si>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</si>
  <si>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</si>
  <si>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</si>
  <si>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</si>
  <si>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</si>
  <si>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</si>
  <si>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</si>
  <si>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</si>
  <si>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</si>
  <si>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</si>
  <si>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</si>
  <si>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</si>
  <si>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</si>
  <si>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</si>
  <si>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</si>
  <si>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</si>
  <si>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</si>
  <si>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</si>
  <si>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</si>
  <si>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</si>
  <si>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</si>
  <si>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</si>
  <si>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</si>
  <si>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</si>
  <si>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</si>
  <si>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</si>
  <si>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</si>
  <si>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</si>
  <si>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</si>
  <si>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</si>
  <si>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</si>
  <si>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</si>
  <si>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</si>
  <si>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</si>
  <si>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</si>
  <si>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</si>
  <si>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</si>
  <si>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</si>
  <si>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</si>
  <si>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</si>
  <si>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</si>
  <si>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</si>
  <si>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</si>
  <si>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</si>
  <si>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</si>
  <si>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</si>
  <si>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</si>
  <si>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</si>
  <si>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</si>
  <si>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</si>
  <si>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</si>
  <si>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</si>
  <si>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</si>
  <si>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</si>
  <si>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</si>
  <si>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</si>
  <si>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</si>
  <si>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</si>
  <si>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</si>
  <si>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</si>
  <si>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</si>
  <si>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</si>
  <si>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</si>
  <si>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</si>
  <si>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</si>
  <si>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</si>
  <si>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</si>
  <si>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</si>
  <si>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</si>
  <si>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</si>
  <si>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</si>
  <si>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</si>
  <si>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</si>
  <si>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</si>
  <si>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</si>
  <si>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</si>
  <si>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</si>
  <si>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</si>
  <si>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</si>
  <si>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</si>
  <si>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</si>
  <si>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</si>
  <si>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</si>
  <si>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</si>
  <si>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</si>
  <si>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</si>
  <si>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</si>
  <si>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</si>
  <si>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</si>
  <si>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</si>
  <si>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</si>
  <si>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</si>
  <si>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</si>
  <si>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</si>
  <si>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</si>
  <si>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</si>
  <si>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</si>
  <si>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</si>
  <si>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</si>
  <si>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</si>
  <si>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</si>
  <si>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</si>
  <si>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</si>
  <si>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</si>
  <si>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</si>
  <si>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</si>
  <si>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</si>
  <si>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</si>
  <si>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</si>
  <si>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</si>
  <si>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</si>
  <si>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</si>
  <si>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</si>
  <si>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</si>
  <si>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</si>
  <si>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</si>
  <si>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</si>
  <si>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</si>
  <si>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</si>
  <si>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</si>
  <si>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</si>
  <si>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</si>
  <si>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</si>
  <si>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</si>
  <si>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</si>
  <si>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</si>
  <si>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</si>
  <si>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</si>
  <si>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</si>
  <si>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</si>
  <si>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</si>
  <si>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</si>
  <si>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</si>
  <si>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</si>
  <si>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</si>
  <si>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</si>
  <si>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</si>
  <si>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</si>
  <si>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</si>
  <si>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</si>
  <si>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</si>
  <si>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</si>
  <si>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</si>
  <si>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</si>
  <si>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</si>
  <si>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</si>
  <si>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</si>
  <si>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</si>
  <si>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</si>
  <si>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</si>
  <si>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</si>
  <si>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</si>
  <si>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</si>
  <si>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</si>
  <si>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</si>
  <si>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</si>
  <si>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</si>
  <si>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</si>
  <si>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</si>
  <si>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</si>
  <si>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</si>
  <si>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</si>
  <si>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</si>
  <si>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</si>
  <si>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</si>
  <si>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</si>
  <si>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</si>
  <si>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</si>
  <si>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</si>
  <si>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</si>
  <si>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</si>
  <si>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</si>
  <si>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</si>
  <si>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</si>
  <si>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</si>
  <si>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</si>
  <si>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</si>
  <si>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</si>
  <si>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</si>
  <si>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</si>
  <si>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</si>
  <si>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</si>
  <si>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</si>
  <si>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</si>
  <si>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</si>
  <si>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</si>
  <si>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</si>
  <si>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</si>
  <si>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</si>
  <si>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</si>
  <si>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</si>
  <si>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</si>
  <si>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</si>
  <si>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</si>
  <si>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</si>
  <si>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</si>
  <si>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</si>
  <si>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</si>
  <si>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</si>
  <si>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</si>
  <si>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</si>
  <si>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</si>
  <si>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</si>
  <si>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</si>
  <si>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</si>
  <si>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</si>
  <si>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</si>
  <si>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</si>
  <si>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</si>
  <si>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</si>
  <si>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</si>
  <si>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</si>
  <si>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</si>
  <si>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</si>
  <si>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</si>
  <si>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</si>
  <si>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</si>
  <si>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</si>
  <si>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</si>
  <si>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</si>
  <si>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</si>
  <si>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</si>
  <si>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</si>
  <si>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</si>
  <si>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</si>
  <si>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</si>
  <si>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</si>
  <si>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</si>
  <si>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</si>
  <si>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</si>
  <si>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</si>
  <si>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</si>
  <si>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</si>
  <si>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</si>
  <si>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</si>
  <si>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</si>
  <si>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</si>
  <si>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</si>
  <si>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</si>
  <si>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</si>
  <si>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</si>
  <si>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</si>
  <si>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</si>
  <si>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</si>
  <si>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</si>
  <si>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</si>
  <si>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</si>
  <si>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</si>
  <si>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</si>
  <si>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</si>
  <si>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</si>
  <si>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</si>
  <si>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</si>
  <si>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</si>
  <si>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</si>
  <si>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</si>
  <si>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</si>
  <si>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</si>
  <si>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</si>
  <si>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</si>
  <si>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</si>
  <si>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</si>
  <si>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</si>
  <si>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</si>
  <si>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</si>
  <si>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</si>
  <si>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</si>
  <si>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</si>
  <si>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</si>
  <si>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</si>
  <si>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</si>
  <si>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</si>
  <si>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</si>
  <si>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</si>
  <si>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</si>
  <si>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</si>
  <si>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</si>
  <si>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</si>
  <si>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</si>
  <si>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</si>
  <si>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</si>
  <si>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</si>
  <si>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</si>
  <si>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</si>
  <si>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</si>
  <si>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</si>
  <si>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</si>
  <si>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</si>
  <si>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</si>
  <si>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</si>
  <si>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</si>
  <si>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</si>
  <si>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</si>
  <si>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</si>
  <si>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</si>
  <si>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</si>
  <si>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</si>
  <si>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</si>
  <si>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</si>
  <si>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</si>
  <si>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</si>
  <si>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</si>
  <si>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</si>
  <si>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</si>
  <si>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</si>
  <si>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</si>
  <si>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</si>
  <si>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</si>
  <si>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</si>
  <si>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</si>
  <si>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</si>
  <si>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</si>
  <si>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</si>
  <si>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</si>
  <si>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</si>
  <si>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</si>
  <si>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</si>
  <si>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</si>
  <si>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</si>
  <si>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</si>
  <si>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</si>
  <si>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</si>
  <si>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</si>
  <si>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</si>
  <si>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</si>
  <si>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</si>
  <si>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</si>
  <si>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</si>
  <si>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</si>
  <si>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</si>
  <si>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</si>
  <si>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</si>
  <si>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</si>
  <si>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</si>
  <si>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</si>
  <si>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</si>
  <si>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</si>
  <si>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</si>
  <si>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</si>
  <si>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</si>
  <si>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</si>
  <si>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</si>
  <si>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</si>
  <si>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</si>
  <si>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</si>
  <si>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</si>
  <si>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</si>
  <si>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</si>
  <si>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</si>
  <si>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</si>
  <si>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</si>
  <si>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</si>
  <si>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</si>
  <si>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</si>
  <si>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</si>
  <si>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</si>
  <si>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</si>
  <si>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</si>
  <si>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</si>
  <si>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</si>
  <si>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</si>
  <si>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</si>
  <si>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</si>
  <si>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</si>
  <si>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</si>
  <si>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</si>
  <si>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</si>
  <si>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</si>
  <si>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</si>
  <si>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</si>
  <si>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</si>
  <si>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</si>
  <si>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</si>
  <si>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</si>
  <si>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</si>
  <si>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</si>
  <si>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</si>
  <si>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</si>
  <si>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</si>
  <si>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</si>
  <si>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</si>
  <si>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</si>
  <si>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</si>
  <si>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</si>
  <si>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</si>
  <si>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</si>
  <si>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</si>
  <si>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</si>
  <si>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</si>
  <si>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</si>
  <si>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</si>
  <si>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</si>
  <si>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</si>
  <si>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</si>
  <si>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</si>
  <si>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</si>
  <si>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</si>
  <si>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</si>
  <si>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</si>
  <si>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</si>
  <si>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</si>
  <si>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</si>
  <si>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</si>
  <si>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</si>
  <si>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</si>
  <si>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</si>
  <si>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</si>
  <si>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</si>
  <si>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</si>
  <si>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</si>
  <si>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</si>
  <si>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</si>
  <si>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</si>
  <si>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</si>
  <si>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</si>
  <si>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</si>
  <si>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</si>
  <si>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</si>
  <si>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</si>
  <si>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</si>
  <si>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</si>
  <si>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</si>
  <si>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</si>
  <si>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</si>
  <si>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</si>
  <si>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</si>
  <si>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</si>
  <si>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</si>
  <si>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</si>
  <si>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</si>
  <si>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</si>
  <si>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</si>
  <si>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</si>
  <si>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</si>
  <si>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</si>
  <si>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</si>
  <si>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</si>
  <si>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</si>
  <si>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</si>
  <si>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</si>
  <si>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</si>
  <si>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</si>
  <si>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</si>
  <si>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</si>
  <si>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</si>
  <si>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</si>
  <si>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</si>
  <si>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</si>
  <si>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</si>
  <si>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</si>
  <si>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</si>
  <si>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</si>
  <si>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</si>
  <si>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</si>
  <si>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</si>
  <si>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</si>
  <si>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</si>
  <si>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</si>
  <si>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</si>
  <si>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</si>
  <si>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</si>
  <si>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</si>
  <si>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</si>
  <si>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</si>
  <si>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</si>
  <si>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</si>
  <si>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</si>
  <si>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</si>
  <si>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</si>
  <si>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</si>
  <si>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</si>
  <si>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</si>
  <si>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</si>
  <si>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</si>
  <si>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</si>
  <si>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</si>
  <si>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</si>
  <si>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</si>
  <si>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</si>
  <si>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</si>
  <si>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</si>
  <si>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</si>
  <si>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</si>
  <si>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</si>
  <si>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</si>
  <si>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</si>
  <si>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</si>
  <si>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</si>
  <si>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</si>
  <si>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</si>
  <si>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</si>
  <si>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</si>
  <si>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</si>
  <si>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</si>
  <si>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</si>
  <si>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</si>
  <si>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</si>
  <si>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</si>
  <si>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</si>
  <si>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</si>
  <si>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</si>
  <si>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</si>
  <si>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</si>
  <si>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</si>
  <si>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</si>
  <si>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</si>
  <si>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</si>
  <si>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</si>
  <si>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</si>
  <si>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</si>
  <si>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</si>
  <si>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</si>
  <si>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</si>
  <si>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</si>
  <si>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</si>
  <si>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</si>
  <si>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</si>
  <si>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</si>
  <si>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</si>
  <si>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</si>
  <si>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</si>
  <si>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</si>
  <si>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</si>
  <si>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</si>
  <si>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</si>
  <si>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</si>
  <si>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</si>
  <si>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</si>
  <si>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</si>
  <si>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</si>
  <si>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</si>
  <si>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</si>
  <si>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</si>
  <si>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</si>
  <si>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</si>
  <si>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</si>
  <si>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</si>
  <si>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</si>
  <si>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</si>
  <si>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</si>
  <si>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</si>
  <si>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</si>
  <si>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</si>
  <si>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</si>
  <si>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</si>
  <si>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</si>
  <si>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</si>
  <si>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</si>
  <si>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</si>
  <si>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</si>
  <si>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</si>
  <si>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</si>
  <si>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</si>
  <si>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</si>
  <si>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</si>
  <si>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</si>
  <si>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</si>
  <si>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</si>
  <si>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</si>
  <si>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</si>
  <si>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</si>
  <si>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</si>
  <si>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</si>
  <si>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</si>
  <si>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</si>
  <si>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</si>
  <si>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</si>
  <si>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</si>
  <si>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</si>
  <si>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</si>
  <si>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</si>
  <si>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</si>
  <si>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</si>
  <si>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</si>
  <si>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</si>
  <si>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</si>
  <si>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</si>
  <si>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</si>
  <si>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</si>
  <si>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</si>
  <si>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</si>
  <si>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</si>
  <si>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</si>
  <si>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</si>
  <si>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</si>
  <si>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</si>
  <si>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</si>
  <si>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</si>
  <si>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</si>
  <si>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</si>
  <si>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</si>
  <si>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</si>
  <si>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</si>
  <si>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</si>
  <si>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</si>
  <si>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</si>
  <si>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</si>
  <si>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</si>
  <si>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</si>
  <si>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</si>
  <si>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</si>
  <si>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</si>
  <si>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</si>
  <si>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</si>
  <si>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</si>
  <si>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</si>
  <si>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</si>
  <si>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</si>
  <si>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</si>
  <si>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</si>
  <si>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</si>
  <si>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</si>
  <si>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</si>
  <si>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</si>
  <si>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</si>
  <si>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</si>
  <si>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</si>
  <si>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</si>
  <si>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</si>
  <si>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</si>
  <si>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</si>
  <si>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</si>
  <si>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</si>
  <si>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</si>
  <si>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</si>
  <si>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</si>
  <si>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</si>
  <si>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</si>
  <si>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</si>
  <si>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</si>
  <si>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</si>
  <si>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</si>
  <si>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</si>
  <si>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</si>
  <si>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</si>
  <si>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</si>
  <si>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</si>
  <si>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</si>
  <si>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</si>
  <si>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</si>
  <si>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</si>
  <si>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</si>
  <si>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</si>
  <si>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</si>
  <si>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</si>
  <si>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</si>
  <si>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</si>
  <si>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</si>
  <si>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</si>
  <si>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</si>
  <si>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</si>
  <si>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</si>
  <si>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</si>
  <si>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</si>
  <si>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</si>
  <si>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</si>
  <si>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</si>
  <si>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</si>
  <si>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</si>
  <si>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</si>
  <si>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</si>
  <si>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</si>
  <si>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</si>
  <si>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</si>
  <si>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</si>
  <si>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</si>
  <si>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</si>
  <si>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</si>
  <si>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</si>
  <si>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</si>
  <si>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</si>
  <si>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</si>
  <si>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</si>
  <si>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</si>
  <si>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</si>
  <si>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</si>
  <si>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</si>
  <si>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</si>
  <si>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</si>
  <si>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</si>
  <si>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</si>
  <si>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</si>
  <si>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</si>
  <si>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</si>
  <si>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</si>
  <si>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</si>
  <si>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</si>
  <si>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</si>
  <si>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</si>
  <si>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</si>
  <si>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</si>
  <si>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</si>
  <si>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</si>
  <si>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</si>
  <si>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</si>
  <si>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</si>
  <si>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</si>
  <si>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</si>
  <si>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</si>
  <si>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</si>
  <si>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</si>
  <si>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</si>
  <si>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</si>
  <si>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</si>
  <si>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</si>
  <si>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</si>
  <si>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</si>
  <si>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</si>
  <si>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</si>
  <si>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</si>
  <si>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</si>
  <si>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</si>
  <si>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</si>
  <si>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</si>
  <si>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</si>
  <si>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</si>
  <si>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</si>
  <si>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</si>
  <si>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</si>
  <si>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</si>
  <si>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</si>
  <si>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</si>
  <si>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</si>
  <si>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</si>
  <si>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</si>
  <si>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</si>
  <si>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</si>
  <si>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</si>
  <si>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</si>
  <si>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</si>
  <si>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</si>
  <si>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</si>
  <si>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</si>
  <si>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</si>
  <si>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</si>
  <si>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</si>
  <si>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</si>
  <si>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</si>
  <si>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</si>
  <si>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</si>
  <si>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</si>
  <si>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</si>
  <si>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</si>
  <si>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</si>
  <si>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</si>
  <si>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</si>
  <si>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</si>
  <si>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</si>
  <si>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</si>
  <si>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</si>
  <si>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</si>
  <si>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</si>
  <si>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</si>
  <si>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</si>
  <si>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</si>
  <si>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</si>
  <si>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</si>
  <si>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</si>
  <si>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</si>
  <si>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</si>
  <si>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</si>
  <si>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</si>
  <si>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</si>
  <si>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</si>
  <si>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</si>
  <si>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</si>
  <si>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</si>
  <si>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</si>
  <si>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</si>
  <si>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</si>
  <si>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</si>
  <si>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</si>
  <si>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</si>
  <si>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</si>
  <si>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</si>
  <si>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</si>
  <si>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</si>
  <si>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</si>
  <si>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</si>
  <si>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</si>
  <si>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</si>
  <si>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</si>
  <si>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</si>
  <si>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</si>
  <si>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</si>
  <si>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</si>
  <si>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</si>
  <si>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</si>
  <si>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</si>
  <si>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</si>
  <si>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</si>
  <si>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</si>
  <si>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</si>
  <si>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</si>
  <si>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</si>
  <si>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</si>
  <si>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</si>
  <si>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</si>
  <si>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</si>
  <si>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</si>
  <si>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</si>
  <si>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</si>
  <si>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</si>
  <si>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</si>
  <si>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</si>
  <si>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</si>
  <si>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</si>
  <si>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</si>
  <si>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</si>
  <si>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</si>
  <si>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</si>
  <si>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</si>
  <si>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</si>
  <si>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</si>
  <si>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</si>
  <si>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</si>
  <si>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</si>
  <si>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</si>
  <si>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</si>
  <si>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</si>
  <si>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</si>
  <si>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</si>
  <si>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</si>
  <si>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</si>
  <si>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</si>
  <si>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</si>
  <si>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</si>
  <si>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</si>
  <si>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</si>
  <si>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</si>
  <si>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</si>
  <si>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</si>
  <si>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</si>
  <si>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</si>
  <si>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</si>
  <si>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</si>
  <si>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</si>
  <si>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</si>
  <si>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</si>
  <si>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</si>
  <si>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</si>
  <si>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</si>
  <si>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</si>
  <si>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</si>
  <si>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</si>
  <si>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</si>
  <si>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</si>
  <si>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DEL-001</t>
  </si>
  <si>
    <t>ALL</t>
  </si>
  <si>
    <t>Shared</t>
  </si>
  <si>
    <t>DEL-002</t>
  </si>
  <si>
    <t>Weekly Inspection Report</t>
  </si>
  <si>
    <t>Aisha</t>
  </si>
  <si>
    <t>Weekly</t>
  </si>
  <si>
    <t>DEL-003</t>
  </si>
  <si>
    <t>PTR Update</t>
  </si>
  <si>
    <t>Biweekly PTR Update</t>
  </si>
  <si>
    <t>Confirm PTR ownership and access.</t>
  </si>
  <si>
    <t>Biweekly</t>
  </si>
  <si>
    <t>DEL-004</t>
  </si>
  <si>
    <t>Schedule Item</t>
  </si>
  <si>
    <t>Contractor Baseline Schedule</t>
  </si>
  <si>
    <t>ACT-001</t>
  </si>
  <si>
    <t>Confirm COR Reporting Expectations</t>
  </si>
  <si>
    <t>DQ-001</t>
  </si>
  <si>
    <t>Design Question</t>
  </si>
  <si>
    <t>Consolidate Building 61 A/E Questions</t>
  </si>
  <si>
    <t>Issue coordinated question package through COR.</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</si>
  <si>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</si>
  <si>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</si>
  <si>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</si>
  <si>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</si>
  <si>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</si>
  <si>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</si>
  <si>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</si>
  <si>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</si>
  <si>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</si>
  <si>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</si>
  <si>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</si>
  <si>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</si>
  <si>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</si>
  <si>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</si>
  <si>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</si>
  <si>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</si>
  <si>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</si>
  <si>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</si>
  <si>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</si>
  <si>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</si>
  <si>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</si>
  <si>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</si>
  <si>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</si>
  <si>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</si>
  <si>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</si>
  <si>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</si>
  <si>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</si>
  <si>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</si>
  <si>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</si>
  <si>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</si>
  <si>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</si>
  <si>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</si>
  <si>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</si>
  <si>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</si>
  <si>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</si>
  <si>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</si>
  <si>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</si>
  <si>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</si>
  <si>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</si>
  <si>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</si>
  <si>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</si>
  <si>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</si>
  <si>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</si>
  <si>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</si>
  <si>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</si>
  <si>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</si>
  <si>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</si>
  <si>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</si>
  <si>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</si>
  <si>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</si>
  <si>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</si>
  <si>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</si>
  <si>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</si>
  <si>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</si>
  <si>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</si>
  <si>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</si>
  <si>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</si>
  <si>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</si>
  <si>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</si>
  <si>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</si>
  <si>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</si>
  <si>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</si>
  <si>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</si>
  <si>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Submit every Friday.</t>
  </si>
  <si>
    <t>Compile assessment, inspection, risk, question, shutdown, and look-ahead data; Paul final review.</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</si>
  <si>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</si>
  <si>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</si>
  <si>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</si>
  <si>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</si>
  <si>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Confirm templates, routing, due dates, minutes, PTR, and storage.</t>
  </si>
  <si>
    <t>Document agreed reporting workflow before first recurring submission.</t>
  </si>
  <si>
    <t>A/E clarification required.</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</si>
  <si>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</si>
  <si>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</si>
  <si>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</si>
  <si>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</si>
  <si>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</si>
  <si>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</si>
  <si>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</si>
  <si>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</si>
  <si>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</si>
  <si>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</si>
  <si>
    <t>8. CM/PM DELIVERABLES, ACTIONS, AND CONTRACT ADMINISTRATION — MAPPED FROM PROJECT_REGISTER</t>
  </si>
  <si>
    <t>Floor / Room</t>
  </si>
  <si>
    <t>Detailed Description</t>
  </si>
  <si>
    <t>Source / Origin</t>
  </si>
  <si>
    <t>Originator</t>
  </si>
  <si>
    <t>Support</t>
  </si>
  <si>
    <t>Days Open</t>
  </si>
  <si>
    <t>Days to Due</t>
  </si>
  <si>
    <t>Schedule Impact</t>
  </si>
  <si>
    <t>Cost Impact</t>
  </si>
  <si>
    <t>Operational Impact</t>
  </si>
  <si>
    <t>Report Section</t>
  </si>
  <si>
    <t>Executive Summary Item</t>
  </si>
  <si>
    <t>Look-Ahead Item</t>
  </si>
  <si>
    <t>Linked Assessment</t>
  </si>
  <si>
    <t>Linked Shutdown</t>
  </si>
  <si>
    <t>Linked Document</t>
  </si>
  <si>
    <t>Drawing Reference</t>
  </si>
  <si>
    <t>Meeting / Reference</t>
  </si>
  <si>
    <t>Last Updated</t>
  </si>
  <si>
    <t>Report Sequence</t>
  </si>
  <si>
    <t>Decision Sequence</t>
  </si>
  <si>
    <t>Look-Ahead Sequence</t>
  </si>
  <si>
    <t>Contract Requirement</t>
  </si>
  <si>
    <t>None</t>
  </si>
  <si>
    <t>CM/PM Deliverables and Actions</t>
  </si>
  <si>
    <t>Potential</t>
  </si>
  <si>
    <t>Schedule</t>
  </si>
  <si>
    <t>Current Project Status</t>
  </si>
  <si>
    <t>Contractor</t>
  </si>
  <si>
    <t>Confirmed</t>
  </si>
  <si>
    <t>Schedule and Operational Impacts</t>
  </si>
  <si>
    <t>Contract Admin</t>
  </si>
  <si>
    <t>Startup Coordination</t>
  </si>
  <si>
    <t>Design</t>
  </si>
  <si>
    <t>Multi-Discipline</t>
  </si>
  <si>
    <t>Field Assessment</t>
  </si>
  <si>
    <t>Design and Technical Coordination</t>
  </si>
  <si>
    <t>Operations</t>
  </si>
  <si>
    <t>Building Assessments</t>
  </si>
  <si>
    <t>Cost</t>
  </si>
  <si>
    <t>Cost Control</t>
  </si>
  <si>
    <t>Cost and Contract Administration</t>
  </si>
  <si>
    <t>OIT, Commissioning and Acceptance</t>
  </si>
  <si>
    <t>Yes / No</t>
  </si>
  <si>
    <t>Daily</t>
  </si>
  <si>
    <t>Executive Summary</t>
  </si>
  <si>
    <t>Assessment and Field Activity</t>
  </si>
  <si>
    <t>Quality</t>
  </si>
  <si>
    <t>Risks / Deficiencies / Questions</t>
  </si>
  <si>
    <t>Meeting</t>
  </si>
  <si>
    <t>COR</t>
  </si>
  <si>
    <t>RFI</t>
  </si>
  <si>
    <t>CO / CS</t>
  </si>
  <si>
    <t>Quarterly</t>
  </si>
  <si>
    <t>A/E</t>
  </si>
  <si>
    <t>As Required</t>
  </si>
  <si>
    <t>Quality and Construction Readiness</t>
  </si>
  <si>
    <t>GC</t>
  </si>
  <si>
    <t>Continuous</t>
  </si>
  <si>
    <t>Shutdown Coordination</t>
  </si>
  <si>
    <t>One-Time</t>
  </si>
  <si>
    <t>OIT</t>
  </si>
  <si>
    <t>VA OIT</t>
  </si>
  <si>
    <t>Hospital Stakeholder</t>
  </si>
  <si>
    <t>COR Decisions and Look-Ahead</t>
  </si>
  <si>
    <t>Stakeholder Coordination</t>
  </si>
  <si>
    <t>Other</t>
  </si>
  <si>
    <t>Deferred</t>
  </si>
  <si>
    <t>Issue</t>
  </si>
  <si>
    <t>Change</t>
  </si>
  <si>
    <t>Project Review</t>
  </si>
  <si>
    <t>Claim Support</t>
  </si>
  <si>
    <t>Observation</t>
  </si>
  <si>
    <t>Recurring weekly report covering assessment, inspection, risk, question, shutdown, and look-ahead data.</t>
  </si>
  <si>
    <t>Consolidate questions identified from field walks, plans, specifications, and existing conditions.</t>
  </si>
  <si>
    <t>Identify occupied rooms and coordinate relocation or operational sequencing requirements.</t>
  </si>
  <si>
    <t>Review payment applications against field progress, schedule, approved changes, stored materials, and deficiencies.</t>
  </si>
  <si>
    <t>PROJECT REGISTER — SINGLE MANAGEMENT INPUT</t>
  </si>
  <si>
    <t>Enter each CM/PM management item once. Dropdowns and reporting flags control how records appear in CM_PM Operations and COR_Report. All formulas are local to this workbook.</t>
  </si>
  <si>
    <t>Project Register Status</t>
  </si>
  <si>
    <t>Building / Room</t>
  </si>
  <si>
    <t>Floor / Existing Use</t>
  </si>
  <si>
    <t>New Use / Rack Count</t>
  </si>
  <si>
    <t>61 / B13H-A</t>
  </si>
  <si>
    <t>Basement / Basement telecom / support area</t>
  </si>
  <si>
    <t>Telecom Room / 1</t>
  </si>
  <si>
    <t>61 / 124</t>
  </si>
  <si>
    <t>First / First-level telecom area</t>
  </si>
  <si>
    <t>61 / 226</t>
  </si>
  <si>
    <t>Second / Second-level telecom area</t>
  </si>
  <si>
    <t>61 / 137 / 137A</t>
  </si>
  <si>
    <t>First / Existing server/demarc/telecom equipment rooms</t>
  </si>
  <si>
    <t>Existing demarc / server transition point / 11</t>
  </si>
  <si>
    <t>0 / 0</t>
  </si>
  <si>
    <t>2. ROOM READINESS / 0</t>
  </si>
  <si>
    <t>Room / Walls / 1-hr Rating</t>
  </si>
  <si>
    <t>Ceiling / Floor / SDC</t>
  </si>
  <si>
    <t>Penetrations / Access Control</t>
  </si>
  <si>
    <t>B13H-A / Verify</t>
  </si>
  <si>
    <t>Verify / Verify</t>
  </si>
  <si>
    <t>124 / Verify</t>
  </si>
  <si>
    <t>226 / Verify</t>
  </si>
  <si>
    <t>137 / 137A / Existing / Verify</t>
  </si>
  <si>
    <t>Existing / Verify / Existing / Verify</t>
  </si>
  <si>
    <t>3. FIRE PROTECTION / 0</t>
  </si>
  <si>
    <t>Room / Sprinkler</t>
  </si>
  <si>
    <t>Cage / Detector</t>
  </si>
  <si>
    <t>Horn/Strobe / Extinguisher &lt;75 ft</t>
  </si>
  <si>
    <t>137 / 137A / Verify</t>
  </si>
  <si>
    <t>4. HVAC / COOLING / 0</t>
  </si>
  <si>
    <t>Room / Dedicated Unit</t>
  </si>
  <si>
    <t>Capacity Verified / Emergency Power</t>
  </si>
  <si>
    <t>Controls / BACnet / Condensate Routed</t>
  </si>
  <si>
    <t>B13H-A / IU-0-01 / CU-0-01</t>
  </si>
  <si>
    <t>124 / IU-1-01 / CU-1-01</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</si>
  <si>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</si>
  <si>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</si>
  <si>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</si>
  <si>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</si>
  <si>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</si>
  <si>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</si>
  <si>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1. ROOM INVENTORY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</si>
</sst>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73">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
      <b/>
      <sz val="9"/>
      <color rgb="FFFFFFFF"/>
      <name val="Arial"/>
    </font>
    <font>
      <b/>
      <sz val="16"/>
      <color rgb="FFFFFFFF"/>
      <name val="Arial"/>
    </font>
    <font>
      <i/>
      <sz val="9"/>
      <color rgb="FF404040"/>
      <name val="Arial"/>
    </font>
    <font>
      <b/>
      <sz val="16"/>
      <color rgb="FFFFFFFF"/>
      <name val="Calibri"/>
    </font>
    <font>
      <sz val="11"/>
      <name val="Calibri"/>
    </font>
    <font>
      <b/>
      <sz val="11"/>
      <color rgb="FF0B1F3A"/>
      <name val="Calibri"/>
    </font>
    <font>
      <b/>
      <sz val="11"/>
      <color rgb="FFFFFFFF"/>
      <name val="Calibri"/>
    </font>
    <font>
      <sz val="11"/>
      <color rgb="FF0B1F3A"/>
      <name val="Calibri"/>
    </font>
    <font>
      <b/>
      <sz val="11"/>
      <name val="Calibri"/>
    </font>
    <font>
      <b/>
      <sz val="10"/>
      <color rgb="FFFFFFFF"/>
      <name val="Arial"/>
    </font>
    <font>
      <b/>
      <sz val="11"/>
      <color rgb="FFFFFFFF"/>
      <name val="Cambria"/>
    </font>
    <font>
      <b/>
      <sz val="10"/>
      <color rgb="FF7F6000"/>
      <name val="Arial"/>
    </font>
  </fonts>
  <fills count="108">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s>
  <borders count="167">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6">
    <xf numFmtId="0" fontId="0" fillId="0" borderId="11"/>
    <xf numFmtId="0" fontId="55" fillId="0" borderId="11"/>
    <xf numFmtId="0" fontId="1" fillId="0" borderId="11"/>
    <xf numFmtId="0" fontId="2" fillId="0" borderId="11"/>
    <xf numFmtId="9" fontId="75" fillId="0" borderId="11"/>
    <xf numFmtId="0" fontId="145" fillId="0" borderId="11"/>
  </cellStyleXfs>
  <cellXfs count="944">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0" fillId="0" borderId="0" xfId="0" applyBorder="1" applyAlignment="1">
      <alignment vertical="top" wrapText="1"/>
    </xf>
    <xf numFmtId="0" fontId="68" fillId="41" borderId="52" xfId="0" applyFont="1" applyFill="1" applyBorder="1" applyAlignment="1">
      <alignment vertical="center" wrapText="1"/>
    </xf>
    <xf numFmtId="0" fontId="69" fillId="42" borderId="52" xfId="0" applyFont="1" applyFill="1" applyBorder="1" applyAlignment="1">
      <alignment horizontal="center" vertical="center" wrapText="1"/>
    </xf>
    <xf numFmtId="0" fontId="0" fillId="0" borderId="52" xfId="0" applyBorder="1" applyAlignment="1">
      <alignment vertical="top" wrapText="1"/>
    </xf>
    <xf numFmtId="0" fontId="69" fillId="42" borderId="52" xfId="0" applyFont="1" applyFill="1" applyBorder="1" applyAlignment="1">
      <alignment vertical="top" wrapText="1"/>
    </xf>
    <xf numFmtId="0" fontId="70" fillId="0" borderId="52" xfId="0" applyFont="1" applyBorder="1" applyAlignment="1">
      <alignment horizontal="center"/>
    </xf>
    <xf numFmtId="0" fontId="70" fillId="2" borderId="52" xfId="0" applyFont="1" applyFill="1" applyBorder="1" applyAlignment="1">
      <alignment horizontal="center"/>
    </xf>
    <xf numFmtId="0" fontId="51" fillId="45" borderId="0" xfId="0" applyFont="1" applyFill="1" applyBorder="1" applyAlignment="1">
      <alignment horizontal="center" wrapText="1"/>
    </xf>
    <xf numFmtId="0" fontId="73" fillId="44" borderId="0" xfId="0" applyFont="1" applyFill="1" applyBorder="1"/>
    <xf numFmtId="9" fontId="73" fillId="44" borderId="0" xfId="0" applyNumberFormat="1" applyFont="1" applyFill="1" applyBorder="1"/>
    <xf numFmtId="0" fontId="51" fillId="43"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69" fillId="45" borderId="0" xfId="0" applyFont="1" applyFill="1" applyBorder="1"/>
    <xf numFmtId="0" fontId="70" fillId="0" borderId="52" xfId="0" applyFont="1" applyBorder="1" applyAlignment="1">
      <alignment horizontal="center" wrapText="1"/>
    </xf>
    <xf numFmtId="0" fontId="0" fillId="0" borderId="11" xfId="0"/>
    <xf numFmtId="0" fontId="75" fillId="0" borderId="52" xfId="0" applyFont="1" applyBorder="1" applyAlignment="1">
      <alignment vertical="top" wrapText="1"/>
    </xf>
    <xf numFmtId="0" fontId="3" fillId="2" borderId="11" xfId="0" applyFont="1" applyFill="1" applyAlignment="1">
      <alignment horizontal="left" vertical="center" wrapText="1"/>
    </xf>
    <xf numFmtId="0" fontId="85" fillId="57" borderId="11" xfId="0" applyFont="1" applyFill="1" applyAlignment="1">
      <alignment horizontal="left" vertical="center" wrapText="1"/>
    </xf>
    <xf numFmtId="0" fontId="56" fillId="2" borderId="11" xfId="0" applyFont="1" applyFill="1" applyAlignment="1">
      <alignment horizontal="left" vertical="center" wrapText="1"/>
    </xf>
    <xf numFmtId="0" fontId="51" fillId="40" borderId="11" xfId="0" applyFont="1" applyFill="1" applyAlignment="1">
      <alignment horizontal="center"/>
    </xf>
    <xf numFmtId="0" fontId="58" fillId="0" borderId="11" xfId="0" applyFont="1"/>
    <xf numFmtId="1" fontId="87" fillId="58" borderId="12" xfId="0" applyNumberFormat="1" applyFont="1" applyFill="1" applyBorder="1" applyAlignment="1">
      <alignment horizontal="center" vertical="center" wrapText="1"/>
    </xf>
    <xf numFmtId="0" fontId="53" fillId="43" borderId="11" xfId="0" applyFont="1" applyFill="1" applyAlignment="1">
      <alignment horizontal="center" vertical="center" wrapText="1"/>
    </xf>
    <xf numFmtId="0" fontId="74"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6" fillId="57" borderId="12" xfId="0" applyFont="1" applyFill="1" applyBorder="1" applyAlignment="1">
      <alignment horizontal="left" vertical="center" wrapText="1"/>
    </xf>
    <xf numFmtId="0" fontId="86" fillId="57" borderId="26" xfId="0" applyFont="1" applyFill="1" applyBorder="1" applyAlignment="1">
      <alignment horizontal="left" vertical="center" wrapText="1"/>
    </xf>
    <xf numFmtId="0" fontId="88" fillId="60" borderId="12" xfId="0" applyFont="1" applyFill="1" applyBorder="1" applyAlignment="1">
      <alignment horizontal="center" vertical="center" wrapText="1"/>
    </xf>
    <xf numFmtId="0" fontId="3" fillId="43" borderId="12" xfId="0" applyFont="1" applyFill="1" applyBorder="1" applyAlignment="1">
      <alignment horizontal="left" vertical="center" wrapText="1"/>
    </xf>
    <xf numFmtId="9" fontId="61" fillId="60" borderId="12" xfId="0" applyNumberFormat="1" applyFont="1" applyFill="1" applyBorder="1" applyAlignment="1">
      <alignment horizontal="left" vertical="center" wrapText="1"/>
    </xf>
    <xf numFmtId="0" fontId="88" fillId="60" borderId="69" xfId="0" applyFont="1" applyFill="1" applyBorder="1" applyAlignment="1">
      <alignment horizontal="left" vertical="center" wrapText="1"/>
    </xf>
    <xf numFmtId="49" fontId="88" fillId="57" borderId="12" xfId="0" applyNumberFormat="1" applyFont="1" applyFill="1" applyBorder="1" applyAlignment="1">
      <alignment horizontal="left" vertical="center" wrapText="1"/>
    </xf>
    <xf numFmtId="0" fontId="88" fillId="57" borderId="26" xfId="0" applyFont="1" applyFill="1" applyBorder="1" applyAlignment="1">
      <alignment horizontal="left" vertical="center" wrapText="1"/>
    </xf>
    <xf numFmtId="0" fontId="88" fillId="57" borderId="70" xfId="0" applyFont="1" applyFill="1" applyBorder="1" applyAlignment="1">
      <alignment horizontal="left" vertical="center" wrapText="1"/>
    </xf>
    <xf numFmtId="0" fontId="88" fillId="57" borderId="71" xfId="0" applyFont="1" applyFill="1" applyBorder="1" applyAlignment="1">
      <alignment horizontal="left" vertical="center" wrapText="1"/>
    </xf>
    <xf numFmtId="0" fontId="88" fillId="60" borderId="71" xfId="0" applyFont="1" applyFill="1" applyBorder="1" applyAlignment="1">
      <alignment horizontal="left" vertical="center" wrapText="1"/>
    </xf>
    <xf numFmtId="0" fontId="88" fillId="60" borderId="72" xfId="0" applyFont="1" applyFill="1" applyBorder="1" applyAlignment="1">
      <alignment horizontal="left" vertical="center" wrapText="1"/>
    </xf>
    <xf numFmtId="1" fontId="7" fillId="43"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1" fillId="63"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6" borderId="11" xfId="0" applyFont="1" applyFill="1"/>
    <xf numFmtId="9" fontId="16" fillId="46" borderId="11" xfId="0" applyNumberFormat="1" applyFont="1" applyFill="1"/>
    <xf numFmtId="0" fontId="14" fillId="46"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4" borderId="11" xfId="0" applyFont="1" applyFill="1" applyAlignment="1">
      <alignment horizontal="center"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46" fillId="68"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4" fillId="43" borderId="12" xfId="0" applyNumberFormat="1" applyFont="1" applyFill="1" applyBorder="1" applyAlignment="1">
      <alignment horizontal="left" vertical="center" wrapText="1"/>
    </xf>
    <xf numFmtId="0" fontId="0" fillId="9" borderId="11" xfId="0" applyFill="1"/>
    <xf numFmtId="0" fontId="0" fillId="73" borderId="11" xfId="0" applyFill="1"/>
    <xf numFmtId="0" fontId="111" fillId="76" borderId="11" xfId="0" applyFont="1" applyFill="1" applyAlignment="1">
      <alignment horizontal="center"/>
    </xf>
    <xf numFmtId="0" fontId="116" fillId="9" borderId="11" xfId="0" applyFont="1" applyFill="1" applyAlignment="1">
      <alignment horizontal="center" vertical="center"/>
    </xf>
    <xf numFmtId="0" fontId="0" fillId="78" borderId="11" xfId="0" applyFill="1"/>
    <xf numFmtId="0" fontId="0" fillId="79" borderId="11" xfId="0" applyFill="1"/>
    <xf numFmtId="0" fontId="0" fillId="80" borderId="11" xfId="0" applyFill="1"/>
    <xf numFmtId="0" fontId="0" fillId="81" borderId="11" xfId="0" applyFill="1"/>
    <xf numFmtId="0" fontId="109" fillId="74" borderId="11" xfId="0" applyFont="1" applyFill="1" applyAlignment="1">
      <alignment horizontal="center" vertical="center"/>
    </xf>
    <xf numFmtId="0" fontId="0" fillId="0" borderId="11" xfId="0" applyAlignment="1">
      <alignment wrapText="1"/>
    </xf>
    <xf numFmtId="0" fontId="26" fillId="70" borderId="90" xfId="0" applyFont="1" applyFill="1" applyBorder="1" applyAlignment="1">
      <alignment horizontal="center" vertical="top" wrapText="1"/>
    </xf>
    <xf numFmtId="0" fontId="26" fillId="70" borderId="91" xfId="0" applyFont="1" applyFill="1" applyBorder="1" applyAlignment="1">
      <alignment horizontal="center" vertical="top" wrapText="1"/>
    </xf>
    <xf numFmtId="0" fontId="26" fillId="70" borderId="92" xfId="0" applyFont="1" applyFill="1" applyBorder="1" applyAlignment="1">
      <alignment horizontal="center" vertical="top" wrapText="1"/>
    </xf>
    <xf numFmtId="9" fontId="16" fillId="46" borderId="11" xfId="0" applyNumberFormat="1" applyFont="1" applyFill="1" applyAlignment="1">
      <alignment horizontal="left"/>
    </xf>
    <xf numFmtId="0" fontId="126" fillId="85" borderId="11" xfId="0" applyFont="1" applyFill="1" applyAlignment="1">
      <alignment horizontal="center" wrapText="1"/>
    </xf>
    <xf numFmtId="0" fontId="127" fillId="29" borderId="11" xfId="0" applyFont="1" applyFill="1" applyAlignment="1">
      <alignment vertical="top" wrapText="1"/>
    </xf>
    <xf numFmtId="0" fontId="126" fillId="84" borderId="11" xfId="0" applyFont="1" applyFill="1" applyAlignment="1">
      <alignment wrapText="1"/>
    </xf>
    <xf numFmtId="0" fontId="128" fillId="39" borderId="11" xfId="0" applyFont="1" applyFill="1" applyAlignment="1">
      <alignment vertical="top" wrapText="1"/>
    </xf>
    <xf numFmtId="0" fontId="126" fillId="85" borderId="11" xfId="0" applyFont="1" applyFill="1" applyAlignment="1">
      <alignment wrapText="1"/>
    </xf>
    <xf numFmtId="0" fontId="128" fillId="26" borderId="11" xfId="0" applyFont="1" applyFill="1" applyAlignment="1">
      <alignment horizontal="center" wrapText="1"/>
    </xf>
    <xf numFmtId="0" fontId="45" fillId="8" borderId="11" xfId="0" applyFont="1" applyFill="1" applyAlignment="1">
      <alignment horizontal="center" vertical="center" wrapText="1"/>
    </xf>
    <xf numFmtId="0" fontId="0" fillId="69" borderId="11" xfId="0" applyFill="1"/>
    <xf numFmtId="0" fontId="75" fillId="69" borderId="11" xfId="0" applyFont="1" applyFill="1"/>
    <xf numFmtId="0" fontId="121" fillId="69"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6" fillId="43"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8" fillId="57" borderId="11" xfId="0" applyFont="1" applyFill="1" applyAlignment="1">
      <alignment horizontal="left" vertical="center" wrapText="1"/>
    </xf>
    <xf numFmtId="49" fontId="90" fillId="43" borderId="11" xfId="0" applyNumberFormat="1" applyFont="1" applyFill="1" applyAlignment="1">
      <alignment horizontal="left" vertical="center" wrapText="1"/>
    </xf>
    <xf numFmtId="0" fontId="90" fillId="43" borderId="11" xfId="0" applyFont="1" applyFill="1" applyAlignment="1">
      <alignment horizontal="left" vertical="center" wrapText="1"/>
    </xf>
    <xf numFmtId="0" fontId="88" fillId="60" borderId="11" xfId="0" applyFont="1" applyFill="1" applyAlignment="1">
      <alignment horizontal="left" vertical="center" wrapText="1"/>
    </xf>
    <xf numFmtId="0" fontId="51" fillId="45" borderId="11" xfId="0" applyFont="1" applyFill="1"/>
    <xf numFmtId="0" fontId="68" fillId="44" borderId="11" xfId="0" applyFont="1" applyFill="1" applyAlignment="1">
      <alignment vertical="center" wrapText="1"/>
    </xf>
    <xf numFmtId="0" fontId="133" fillId="39" borderId="11" xfId="0" applyFont="1" applyFill="1" applyAlignment="1">
      <alignment horizontal="center" vertical="center" wrapText="1"/>
    </xf>
    <xf numFmtId="0" fontId="73" fillId="44" borderId="11" xfId="0" applyFont="1" applyFill="1" applyAlignment="1">
      <alignment horizontal="center" vertical="center" wrapText="1"/>
    </xf>
    <xf numFmtId="0" fontId="73" fillId="87" borderId="11" xfId="0" applyFont="1" applyFill="1"/>
    <xf numFmtId="0" fontId="51" fillId="86" borderId="11" xfId="0" applyFont="1" applyFill="1"/>
    <xf numFmtId="0" fontId="68" fillId="88" borderId="11" xfId="0" applyFont="1" applyFill="1" applyAlignment="1">
      <alignment wrapText="1"/>
    </xf>
    <xf numFmtId="0" fontId="134" fillId="0" borderId="101" xfId="0" applyFont="1" applyBorder="1" applyAlignment="1">
      <alignment horizontal="center" vertical="center" wrapText="1"/>
    </xf>
    <xf numFmtId="0" fontId="0" fillId="0" borderId="101" xfId="0" applyBorder="1"/>
    <xf numFmtId="0" fontId="0" fillId="0" borderId="102" xfId="0" applyBorder="1"/>
    <xf numFmtId="0" fontId="108" fillId="9" borderId="11" xfId="0" applyFont="1" applyFill="1" applyAlignment="1">
      <alignment horizontal="left"/>
    </xf>
    <xf numFmtId="0" fontId="135" fillId="56" borderId="25" xfId="0" applyFont="1" applyFill="1" applyBorder="1" applyAlignment="1">
      <alignment vertical="center" wrapText="1"/>
    </xf>
    <xf numFmtId="0" fontId="136" fillId="2" borderId="11" xfId="0" applyFont="1" applyFill="1" applyAlignment="1">
      <alignment horizontal="left" vertical="center" wrapText="1"/>
    </xf>
    <xf numFmtId="164" fontId="136" fillId="2" borderId="11" xfId="0" applyNumberFormat="1" applyFont="1" applyFill="1" applyAlignment="1">
      <alignment horizontal="left" vertical="center" wrapText="1"/>
    </xf>
    <xf numFmtId="0" fontId="137" fillId="0" borderId="11" xfId="0" applyFont="1"/>
    <xf numFmtId="0" fontId="134" fillId="0" borderId="11" xfId="0" applyFont="1" applyAlignment="1">
      <alignment vertical="center" wrapText="1"/>
    </xf>
    <xf numFmtId="0" fontId="134" fillId="0" borderId="106" xfId="0" applyFont="1" applyBorder="1" applyAlignment="1">
      <alignment vertical="center" wrapText="1"/>
    </xf>
    <xf numFmtId="0" fontId="68" fillId="44" borderId="103" xfId="0" applyFont="1" applyFill="1" applyBorder="1" applyAlignment="1">
      <alignment vertical="center" wrapText="1"/>
    </xf>
    <xf numFmtId="0" fontId="68" fillId="44" borderId="104" xfId="0" applyFont="1" applyFill="1" applyBorder="1" applyAlignment="1">
      <alignment vertical="center" wrapText="1"/>
    </xf>
    <xf numFmtId="0" fontId="68" fillId="44" borderId="105" xfId="0" applyFont="1" applyFill="1" applyBorder="1" applyAlignment="1">
      <alignment vertical="center" wrapText="1"/>
    </xf>
    <xf numFmtId="0" fontId="133" fillId="39" borderId="106" xfId="0" applyFont="1" applyFill="1" applyBorder="1" applyAlignment="1">
      <alignment horizontal="center" vertical="center" wrapText="1"/>
    </xf>
    <xf numFmtId="0" fontId="68" fillId="44" borderId="106" xfId="0" applyFont="1" applyFill="1" applyBorder="1" applyAlignment="1">
      <alignment vertical="center" wrapText="1"/>
    </xf>
    <xf numFmtId="0" fontId="73" fillId="44" borderId="106" xfId="0" applyFont="1" applyFill="1" applyBorder="1" applyAlignment="1">
      <alignment horizontal="center" vertical="center" wrapText="1"/>
    </xf>
    <xf numFmtId="0" fontId="68" fillId="44" borderId="4" xfId="0" applyFont="1" applyFill="1" applyBorder="1" applyAlignment="1">
      <alignment vertical="center" wrapText="1"/>
    </xf>
    <xf numFmtId="0" fontId="127" fillId="29" borderId="103" xfId="0" applyFont="1" applyFill="1" applyBorder="1" applyAlignment="1">
      <alignment vertical="top" wrapText="1"/>
    </xf>
    <xf numFmtId="0" fontId="127" fillId="29" borderId="104" xfId="0" applyFont="1" applyFill="1" applyBorder="1" applyAlignment="1">
      <alignment vertical="top" wrapText="1"/>
    </xf>
    <xf numFmtId="0" fontId="139" fillId="85" borderId="107" xfId="0" applyFont="1" applyFill="1" applyBorder="1" applyAlignment="1">
      <alignment horizontal="left" vertical="center" wrapText="1"/>
    </xf>
    <xf numFmtId="0" fontId="139" fillId="85" borderId="108" xfId="0" applyFont="1" applyFill="1" applyBorder="1" applyAlignment="1">
      <alignment horizontal="left" vertical="center" wrapText="1"/>
    </xf>
    <xf numFmtId="0" fontId="139" fillId="85" borderId="109" xfId="0" applyFont="1" applyFill="1" applyBorder="1" applyAlignment="1">
      <alignment horizontal="left" vertical="center" wrapText="1"/>
    </xf>
    <xf numFmtId="0" fontId="138" fillId="39" borderId="100" xfId="0" applyFont="1" applyFill="1" applyBorder="1" applyAlignment="1">
      <alignment horizontal="right" vertical="top" wrapText="1"/>
    </xf>
    <xf numFmtId="0" fontId="138" fillId="39" borderId="101" xfId="0" applyFont="1" applyFill="1" applyBorder="1" applyAlignment="1">
      <alignment horizontal="left" vertical="top" wrapText="1"/>
    </xf>
    <xf numFmtId="0" fontId="138" fillId="39" borderId="101" xfId="0" applyFont="1" applyFill="1" applyBorder="1" applyAlignment="1">
      <alignment horizontal="right" vertical="top" wrapText="1"/>
    </xf>
    <xf numFmtId="0" fontId="138" fillId="39" borderId="101" xfId="0" applyFont="1" applyFill="1" applyBorder="1" applyAlignment="1">
      <alignment vertical="top" wrapText="1"/>
    </xf>
    <xf numFmtId="0" fontId="128" fillId="39" borderId="101" xfId="0" applyFont="1" applyFill="1" applyBorder="1" applyAlignment="1">
      <alignment vertical="top" wrapText="1"/>
    </xf>
    <xf numFmtId="0" fontId="128" fillId="39" borderId="102" xfId="0" applyFont="1" applyFill="1" applyBorder="1" applyAlignment="1">
      <alignment vertical="top" wrapText="1"/>
    </xf>
    <xf numFmtId="0" fontId="128" fillId="39" borderId="104" xfId="0" applyFont="1" applyFill="1" applyBorder="1" applyAlignment="1">
      <alignment vertical="top" wrapText="1"/>
    </xf>
    <xf numFmtId="0" fontId="128" fillId="39" borderId="105" xfId="0" applyFont="1" applyFill="1" applyBorder="1" applyAlignment="1">
      <alignment vertical="top" wrapText="1"/>
    </xf>
    <xf numFmtId="0" fontId="108" fillId="9" borderId="11" xfId="0" applyFont="1" applyFill="1"/>
    <xf numFmtId="0" fontId="75" fillId="0" borderId="11" xfId="0" applyFont="1"/>
    <xf numFmtId="0" fontId="140" fillId="89" borderId="11" xfId="0" applyFont="1" applyFill="1" applyAlignment="1">
      <alignment horizontal="center" wrapText="1"/>
    </xf>
    <xf numFmtId="0" fontId="143" fillId="23" borderId="111" xfId="0" applyFont="1" applyFill="1" applyBorder="1" applyAlignment="1">
      <alignment wrapText="1"/>
    </xf>
    <xf numFmtId="0" fontId="0" fillId="11" borderId="111" xfId="0" applyFill="1" applyBorder="1" applyAlignment="1">
      <alignment wrapText="1"/>
    </xf>
    <xf numFmtId="0" fontId="143" fillId="11" borderId="111" xfId="0" applyFont="1" applyFill="1" applyBorder="1" applyAlignment="1">
      <alignment wrapText="1"/>
    </xf>
    <xf numFmtId="0" fontId="12" fillId="9" borderId="11" xfId="0" applyFont="1" applyFill="1" applyAlignment="1">
      <alignment vertical="top" wrapText="1"/>
    </xf>
    <xf numFmtId="0" fontId="0" fillId="89"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5" borderId="11" xfId="0" applyFont="1" applyFill="1" applyAlignment="1">
      <alignment horizontal="center" vertical="center"/>
    </xf>
    <xf numFmtId="0" fontId="134"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1" borderId="103" xfId="0" applyFill="1" applyBorder="1" applyAlignment="1">
      <alignment vertical="top" wrapText="1"/>
    </xf>
    <xf numFmtId="0" fontId="0" fillId="91" borderId="11" xfId="0" applyFill="1" applyAlignment="1">
      <alignment horizontal="center" vertical="center" wrapText="1"/>
    </xf>
    <xf numFmtId="9" fontId="0" fillId="91"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1" borderId="11" xfId="0" applyFill="1" applyAlignment="1">
      <alignment vertical="top" wrapText="1"/>
    </xf>
    <xf numFmtId="0" fontId="2" fillId="0" borderId="104" xfId="0" applyFont="1" applyBorder="1"/>
    <xf numFmtId="9" fontId="144" fillId="92" borderId="11" xfId="0" applyNumberFormat="1" applyFont="1" applyFill="1" applyAlignment="1">
      <alignment horizontal="center" vertical="center"/>
    </xf>
    <xf numFmtId="0" fontId="0" fillId="89" borderId="103" xfId="0" applyFill="1" applyBorder="1"/>
    <xf numFmtId="0" fontId="0" fillId="0" borderId="11" xfId="0" applyAlignment="1">
      <alignment horizontal="center" vertical="center" wrapText="1"/>
    </xf>
    <xf numFmtId="0" fontId="75" fillId="91"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1" fillId="0" borderId="11" xfId="0" applyFont="1"/>
    <xf numFmtId="0" fontId="0" fillId="0" borderId="112" xfId="0" applyBorder="1"/>
    <xf numFmtId="0" fontId="126" fillId="35" borderId="11" xfId="0" applyFont="1" applyFill="1" applyAlignment="1">
      <alignment horizontal="center" vertical="center" wrapText="1"/>
    </xf>
    <xf numFmtId="1" fontId="87" fillId="58" borderId="35" xfId="0" applyNumberFormat="1" applyFont="1" applyFill="1" applyBorder="1" applyAlignment="1">
      <alignment horizontal="center"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12" fillId="0" borderId="11" xfId="0" applyFont="1" applyAlignment="1">
      <alignment vertical="top" wrapText="1"/>
    </xf>
    <xf numFmtId="0" fontId="142" fillId="93"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2" fillId="93"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2" fillId="94" borderId="11" xfId="0" applyFont="1" applyFill="1" applyAlignment="1">
      <alignment horizontal="center" vertical="center" wrapText="1"/>
    </xf>
    <xf numFmtId="0" fontId="0" fillId="0" borderId="11" xfId="0" applyAlignment="1">
      <alignment horizontal="center"/>
    </xf>
    <xf numFmtId="0" fontId="146" fillId="95" borderId="11" xfId="0" applyFont="1" applyFill="1" applyAlignment="1">
      <alignment horizontal="center" wrapText="1"/>
    </xf>
    <xf numFmtId="1" fontId="87" fillId="89" borderId="66" xfId="0" applyNumberFormat="1" applyFont="1" applyFill="1" applyBorder="1" applyAlignment="1">
      <alignment horizontal="center" vertical="center" wrapText="1"/>
    </xf>
    <xf numFmtId="1" fontId="87" fillId="89" borderId="70" xfId="0" applyNumberFormat="1" applyFont="1" applyFill="1" applyBorder="1" applyAlignment="1">
      <alignment horizontal="center" vertical="center" wrapText="1"/>
    </xf>
    <xf numFmtId="1" fontId="87" fillId="89" borderId="72" xfId="0" applyNumberFormat="1" applyFont="1" applyFill="1" applyBorder="1" applyAlignment="1">
      <alignment horizontal="center" vertical="center" wrapText="1"/>
    </xf>
    <xf numFmtId="1" fontId="87" fillId="89" borderId="11" xfId="0" applyNumberFormat="1" applyFont="1" applyFill="1" applyAlignment="1">
      <alignment horizontal="center" vertical="center" wrapText="1"/>
    </xf>
    <xf numFmtId="0" fontId="3" fillId="89" borderId="11" xfId="0" applyFont="1" applyFill="1" applyAlignment="1">
      <alignment horizontal="left" vertical="center" wrapText="1"/>
    </xf>
    <xf numFmtId="0" fontId="56" fillId="89" borderId="11" xfId="0" applyFont="1" applyFill="1" applyAlignment="1">
      <alignment horizontal="left" vertical="center" wrapText="1"/>
    </xf>
    <xf numFmtId="0" fontId="147" fillId="35" borderId="11" xfId="0" applyFont="1" applyFill="1" applyAlignment="1">
      <alignment horizontal="center" vertical="center" wrapText="1"/>
    </xf>
    <xf numFmtId="0" fontId="0" fillId="0" borderId="0" xfId="0" applyBorder="1" applyAlignment="1">
      <alignment horizontal="center" vertical="center" wrapText="1"/>
    </xf>
    <xf numFmtId="0" fontId="148" fillId="35" borderId="11" xfId="0" applyFont="1" applyFill="1" applyAlignment="1">
      <alignment horizontal="center" vertical="center" wrapText="1"/>
    </xf>
    <xf numFmtId="0" fontId="149" fillId="96" borderId="11" xfId="0" applyFont="1" applyFill="1" applyAlignment="1">
      <alignment horizontal="center" vertical="center" wrapText="1"/>
    </xf>
    <xf numFmtId="0" fontId="93" fillId="0" borderId="11" xfId="0" applyFont="1"/>
    <xf numFmtId="0" fontId="93" fillId="96" borderId="11" xfId="0" applyFont="1" applyFill="1"/>
    <xf numFmtId="0" fontId="25" fillId="19" borderId="13" xfId="0" applyFont="1" applyFill="1" applyBorder="1" applyAlignment="1">
      <alignment horizontal="left" vertical="top" wrapText="1"/>
    </xf>
    <xf numFmtId="0" fontId="0" fillId="19" borderId="11" xfId="0" applyFill="1"/>
    <xf numFmtId="0" fontId="150" fillId="69"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7" fillId="38" borderId="66" xfId="0" applyNumberFormat="1" applyFont="1" applyFill="1" applyBorder="1" applyAlignment="1">
      <alignment horizontal="center" vertical="center" wrapText="1"/>
    </xf>
    <xf numFmtId="1" fontId="87" fillId="38" borderId="70" xfId="0" applyNumberFormat="1" applyFont="1" applyFill="1" applyBorder="1" applyAlignment="1">
      <alignment horizontal="center" vertical="center" wrapText="1"/>
    </xf>
    <xf numFmtId="1" fontId="87" fillId="38" borderId="72" xfId="0" applyNumberFormat="1" applyFont="1" applyFill="1" applyBorder="1" applyAlignment="1">
      <alignment horizontal="center" vertical="center" wrapText="1"/>
    </xf>
    <xf numFmtId="1" fontId="87"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49" fillId="69" borderId="11" xfId="0" applyFont="1" applyFill="1" applyAlignment="1">
      <alignment horizontal="center" vertical="center" wrapText="1"/>
    </xf>
    <xf numFmtId="0" fontId="93" fillId="69" borderId="11" xfId="0" applyFont="1" applyFill="1"/>
    <xf numFmtId="0" fontId="86" fillId="57" borderId="129" xfId="0" applyFont="1" applyFill="1" applyBorder="1" applyAlignment="1">
      <alignment horizontal="left" vertical="center" wrapText="1"/>
    </xf>
    <xf numFmtId="0" fontId="86" fillId="57" borderId="130" xfId="0" applyFont="1" applyFill="1" applyBorder="1" applyAlignment="1">
      <alignment horizontal="left" vertical="center" wrapText="1"/>
    </xf>
    <xf numFmtId="9" fontId="16" fillId="46"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7" borderId="141" xfId="0" applyFont="1" applyFill="1" applyBorder="1" applyAlignment="1">
      <alignment horizontal="left" vertical="top" wrapText="1"/>
    </xf>
    <xf numFmtId="0" fontId="35" fillId="97" borderId="142" xfId="0" applyFont="1" applyFill="1" applyBorder="1" applyAlignment="1">
      <alignment horizontal="left" vertical="top" wrapText="1"/>
    </xf>
    <xf numFmtId="0" fontId="36" fillId="97" borderId="109" xfId="0" applyFont="1" applyFill="1" applyBorder="1" applyAlignment="1">
      <alignment vertical="center" wrapText="1"/>
    </xf>
    <xf numFmtId="0" fontId="36" fillId="97" borderId="108" xfId="0" applyFont="1" applyFill="1" applyBorder="1" applyAlignment="1">
      <alignment vertical="center" wrapText="1"/>
    </xf>
    <xf numFmtId="0" fontId="36" fillId="97" borderId="143" xfId="0" applyFont="1" applyFill="1" applyBorder="1" applyAlignment="1">
      <alignment vertical="center" wrapText="1"/>
    </xf>
    <xf numFmtId="0" fontId="2" fillId="97" borderId="144" xfId="0" applyFont="1" applyFill="1" applyBorder="1" applyAlignment="1">
      <alignment vertical="top" wrapText="1"/>
    </xf>
    <xf numFmtId="0" fontId="2" fillId="0" borderId="145" xfId="0" applyFont="1" applyBorder="1"/>
    <xf numFmtId="0" fontId="2" fillId="97" borderId="146" xfId="0" applyFont="1" applyFill="1" applyBorder="1"/>
    <xf numFmtId="0" fontId="35" fillId="97" borderId="12" xfId="0" applyFont="1" applyFill="1" applyBorder="1" applyAlignment="1">
      <alignment horizontal="left" vertical="top" wrapText="1"/>
    </xf>
    <xf numFmtId="0" fontId="36" fillId="97" borderId="4" xfId="0" applyFont="1" applyFill="1" applyBorder="1" applyAlignment="1">
      <alignment vertical="center" wrapText="1"/>
    </xf>
    <xf numFmtId="0" fontId="35" fillId="97" borderId="74" xfId="0" applyFont="1" applyFill="1" applyBorder="1" applyAlignment="1">
      <alignment horizontal="left" vertical="top" wrapText="1"/>
    </xf>
    <xf numFmtId="0" fontId="35" fillId="97" borderId="139" xfId="0" applyFont="1" applyFill="1" applyBorder="1" applyAlignment="1">
      <alignment horizontal="left" vertical="top" wrapText="1"/>
    </xf>
    <xf numFmtId="0" fontId="2" fillId="97" borderId="147" xfId="0" applyFont="1" applyFill="1" applyBorder="1" applyAlignment="1">
      <alignment vertical="top" wrapText="1"/>
    </xf>
    <xf numFmtId="0" fontId="2" fillId="0" borderId="148" xfId="0" applyFont="1" applyBorder="1"/>
    <xf numFmtId="0" fontId="2" fillId="97" borderId="6" xfId="0" applyFont="1" applyFill="1" applyBorder="1"/>
    <xf numFmtId="0" fontId="35" fillId="97" borderId="149" xfId="0" applyFont="1" applyFill="1" applyBorder="1" applyAlignment="1">
      <alignment horizontal="left" vertical="top" wrapText="1"/>
    </xf>
    <xf numFmtId="0" fontId="36" fillId="97" borderId="106" xfId="0" applyFont="1" applyFill="1" applyBorder="1" applyAlignment="1">
      <alignment vertical="center" wrapText="1"/>
    </xf>
    <xf numFmtId="0" fontId="36" fillId="97" borderId="150" xfId="0" applyFont="1" applyFill="1" applyBorder="1" applyAlignment="1">
      <alignment vertical="center" wrapText="1"/>
    </xf>
    <xf numFmtId="0" fontId="2" fillId="97" borderId="151" xfId="0" applyFont="1" applyFill="1" applyBorder="1" applyAlignment="1">
      <alignment vertical="top" wrapText="1"/>
    </xf>
    <xf numFmtId="0" fontId="35" fillId="0" borderId="152" xfId="0" applyFont="1" applyBorder="1" applyAlignment="1">
      <alignment horizontal="center" vertical="center" wrapText="1"/>
    </xf>
    <xf numFmtId="0" fontId="35" fillId="69" borderId="141" xfId="0" applyFont="1" applyFill="1" applyBorder="1" applyAlignment="1">
      <alignment horizontal="left" vertical="top" wrapText="1"/>
    </xf>
    <xf numFmtId="0" fontId="35" fillId="69" borderId="142" xfId="0" applyFont="1" applyFill="1" applyBorder="1" applyAlignment="1">
      <alignment horizontal="left" vertical="top" wrapText="1"/>
    </xf>
    <xf numFmtId="0" fontId="36" fillId="69" borderId="109" xfId="0" applyFont="1" applyFill="1" applyBorder="1" applyAlignment="1">
      <alignment vertical="center" wrapText="1"/>
    </xf>
    <xf numFmtId="0" fontId="36" fillId="69" borderId="108" xfId="0" applyFont="1" applyFill="1" applyBorder="1" applyAlignment="1">
      <alignment vertical="center" wrapText="1"/>
    </xf>
    <xf numFmtId="0" fontId="36" fillId="69" borderId="143" xfId="0" applyFont="1" applyFill="1" applyBorder="1" applyAlignment="1">
      <alignment vertical="center" wrapText="1"/>
    </xf>
    <xf numFmtId="0" fontId="2" fillId="69" borderId="144" xfId="0" applyFont="1" applyFill="1" applyBorder="1" applyAlignment="1">
      <alignment vertical="top" wrapText="1"/>
    </xf>
    <xf numFmtId="0" fontId="2" fillId="69" borderId="146" xfId="0" applyFont="1" applyFill="1" applyBorder="1"/>
    <xf numFmtId="0" fontId="35" fillId="69" borderId="12" xfId="0" applyFont="1" applyFill="1" applyBorder="1" applyAlignment="1">
      <alignment horizontal="left" vertical="top" wrapText="1"/>
    </xf>
    <xf numFmtId="0" fontId="36" fillId="69" borderId="4" xfId="0" applyFont="1" applyFill="1" applyBorder="1" applyAlignment="1">
      <alignment vertical="center" wrapText="1"/>
    </xf>
    <xf numFmtId="0" fontId="35" fillId="69" borderId="74" xfId="0" applyFont="1" applyFill="1" applyBorder="1" applyAlignment="1">
      <alignment horizontal="left" vertical="top" wrapText="1"/>
    </xf>
    <xf numFmtId="0" fontId="35" fillId="69" borderId="139" xfId="0" applyFont="1" applyFill="1" applyBorder="1" applyAlignment="1">
      <alignment horizontal="left" vertical="top" wrapText="1"/>
    </xf>
    <xf numFmtId="0" fontId="2" fillId="69" borderId="147" xfId="0" applyFont="1" applyFill="1" applyBorder="1" applyAlignment="1">
      <alignment vertical="top" wrapText="1"/>
    </xf>
    <xf numFmtId="0" fontId="2" fillId="69" borderId="6" xfId="0" applyFont="1" applyFill="1" applyBorder="1"/>
    <xf numFmtId="0" fontId="35" fillId="69" borderId="149" xfId="0" applyFont="1" applyFill="1" applyBorder="1" applyAlignment="1">
      <alignment horizontal="left" vertical="top" wrapText="1"/>
    </xf>
    <xf numFmtId="0" fontId="36" fillId="69" borderId="106" xfId="0" applyFont="1" applyFill="1" applyBorder="1" applyAlignment="1">
      <alignment vertical="center" wrapText="1"/>
    </xf>
    <xf numFmtId="0" fontId="36" fillId="69" borderId="150" xfId="0" applyFont="1" applyFill="1" applyBorder="1" applyAlignment="1">
      <alignment vertical="center" wrapText="1"/>
    </xf>
    <xf numFmtId="0" fontId="2" fillId="69" borderId="151" xfId="0" applyFont="1" applyFill="1" applyBorder="1" applyAlignment="1">
      <alignment vertical="top" wrapText="1"/>
    </xf>
    <xf numFmtId="0" fontId="36" fillId="97" borderId="144" xfId="0" applyFont="1" applyFill="1" applyBorder="1" applyAlignment="1">
      <alignment vertical="center" wrapText="1"/>
    </xf>
    <xf numFmtId="0" fontId="2" fillId="97" borderId="153" xfId="0" applyFont="1" applyFill="1" applyBorder="1" applyAlignment="1">
      <alignment vertical="top" wrapText="1"/>
    </xf>
    <xf numFmtId="0" fontId="35" fillId="97" borderId="154" xfId="0" applyFont="1" applyFill="1" applyBorder="1" applyAlignment="1">
      <alignment horizontal="left" vertical="top" wrapText="1"/>
    </xf>
    <xf numFmtId="0" fontId="35" fillId="97" borderId="151" xfId="0" applyFont="1" applyFill="1" applyBorder="1" applyAlignment="1">
      <alignment horizontal="left" vertical="top" wrapText="1"/>
    </xf>
    <xf numFmtId="0" fontId="2" fillId="97" borderId="155" xfId="0" applyFont="1" applyFill="1" applyBorder="1" applyAlignment="1">
      <alignment vertical="top" wrapText="1"/>
    </xf>
    <xf numFmtId="0" fontId="35" fillId="69" borderId="156" xfId="0" applyFont="1" applyFill="1" applyBorder="1" applyAlignment="1">
      <alignment horizontal="left" vertical="top" wrapText="1"/>
    </xf>
    <xf numFmtId="0" fontId="35" fillId="69" borderId="144" xfId="0" applyFont="1" applyFill="1" applyBorder="1" applyAlignment="1">
      <alignment horizontal="left" vertical="top" wrapText="1"/>
    </xf>
    <xf numFmtId="0" fontId="2" fillId="69" borderId="153" xfId="0" applyFont="1" applyFill="1" applyBorder="1" applyAlignment="1">
      <alignment vertical="top" wrapText="1"/>
    </xf>
    <xf numFmtId="0" fontId="35" fillId="69" borderId="147" xfId="0" applyFont="1" applyFill="1" applyBorder="1" applyAlignment="1">
      <alignment horizontal="left" vertical="top" wrapText="1"/>
    </xf>
    <xf numFmtId="0" fontId="2" fillId="69" borderId="157" xfId="0" applyFont="1" applyFill="1" applyBorder="1" applyAlignment="1">
      <alignment vertical="top" wrapText="1"/>
    </xf>
    <xf numFmtId="0" fontId="35" fillId="69" borderId="154" xfId="0" applyFont="1" applyFill="1" applyBorder="1" applyAlignment="1">
      <alignment horizontal="left" vertical="top" wrapText="1"/>
    </xf>
    <xf numFmtId="0" fontId="35" fillId="69" borderId="151" xfId="0" applyFont="1" applyFill="1" applyBorder="1" applyAlignment="1">
      <alignment horizontal="left" vertical="top" wrapText="1"/>
    </xf>
    <xf numFmtId="0" fontId="2" fillId="69" borderId="155" xfId="0" applyFont="1" applyFill="1" applyBorder="1" applyAlignment="1">
      <alignmen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35" fillId="99" borderId="12" xfId="0" applyFont="1" applyFill="1" applyBorder="1" applyAlignment="1">
      <alignment horizontal="left" vertical="top" wrapText="1"/>
    </xf>
    <xf numFmtId="0" fontId="36" fillId="98" borderId="4" xfId="0" applyFont="1" applyFill="1" applyBorder="1" applyAlignment="1">
      <alignment vertical="center" wrapText="1"/>
    </xf>
    <xf numFmtId="0" fontId="36" fillId="98" borderId="106" xfId="0" applyFont="1" applyFill="1" applyBorder="1" applyAlignment="1">
      <alignment vertical="center" wrapText="1"/>
    </xf>
    <xf numFmtId="0" fontId="36" fillId="98" borderId="139" xfId="0" applyFont="1" applyFill="1" applyBorder="1" applyAlignment="1">
      <alignment vertical="center" wrapText="1"/>
    </xf>
    <xf numFmtId="0" fontId="36" fillId="98" borderId="150" xfId="0" applyFont="1" applyFill="1" applyBorder="1" applyAlignment="1">
      <alignment vertical="center" wrapText="1"/>
    </xf>
    <xf numFmtId="0" fontId="35" fillId="69" borderId="150" xfId="0" applyFont="1" applyFill="1" applyBorder="1" applyAlignment="1">
      <alignment horizontal="left" vertical="top" wrapText="1"/>
    </xf>
    <xf numFmtId="0" fontId="35" fillId="97" borderId="156" xfId="0" applyFont="1" applyFill="1" applyBorder="1" applyAlignment="1">
      <alignment horizontal="left" vertical="top" wrapText="1"/>
    </xf>
    <xf numFmtId="0" fontId="35" fillId="97" borderId="143" xfId="0" applyFont="1" applyFill="1" applyBorder="1" applyAlignment="1">
      <alignment horizontal="left" vertical="top" wrapText="1"/>
    </xf>
    <xf numFmtId="0" fontId="36" fillId="97" borderId="139" xfId="0" applyFont="1" applyFill="1" applyBorder="1" applyAlignment="1">
      <alignment vertical="center" wrapText="1"/>
    </xf>
    <xf numFmtId="0" fontId="35" fillId="97" borderId="150" xfId="0" applyFont="1" applyFill="1" applyBorder="1" applyAlignment="1">
      <alignment horizontal="left" vertical="top" wrapText="1"/>
    </xf>
    <xf numFmtId="0" fontId="36" fillId="69" borderId="139" xfId="0" applyFont="1" applyFill="1" applyBorder="1" applyAlignment="1">
      <alignment vertical="center" wrapText="1"/>
    </xf>
    <xf numFmtId="0" fontId="35" fillId="97" borderId="129" xfId="0" applyFont="1" applyFill="1" applyBorder="1" applyAlignment="1">
      <alignment horizontal="left" vertical="top" wrapText="1"/>
    </xf>
    <xf numFmtId="0" fontId="35" fillId="97" borderId="73" xfId="0" applyFont="1" applyFill="1" applyBorder="1" applyAlignment="1">
      <alignment horizontal="left" vertical="top" wrapText="1"/>
    </xf>
    <xf numFmtId="0" fontId="35" fillId="97" borderId="130" xfId="0" applyFont="1" applyFill="1" applyBorder="1" applyAlignment="1">
      <alignment horizontal="left" vertical="top" wrapText="1"/>
    </xf>
    <xf numFmtId="0" fontId="35" fillId="100" borderId="142" xfId="0" applyFont="1" applyFill="1" applyBorder="1" applyAlignment="1">
      <alignment horizontal="left" vertical="top" wrapText="1"/>
    </xf>
    <xf numFmtId="0" fontId="35" fillId="100" borderId="12" xfId="0" applyFont="1" applyFill="1" applyBorder="1" applyAlignment="1">
      <alignment horizontal="left" vertical="top" wrapText="1"/>
    </xf>
    <xf numFmtId="0" fontId="35" fillId="100"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7" borderId="159" xfId="0" applyFont="1" applyFill="1" applyBorder="1" applyAlignment="1">
      <alignment horizontal="left" vertical="top" wrapText="1"/>
    </xf>
    <xf numFmtId="0" fontId="35" fillId="97" borderId="160" xfId="0" applyFont="1" applyFill="1" applyBorder="1" applyAlignment="1">
      <alignment horizontal="left" vertical="top" wrapText="1"/>
    </xf>
    <xf numFmtId="0" fontId="35" fillId="99" borderId="160" xfId="0" applyFont="1" applyFill="1" applyBorder="1" applyAlignment="1">
      <alignment horizontal="left" vertical="top" wrapText="1"/>
    </xf>
    <xf numFmtId="0" fontId="35" fillId="97" borderId="161" xfId="0" applyFont="1" applyFill="1" applyBorder="1" applyAlignment="1">
      <alignment horizontal="left" vertical="top" wrapText="1"/>
    </xf>
    <xf numFmtId="0" fontId="35" fillId="97" borderId="162" xfId="0" applyFont="1" applyFill="1" applyBorder="1" applyAlignment="1">
      <alignment horizontal="left" vertical="top" wrapText="1"/>
    </xf>
    <xf numFmtId="0" fontId="2" fillId="97" borderId="163" xfId="0" applyFont="1" applyFill="1" applyBorder="1" applyAlignment="1">
      <alignment vertical="top" wrapText="1"/>
    </xf>
    <xf numFmtId="0" fontId="35" fillId="0" borderId="152" xfId="0" applyFont="1" applyBorder="1" applyAlignment="1">
      <alignment vertical="center" wrapText="1"/>
    </xf>
    <xf numFmtId="0" fontId="35" fillId="101" borderId="142" xfId="0" applyFont="1" applyFill="1" applyBorder="1" applyAlignment="1">
      <alignment horizontal="left" vertical="top" wrapText="1"/>
    </xf>
    <xf numFmtId="0" fontId="36" fillId="101" borderId="109" xfId="0" applyFont="1" applyFill="1" applyBorder="1" applyAlignment="1">
      <alignment vertical="center" wrapText="1"/>
    </xf>
    <xf numFmtId="0" fontId="36" fillId="101" borderId="108" xfId="0" applyFont="1" applyFill="1" applyBorder="1" applyAlignment="1">
      <alignment vertical="center" wrapText="1"/>
    </xf>
    <xf numFmtId="0" fontId="36" fillId="101" borderId="143" xfId="0" applyFont="1" applyFill="1" applyBorder="1" applyAlignment="1">
      <alignment vertical="center" wrapText="1"/>
    </xf>
    <xf numFmtId="0" fontId="35" fillId="102" borderId="149" xfId="0" applyFont="1" applyFill="1" applyBorder="1" applyAlignment="1">
      <alignment horizontal="left" vertical="top" wrapText="1"/>
    </xf>
    <xf numFmtId="0" fontId="36" fillId="101" borderId="4" xfId="0" applyFont="1" applyFill="1" applyBorder="1" applyAlignment="1">
      <alignment vertical="center" wrapText="1"/>
    </xf>
    <xf numFmtId="0" fontId="35" fillId="99" borderId="142" xfId="0" applyFont="1" applyFill="1" applyBorder="1" applyAlignment="1">
      <alignment horizontal="left" vertical="top" wrapText="1"/>
    </xf>
    <xf numFmtId="0" fontId="35" fillId="99" borderId="101" xfId="0" applyFont="1" applyFill="1" applyBorder="1" applyAlignment="1">
      <alignment horizontal="left" vertical="top" wrapText="1"/>
    </xf>
    <xf numFmtId="0" fontId="35" fillId="98" borderId="149" xfId="0" applyFont="1" applyFill="1" applyBorder="1" applyAlignment="1">
      <alignment horizontal="left" vertical="top" wrapText="1"/>
    </xf>
    <xf numFmtId="0" fontId="35" fillId="102" borderId="142" xfId="0" applyFont="1" applyFill="1" applyBorder="1" applyAlignment="1">
      <alignment horizontal="left" vertical="top" wrapText="1"/>
    </xf>
    <xf numFmtId="0" fontId="35" fillId="69" borderId="143"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101" borderId="106" xfId="0" applyFont="1" applyFill="1" applyBorder="1" applyAlignment="1">
      <alignment vertical="center" wrapText="1"/>
    </xf>
    <xf numFmtId="0" fontId="36" fillId="101"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99" borderId="149" xfId="0" applyFont="1" applyFill="1" applyBorder="1" applyAlignment="1">
      <alignment horizontal="left" vertical="top" wrapText="1"/>
    </xf>
    <xf numFmtId="0" fontId="36" fillId="101" borderId="139" xfId="0" applyFont="1" applyFill="1" applyBorder="1" applyAlignment="1">
      <alignment vertical="center" wrapText="1"/>
    </xf>
    <xf numFmtId="0" fontId="35" fillId="69" borderId="129" xfId="0" applyFont="1" applyFill="1" applyBorder="1" applyAlignment="1">
      <alignment horizontal="left" vertical="top" wrapText="1"/>
    </xf>
    <xf numFmtId="0" fontId="36" fillId="101" borderId="104" xfId="0" applyFont="1" applyFill="1" applyBorder="1" applyAlignment="1">
      <alignment vertical="center" wrapText="1"/>
    </xf>
    <xf numFmtId="0" fontId="36" fillId="101" borderId="11" xfId="0" applyFont="1" applyFill="1" applyAlignment="1">
      <alignment vertical="center" wrapText="1"/>
    </xf>
    <xf numFmtId="0" fontId="36" fillId="101" borderId="130" xfId="0" applyFont="1" applyFill="1" applyBorder="1" applyAlignment="1">
      <alignment vertical="center" wrapText="1"/>
    </xf>
    <xf numFmtId="0" fontId="2" fillId="69"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0" fillId="103" borderId="11" xfId="0" applyFont="1" applyFill="1" applyAlignment="1">
      <alignment vertical="top" wrapText="1"/>
    </xf>
    <xf numFmtId="0" fontId="140" fillId="103" borderId="11" xfId="0" applyFont="1" applyFill="1" applyAlignment="1">
      <alignment horizontal="center" vertical="top" wrapText="1"/>
    </xf>
    <xf numFmtId="0" fontId="128" fillId="104" borderId="11" xfId="0" applyFont="1" applyFill="1" applyAlignment="1">
      <alignment vertical="top" wrapText="1"/>
    </xf>
    <xf numFmtId="0" fontId="128" fillId="104" borderId="11" xfId="0" applyFont="1" applyFill="1" applyAlignment="1">
      <alignment horizontal="center" vertical="top" wrapText="1"/>
    </xf>
    <xf numFmtId="0" fontId="128" fillId="105" borderId="11" xfId="0" applyFont="1" applyFill="1" applyAlignment="1">
      <alignment vertical="top" wrapText="1"/>
    </xf>
    <xf numFmtId="0" fontId="51" fillId="86" borderId="11" xfId="0" applyFont="1" applyFill="1" applyAlignment="1">
      <alignment wrapText="1"/>
    </xf>
    <xf numFmtId="168" fontId="0" fillId="0" borderId="11" xfId="0" applyNumberFormat="1" applyAlignment="1">
      <alignment vertical="top" wrapText="1"/>
    </xf>
    <xf numFmtId="0" fontId="157" fillId="23" borderId="11" xfId="0" applyFont="1" applyFill="1" applyAlignment="1">
      <alignment horizontal="left" vertical="top" wrapText="1"/>
    </xf>
    <xf numFmtId="0" fontId="126" fillId="85" borderId="11" xfId="0" applyFont="1" applyFill="1" applyAlignment="1">
      <alignment horizontal="left" vertical="top" wrapText="1"/>
    </xf>
    <xf numFmtId="0" fontId="158" fillId="107" borderId="11" xfId="0" applyFont="1" applyFill="1" applyAlignment="1">
      <alignment horizontal="center" vertical="top" wrapText="1"/>
    </xf>
    <xf numFmtId="9" fontId="158" fillId="107" borderId="11" xfId="0" applyNumberFormat="1" applyFont="1" applyFill="1" applyAlignment="1">
      <alignment horizontal="center" vertical="top" wrapText="1"/>
    </xf>
    <xf numFmtId="0" fontId="139" fillId="106" borderId="11" xfId="0" applyFont="1" applyFill="1" applyAlignment="1">
      <alignment horizontal="center" vertical="center" wrapText="1"/>
    </xf>
    <xf numFmtId="9" fontId="0" fillId="0" borderId="11" xfId="0" applyNumberFormat="1" applyAlignment="1">
      <alignment vertical="top" wrapText="1"/>
    </xf>
    <xf numFmtId="0" fontId="139" fillId="106" borderId="11" xfId="0" applyFont="1" applyFill="1" applyAlignment="1">
      <alignment horizontal="center" vertical="top" wrapText="1"/>
    </xf>
    <xf numFmtId="9" fontId="139" fillId="106" borderId="11" xfId="0" applyNumberFormat="1" applyFont="1" applyFill="1" applyAlignment="1">
      <alignment horizontal="center" vertical="center" wrapText="1"/>
    </xf>
    <xf numFmtId="168" fontId="139" fillId="106" borderId="11" xfId="0" applyNumberFormat="1" applyFont="1" applyFill="1" applyAlignment="1">
      <alignment horizontal="center" vertical="center" wrapText="1"/>
    </xf>
    <xf numFmtId="9" fontId="139" fillId="106" borderId="11" xfId="0" applyNumberFormat="1" applyFont="1" applyFill="1" applyAlignment="1">
      <alignment horizontal="center" vertical="top" wrapText="1"/>
    </xf>
    <xf numFmtId="168" fontId="139" fillId="106" borderId="11" xfId="0" applyNumberFormat="1" applyFont="1" applyFill="1" applyAlignment="1">
      <alignment horizontal="center" vertical="top" wrapText="1"/>
    </xf>
    <xf numFmtId="168" fontId="0" fillId="0" borderId="11" xfId="0" applyNumberFormat="1" applyAlignment="1">
      <alignment wrapText="1"/>
    </xf>
    <xf numFmtId="1" fontId="0" fillId="0" borderId="11" xfId="0" applyNumberFormat="1" applyAlignment="1">
      <alignment wrapText="1"/>
    </xf>
    <xf numFmtId="0" fontId="161" fillId="106" borderId="11" xfId="0" applyFont="1" applyFill="1" applyAlignment="1">
      <alignment horizontal="center" vertical="center" wrapText="1"/>
    </xf>
    <xf numFmtId="0" fontId="164" fillId="7" borderId="11" xfId="0" applyFont="1" applyFill="1" applyAlignment="1">
      <alignment horizontal="center" vertical="center" wrapText="1"/>
    </xf>
    <xf numFmtId="0" fontId="165" fillId="0" borderId="11" xfId="0" applyFont="1"/>
    <xf numFmtId="0" fontId="166" fillId="8" borderId="11" xfId="0" applyFont="1" applyFill="1" applyAlignment="1">
      <alignment horizontal="center" vertical="center"/>
    </xf>
    <xf numFmtId="0" fontId="167" fillId="10" borderId="11" xfId="0" applyFont="1" applyFill="1"/>
    <xf numFmtId="0" fontId="168" fillId="9" borderId="11" xfId="0" applyFont="1" applyFill="1"/>
    <xf numFmtId="0" fontId="169" fillId="23" borderId="111" xfId="0" applyFont="1" applyFill="1" applyBorder="1" applyAlignment="1">
      <alignment wrapText="1"/>
    </xf>
    <xf numFmtId="0" fontId="0" fillId="0" borderId="11" xfId="0" applyAlignment="1">
      <alignment horizontal="center" vertical="top" wrapText="1"/>
    </xf>
    <xf numFmtId="0" fontId="171" fillId="45" borderId="11" xfId="0" applyFont="1" applyFill="1" applyAlignment="1">
      <alignment horizontal="center" vertical="center" wrapText="1"/>
    </xf>
    <xf numFmtId="0" fontId="172" fillId="39" borderId="11" xfId="0" applyFont="1" applyFill="1" applyAlignment="1">
      <alignment vertical="top" wrapText="1"/>
    </xf>
    <xf numFmtId="0" fontId="170" fillId="45" borderId="11" xfId="0" applyFont="1" applyFill="1" applyAlignment="1">
      <alignment horizontal="center" vertical="top" wrapText="1"/>
    </xf>
    <xf numFmtId="9" fontId="75" fillId="0" borderId="11" xfId="4" applyAlignment="1">
      <alignment horizontal="center" vertical="center"/>
    </xf>
    <xf numFmtId="0" fontId="14" fillId="8" borderId="103" xfId="0" applyFont="1" applyFill="1" applyBorder="1" applyAlignment="1">
      <alignment horizontal="center" vertical="center" wrapText="1"/>
    </xf>
    <xf numFmtId="0" fontId="14" fillId="46" borderId="104" xfId="0" applyFont="1" applyFill="1" applyBorder="1" applyAlignment="1">
      <alignment horizontal="center" vertical="center" wrapText="1"/>
    </xf>
    <xf numFmtId="0" fontId="14" fillId="9" borderId="104" xfId="0" applyFont="1" applyFill="1" applyBorder="1" applyAlignment="1">
      <alignment horizontal="center" vertical="center" wrapText="1"/>
    </xf>
    <xf numFmtId="0" fontId="14" fillId="9" borderId="104" xfId="0" applyFont="1" applyFill="1" applyBorder="1" applyAlignment="1">
      <alignment horizontal="left" vertical="center" wrapText="1"/>
    </xf>
    <xf numFmtId="0" fontId="14" fillId="64" borderId="103" xfId="0" applyFont="1" applyFill="1" applyBorder="1" applyAlignment="1">
      <alignment horizontal="center" vertical="center" wrapText="1"/>
    </xf>
    <xf numFmtId="9" fontId="16" fillId="46" borderId="104" xfId="0" applyNumberFormat="1" applyFont="1" applyFill="1" applyBorder="1"/>
    <xf numFmtId="0" fontId="46" fillId="68" borderId="103" xfId="0" applyFont="1" applyFill="1" applyBorder="1" applyAlignment="1">
      <alignment horizontal="center" vertical="center" wrapText="1"/>
    </xf>
    <xf numFmtId="0" fontId="12" fillId="9" borderId="103" xfId="0" applyFont="1" applyFill="1" applyBorder="1" applyAlignment="1">
      <alignment vertical="top" wrapText="1"/>
    </xf>
    <xf numFmtId="0" fontId="12" fillId="9" borderId="104" xfId="0" applyFont="1" applyFill="1" applyBorder="1" applyAlignment="1">
      <alignment vertical="top" wrapText="1"/>
    </xf>
    <xf numFmtId="0" fontId="10" fillId="7" borderId="104" xfId="0" applyFont="1" applyFill="1" applyBorder="1" applyAlignment="1">
      <alignment horizontal="left" vertical="center" wrapText="1"/>
    </xf>
    <xf numFmtId="0" fontId="21" fillId="10" borderId="103" xfId="0" applyFont="1" applyFill="1" applyBorder="1" applyAlignment="1">
      <alignment horizontal="center" vertical="center" wrapText="1"/>
    </xf>
    <xf numFmtId="0" fontId="21" fillId="10" borderId="104" xfId="0" applyFont="1" applyFill="1" applyBorder="1" applyAlignment="1">
      <alignment horizontal="center" vertical="center" wrapText="1"/>
    </xf>
    <xf numFmtId="9" fontId="12" fillId="9" borderId="11" xfId="0" applyNumberFormat="1" applyFont="1" applyFill="1" applyAlignment="1">
      <alignment vertical="top" wrapText="1"/>
    </xf>
    <xf numFmtId="0" fontId="0" fillId="0" borderId="103" xfId="0" applyBorder="1"/>
    <xf numFmtId="0" fontId="0" fillId="0" borderId="104" xfId="0" applyBorder="1"/>
    <xf numFmtId="0" fontId="2" fillId="0" borderId="103" xfId="0" applyFont="1" applyBorder="1"/>
    <xf numFmtId="0" fontId="141" fillId="0" borderId="103" xfId="0" applyFont="1" applyBorder="1"/>
    <xf numFmtId="0" fontId="0" fillId="0" borderId="166" xfId="0" applyBorder="1"/>
    <xf numFmtId="0" fontId="0" fillId="0" borderId="157" xfId="0" applyBorder="1"/>
    <xf numFmtId="0" fontId="0" fillId="89" borderId="105" xfId="0" applyFill="1" applyBorder="1"/>
    <xf numFmtId="0" fontId="0" fillId="89" borderId="106" xfId="0" applyFill="1" applyBorder="1"/>
    <xf numFmtId="0" fontId="0" fillId="91" borderId="11" xfId="0" applyFill="1" applyAlignment="1">
      <alignment horizontal="center" vertical="top" wrapText="1"/>
    </xf>
    <xf numFmtId="0" fontId="0" fillId="91" borderId="104" xfId="0" applyFill="1" applyBorder="1" applyAlignment="1">
      <alignment horizontal="center" vertical="top" wrapText="1"/>
    </xf>
    <xf numFmtId="0" fontId="10" fillId="7" borderId="103" xfId="0" applyFont="1" applyFill="1" applyBorder="1" applyAlignment="1">
      <alignment horizontal="center" vertical="center" wrapText="1"/>
    </xf>
    <xf numFmtId="0" fontId="10" fillId="7" borderId="11" xfId="0" applyFont="1" applyFill="1" applyAlignment="1">
      <alignment horizontal="center" vertical="center" wrapText="1"/>
    </xf>
    <xf numFmtId="0" fontId="10" fillId="7" borderId="104" xfId="0" applyFont="1" applyFill="1" applyBorder="1" applyAlignment="1">
      <alignment horizontal="center" vertical="center" wrapText="1"/>
    </xf>
    <xf numFmtId="0" fontId="75" fillId="0" borderId="11" xfId="0" applyFont="1" applyAlignment="1">
      <alignment horizontal="left"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0" fillId="0" borderId="11" xfId="0" applyAlignment="1">
      <alignment horizontal="center" vertical="center" wrapText="1"/>
    </xf>
    <xf numFmtId="0" fontId="0" fillId="0" borderId="104" xfId="0" applyBorder="1" applyAlignment="1">
      <alignment horizontal="center" vertical="center" wrapText="1"/>
    </xf>
    <xf numFmtId="0" fontId="2" fillId="0" borderId="11" xfId="0" applyFont="1"/>
    <xf numFmtId="0" fontId="0" fillId="0" borderId="11" xfId="0" applyAlignment="1">
      <alignment horizontal="center" vertical="top" wrapText="1"/>
    </xf>
    <xf numFmtId="0" fontId="0" fillId="0" borderId="104" xfId="0" applyBorder="1" applyAlignment="1">
      <alignment horizontal="center" vertical="top" wrapText="1"/>
    </xf>
    <xf numFmtId="0" fontId="16" fillId="92" borderId="103" xfId="0" applyFont="1" applyFill="1" applyBorder="1"/>
    <xf numFmtId="0" fontId="0" fillId="0" borderId="11" xfId="0"/>
    <xf numFmtId="9" fontId="144" fillId="92" borderId="11" xfId="0" applyNumberFormat="1" applyFont="1" applyFill="1" applyAlignment="1">
      <alignment horizontal="center" vertical="center"/>
    </xf>
    <xf numFmtId="9" fontId="0" fillId="0" borderId="11" xfId="0" applyNumberFormat="1"/>
    <xf numFmtId="0" fontId="16" fillId="92" borderId="11" xfId="0" applyFont="1" applyFill="1" applyAlignment="1">
      <alignment horizontal="center" vertical="center" wrapText="1"/>
    </xf>
    <xf numFmtId="0" fontId="16" fillId="92" borderId="104" xfId="0" applyFont="1" applyFill="1" applyBorder="1" applyAlignment="1">
      <alignment horizontal="center" vertical="center" wrapText="1"/>
    </xf>
    <xf numFmtId="0" fontId="132" fillId="87" borderId="11" xfId="0" applyFont="1" applyFill="1" applyAlignment="1">
      <alignment wrapText="1"/>
    </xf>
    <xf numFmtId="0" fontId="0" fillId="89" borderId="106" xfId="0" applyFill="1" applyBorder="1" applyAlignment="1">
      <alignment horizontal="center"/>
    </xf>
    <xf numFmtId="0" fontId="0" fillId="89" borderId="4" xfId="0" applyFill="1" applyBorder="1" applyAlignment="1">
      <alignment horizontal="center"/>
    </xf>
    <xf numFmtId="0" fontId="12" fillId="9" borderId="11" xfId="0" applyFont="1" applyFill="1" applyAlignment="1">
      <alignment horizontal="center" vertical="top" wrapText="1"/>
    </xf>
    <xf numFmtId="0" fontId="2" fillId="0" borderId="104" xfId="0" applyFont="1" applyBorder="1"/>
    <xf numFmtId="0" fontId="16" fillId="92" borderId="103" xfId="0" applyFont="1" applyFill="1" applyBorder="1" applyAlignment="1">
      <alignment horizontal="center" vertical="center"/>
    </xf>
    <xf numFmtId="0" fontId="16" fillId="92" borderId="11" xfId="0" applyFont="1" applyFill="1" applyAlignment="1">
      <alignment horizontal="center" vertical="center"/>
    </xf>
    <xf numFmtId="0" fontId="67" fillId="86" borderId="11" xfId="0" applyFont="1" applyFill="1" applyAlignment="1">
      <alignment horizontal="center" vertical="center"/>
    </xf>
    <xf numFmtId="0" fontId="0" fillId="89" borderId="11" xfId="0" applyFill="1" applyAlignment="1">
      <alignment horizontal="center"/>
    </xf>
    <xf numFmtId="0" fontId="0" fillId="89" borderId="104" xfId="0" applyFill="1" applyBorder="1" applyAlignment="1">
      <alignment horizontal="center"/>
    </xf>
    <xf numFmtId="0" fontId="15" fillId="7" borderId="100" xfId="0" applyFont="1" applyFill="1" applyBorder="1" applyAlignment="1">
      <alignment horizontal="center" vertical="center" wrapText="1"/>
    </xf>
    <xf numFmtId="0" fontId="2" fillId="0" borderId="101" xfId="0" applyFont="1" applyBorder="1"/>
    <xf numFmtId="0" fontId="2" fillId="0" borderId="102" xfId="0" applyFont="1" applyBorder="1"/>
    <xf numFmtId="0" fontId="46" fillId="9" borderId="11" xfId="0" applyFont="1" applyFill="1" applyAlignment="1">
      <alignment horizontal="center" vertical="center" wrapText="1"/>
    </xf>
    <xf numFmtId="0" fontId="10" fillId="7" borderId="100" xfId="0" applyFont="1" applyFill="1" applyBorder="1" applyAlignment="1">
      <alignment horizontal="center" vertical="center" wrapText="1"/>
    </xf>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75" fillId="91" borderId="11" xfId="0" applyFont="1" applyFill="1" applyAlignment="1">
      <alignment horizontal="center" vertical="top" wrapText="1"/>
    </xf>
    <xf numFmtId="0" fontId="75" fillId="91" borderId="104" xfId="0" applyFont="1" applyFill="1" applyBorder="1" applyAlignment="1">
      <alignment horizontal="center" vertical="top" wrapText="1"/>
    </xf>
    <xf numFmtId="0" fontId="75" fillId="0" borderId="11" xfId="0" applyFont="1" applyAlignment="1">
      <alignment horizontal="center"/>
    </xf>
    <xf numFmtId="0" fontId="75" fillId="0" borderId="104" xfId="0" applyFont="1" applyBorder="1" applyAlignment="1">
      <alignment horizontal="center"/>
    </xf>
    <xf numFmtId="0" fontId="68" fillId="41" borderId="52" xfId="0" applyFont="1" applyFill="1" applyBorder="1" applyAlignment="1">
      <alignment vertical="center" wrapText="1"/>
    </xf>
    <xf numFmtId="0" fontId="0" fillId="0" borderId="59" xfId="0" applyBorder="1"/>
    <xf numFmtId="0" fontId="0" fillId="0" borderId="60" xfId="0" applyBorder="1"/>
    <xf numFmtId="0" fontId="67" fillId="40" borderId="52" xfId="0" applyFont="1" applyFill="1" applyBorder="1" applyAlignment="1">
      <alignment horizontal="center" vertical="center"/>
    </xf>
    <xf numFmtId="0" fontId="68"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135" fillId="56" borderId="93" xfId="0" applyFont="1" applyFill="1" applyBorder="1" applyAlignment="1">
      <alignment horizontal="center" vertical="center" wrapText="1"/>
    </xf>
    <xf numFmtId="0" fontId="135" fillId="56" borderId="94" xfId="0" applyFont="1" applyFill="1" applyBorder="1" applyAlignment="1">
      <alignment horizontal="center" vertical="center" wrapText="1"/>
    </xf>
    <xf numFmtId="0" fontId="135" fillId="56" borderId="95" xfId="0" applyFont="1" applyFill="1" applyBorder="1" applyAlignment="1">
      <alignment horizontal="center" vertical="center" wrapText="1"/>
    </xf>
    <xf numFmtId="0" fontId="31" fillId="15" borderId="13" xfId="0" applyFont="1" applyFill="1" applyBorder="1" applyAlignment="1">
      <alignment horizontal="left" vertical="top" wrapText="1"/>
    </xf>
    <xf numFmtId="0" fontId="0" fillId="0" borderId="24" xfId="0" applyBorder="1"/>
    <xf numFmtId="0" fontId="31" fillId="19" borderId="13" xfId="0" applyFont="1" applyFill="1" applyBorder="1" applyAlignment="1">
      <alignment horizontal="left" vertical="top" wrapText="1"/>
    </xf>
    <xf numFmtId="0" fontId="0" fillId="0" borderId="23" xfId="0" applyBorder="1"/>
    <xf numFmtId="0" fontId="76" fillId="49" borderId="75" xfId="0" applyFont="1" applyFill="1" applyBorder="1" applyAlignment="1">
      <alignment horizontal="center" vertical="center" wrapText="1"/>
    </xf>
    <xf numFmtId="0" fontId="76" fillId="49" borderId="23" xfId="0" applyFont="1" applyFill="1" applyBorder="1" applyAlignment="1">
      <alignment horizontal="center" vertical="center" wrapText="1"/>
    </xf>
    <xf numFmtId="0" fontId="76" fillId="49" borderId="24" xfId="0" applyFont="1" applyFill="1" applyBorder="1" applyAlignment="1">
      <alignment horizontal="center" vertical="center" wrapText="1"/>
    </xf>
    <xf numFmtId="0" fontId="26" fillId="18" borderId="13" xfId="0" applyFont="1" applyFill="1" applyBorder="1" applyAlignment="1">
      <alignment horizontal="center" vertical="center"/>
    </xf>
    <xf numFmtId="0" fontId="78" fillId="50" borderId="64" xfId="0" applyFont="1" applyFill="1" applyBorder="1" applyAlignment="1">
      <alignment horizontal="left" vertical="top" wrapText="1"/>
    </xf>
    <xf numFmtId="0" fontId="62" fillId="50" borderId="40" xfId="0" applyFont="1" applyFill="1" applyBorder="1" applyAlignment="1">
      <alignment vertical="top" wrapText="1"/>
    </xf>
    <xf numFmtId="0" fontId="62" fillId="50" borderId="42" xfId="0" applyFont="1" applyFill="1" applyBorder="1" applyAlignment="1">
      <alignment vertical="top" wrapText="1"/>
    </xf>
    <xf numFmtId="0" fontId="75" fillId="0" borderId="40" xfId="0" applyFont="1" applyBorder="1"/>
    <xf numFmtId="0" fontId="75" fillId="0" borderId="42" xfId="0" applyFont="1" applyBorder="1"/>
    <xf numFmtId="0" fontId="62" fillId="50" borderId="11" xfId="0" applyFont="1" applyFill="1" applyAlignment="1">
      <alignment vertical="top" wrapText="1"/>
    </xf>
    <xf numFmtId="0" fontId="62" fillId="50" borderId="19" xfId="0" applyFont="1" applyFill="1" applyBorder="1" applyAlignment="1">
      <alignment vertical="top" wrapText="1"/>
    </xf>
    <xf numFmtId="0" fontId="75" fillId="0" borderId="11" xfId="0" applyFont="1"/>
    <xf numFmtId="0" fontId="75" fillId="0" borderId="19" xfId="0" applyFont="1" applyBorder="1"/>
    <xf numFmtId="0" fontId="62" fillId="50" borderId="55" xfId="0" applyFont="1" applyFill="1" applyBorder="1" applyAlignment="1">
      <alignment vertical="top" wrapText="1"/>
    </xf>
    <xf numFmtId="0" fontId="62" fillId="50" borderId="56" xfId="0" applyFont="1" applyFill="1" applyBorder="1" applyAlignment="1">
      <alignment vertical="top" wrapText="1"/>
    </xf>
    <xf numFmtId="0" fontId="75" fillId="0" borderId="55" xfId="0" applyFont="1" applyBorder="1"/>
    <xf numFmtId="0" fontId="75" fillId="0" borderId="56" xfId="0" applyFont="1" applyBorder="1"/>
    <xf numFmtId="0" fontId="131" fillId="57" borderId="11" xfId="0" applyFont="1" applyFill="1" applyAlignment="1">
      <alignment horizontal="left" vertical="center" wrapText="1"/>
    </xf>
    <xf numFmtId="0" fontId="131" fillId="57" borderId="110" xfId="0" applyFont="1" applyFill="1" applyBorder="1" applyAlignment="1">
      <alignment horizontal="left" vertical="center" wrapText="1"/>
    </xf>
    <xf numFmtId="0" fontId="76" fillId="49" borderId="33" xfId="0" applyFont="1" applyFill="1" applyBorder="1" applyAlignment="1">
      <alignment horizontal="center" vertical="center" wrapText="1"/>
    </xf>
    <xf numFmtId="0" fontId="76" fillId="49" borderId="21" xfId="0" applyFont="1" applyFill="1" applyBorder="1" applyAlignment="1">
      <alignment horizontal="center" vertical="center" wrapText="1"/>
    </xf>
    <xf numFmtId="0" fontId="76" fillId="49" borderId="22" xfId="0" applyFont="1" applyFill="1" applyBorder="1" applyAlignment="1">
      <alignment horizontal="center" vertical="center" wrapText="1"/>
    </xf>
    <xf numFmtId="0" fontId="81" fillId="53" borderId="63" xfId="0" applyFont="1" applyFill="1" applyBorder="1" applyAlignment="1">
      <alignment horizontal="left" vertical="top" wrapText="1"/>
    </xf>
    <xf numFmtId="0" fontId="62" fillId="53" borderId="40" xfId="0" applyFont="1" applyFill="1" applyBorder="1" applyAlignment="1">
      <alignment vertical="top" wrapText="1"/>
    </xf>
    <xf numFmtId="0" fontId="62" fillId="53" borderId="11" xfId="0" applyFont="1" applyFill="1" applyAlignment="1">
      <alignment vertical="top" wrapText="1"/>
    </xf>
    <xf numFmtId="0" fontId="62" fillId="53" borderId="55" xfId="0" applyFont="1" applyFill="1" applyBorder="1" applyAlignment="1">
      <alignment vertical="top" wrapText="1"/>
    </xf>
    <xf numFmtId="0" fontId="0" fillId="0" borderId="55" xfId="0" applyBorder="1" applyAlignment="1">
      <alignment wrapText="1"/>
    </xf>
    <xf numFmtId="0" fontId="25" fillId="37" borderId="13" xfId="0" applyFont="1" applyFill="1" applyBorder="1" applyAlignment="1">
      <alignment horizontal="center" vertical="top" wrapText="1"/>
    </xf>
    <xf numFmtId="0" fontId="30" fillId="16" borderId="13" xfId="0" applyFont="1" applyFill="1" applyBorder="1" applyAlignment="1">
      <alignment horizontal="left" vertical="center"/>
    </xf>
    <xf numFmtId="0" fontId="30" fillId="16" borderId="13" xfId="0" applyFont="1" applyFill="1" applyBorder="1" applyAlignment="1">
      <alignment horizontal="left"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0" fontId="76" fillId="89"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19" xfId="0" applyBorder="1"/>
    <xf numFmtId="0" fontId="0" fillId="0" borderId="47" xfId="0" applyBorder="1"/>
    <xf numFmtId="0" fontId="0" fillId="0" borderId="21" xfId="0" applyBorder="1"/>
    <xf numFmtId="0" fontId="0" fillId="0" borderId="22" xfId="0" applyBorder="1"/>
    <xf numFmtId="0" fontId="23" fillId="16" borderId="13" xfId="0" applyFont="1" applyFill="1" applyBorder="1" applyAlignment="1">
      <alignment horizontal="left" vertical="center" wrapText="1"/>
    </xf>
    <xf numFmtId="0" fontId="95" fillId="65" borderId="115" xfId="0" applyFont="1" applyFill="1" applyBorder="1" applyAlignment="1">
      <alignment horizontal="center" vertical="center" wrapText="1"/>
    </xf>
    <xf numFmtId="0" fontId="95" fillId="65" borderId="116" xfId="0" applyFont="1" applyFill="1" applyBorder="1" applyAlignment="1">
      <alignment horizontal="center" vertical="center" wrapText="1"/>
    </xf>
    <xf numFmtId="0" fontId="83" fillId="55" borderId="61" xfId="0" applyFont="1" applyFill="1" applyBorder="1" applyAlignment="1">
      <alignment horizontal="left" vertical="top" wrapText="1"/>
    </xf>
    <xf numFmtId="0" fontId="62" fillId="55" borderId="16" xfId="0" applyFont="1" applyFill="1" applyBorder="1" applyAlignment="1">
      <alignment vertical="top" wrapText="1"/>
    </xf>
    <xf numFmtId="0" fontId="75" fillId="0" borderId="16" xfId="0" applyFont="1" applyBorder="1"/>
    <xf numFmtId="0" fontId="62" fillId="55" borderId="11" xfId="0" applyFont="1" applyFill="1" applyAlignment="1">
      <alignment vertical="top" wrapText="1"/>
    </xf>
    <xf numFmtId="0" fontId="62" fillId="55" borderId="21" xfId="0" applyFont="1" applyFill="1" applyBorder="1" applyAlignment="1">
      <alignment vertical="top" wrapText="1"/>
    </xf>
    <xf numFmtId="0" fontId="75" fillId="0" borderId="21" xfId="0" applyFont="1" applyBorder="1"/>
    <xf numFmtId="0" fontId="80" fillId="52" borderId="62" xfId="0" applyFont="1" applyFill="1" applyBorder="1" applyAlignment="1">
      <alignment horizontal="left" vertical="top" wrapText="1"/>
    </xf>
    <xf numFmtId="0" fontId="62" fillId="52" borderId="16" xfId="0" applyFont="1" applyFill="1" applyBorder="1" applyAlignment="1">
      <alignment vertical="top" wrapText="1"/>
    </xf>
    <xf numFmtId="0" fontId="62" fillId="52" borderId="17" xfId="0" applyFont="1" applyFill="1" applyBorder="1" applyAlignment="1">
      <alignment vertical="top" wrapText="1"/>
    </xf>
    <xf numFmtId="0" fontId="75" fillId="0" borderId="17" xfId="0" applyFont="1" applyBorder="1"/>
    <xf numFmtId="0" fontId="62" fillId="52" borderId="11" xfId="0" applyFont="1" applyFill="1" applyAlignment="1">
      <alignment vertical="top" wrapText="1"/>
    </xf>
    <xf numFmtId="0" fontId="62" fillId="52" borderId="19" xfId="0" applyFont="1" applyFill="1" applyBorder="1" applyAlignment="1">
      <alignment vertical="top" wrapText="1"/>
    </xf>
    <xf numFmtId="0" fontId="62" fillId="52" borderId="53" xfId="0" applyFont="1" applyFill="1" applyBorder="1" applyAlignment="1">
      <alignment vertical="top" wrapText="1"/>
    </xf>
    <xf numFmtId="0" fontId="62" fillId="52" borderId="54" xfId="0" applyFont="1" applyFill="1" applyBorder="1" applyAlignment="1">
      <alignment vertical="top" wrapText="1"/>
    </xf>
    <xf numFmtId="0" fontId="75" fillId="0" borderId="53" xfId="0" applyFont="1" applyBorder="1"/>
    <xf numFmtId="0" fontId="75" fillId="0" borderId="54" xfId="0" applyFont="1" applyBorder="1"/>
    <xf numFmtId="0" fontId="29" fillId="16" borderId="13" xfId="0" applyFont="1" applyFill="1" applyBorder="1" applyAlignment="1">
      <alignment horizontal="left" vertical="center" wrapText="1"/>
    </xf>
    <xf numFmtId="9" fontId="85" fillId="59" borderId="73" xfId="0" applyNumberFormat="1" applyFont="1" applyFill="1" applyBorder="1" applyAlignment="1">
      <alignment horizontal="left" vertical="center" wrapText="1"/>
    </xf>
    <xf numFmtId="9" fontId="85" fillId="59" borderId="67" xfId="0" applyNumberFormat="1" applyFont="1" applyFill="1" applyBorder="1" applyAlignment="1">
      <alignment horizontal="left" vertical="center" wrapText="1"/>
    </xf>
    <xf numFmtId="9" fontId="85" fillId="59" borderId="68" xfId="0" applyNumberFormat="1" applyFont="1" applyFill="1" applyBorder="1" applyAlignment="1">
      <alignment horizontal="left" vertical="center" wrapText="1"/>
    </xf>
    <xf numFmtId="0" fontId="89" fillId="61" borderId="26" xfId="0" applyFont="1" applyFill="1" applyBorder="1" applyAlignment="1">
      <alignment horizontal="center" vertical="center" wrapText="1"/>
    </xf>
    <xf numFmtId="0" fontId="89" fillId="61" borderId="11" xfId="0" applyFont="1" applyFill="1" applyAlignment="1">
      <alignment horizontal="center" vertical="center" wrapText="1"/>
    </xf>
    <xf numFmtId="0" fontId="89" fillId="61" borderId="69" xfId="0" applyFont="1" applyFill="1" applyBorder="1" applyAlignment="1">
      <alignment horizontal="center" vertical="center" wrapText="1"/>
    </xf>
    <xf numFmtId="0" fontId="85" fillId="62" borderId="26" xfId="0" applyFont="1" applyFill="1" applyBorder="1" applyAlignment="1">
      <alignment horizontal="center" vertical="center" wrapText="1"/>
    </xf>
    <xf numFmtId="0" fontId="85" fillId="62" borderId="69" xfId="0" applyFont="1" applyFill="1" applyBorder="1" applyAlignment="1">
      <alignment horizontal="center" vertical="center" wrapText="1"/>
    </xf>
    <xf numFmtId="9" fontId="87" fillId="58" borderId="74" xfId="0" applyNumberFormat="1"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30" fillId="72" borderId="107" xfId="0" applyFont="1" applyFill="1" applyBorder="1" applyAlignment="1">
      <alignment horizontal="left" vertical="center"/>
    </xf>
    <xf numFmtId="0" fontId="0" fillId="72" borderId="108" xfId="0" applyFill="1" applyBorder="1"/>
    <xf numFmtId="0" fontId="0" fillId="72" borderId="109" xfId="0" applyFill="1" applyBorder="1"/>
    <xf numFmtId="1" fontId="87" fillId="58" borderId="74" xfId="0" applyNumberFormat="1" applyFont="1" applyFill="1" applyBorder="1" applyAlignment="1">
      <alignment horizontal="center" vertical="center" wrapText="1"/>
    </xf>
    <xf numFmtId="1" fontId="87" fillId="58" borderId="35" xfId="0" applyNumberFormat="1" applyFont="1" applyFill="1" applyBorder="1" applyAlignment="1">
      <alignment horizontal="center" vertical="center" wrapText="1"/>
    </xf>
    <xf numFmtId="0" fontId="92" fillId="15" borderId="29" xfId="0" applyFont="1" applyFill="1" applyBorder="1" applyAlignment="1">
      <alignment horizontal="left" vertical="center" wrapText="1"/>
    </xf>
    <xf numFmtId="0" fontId="93" fillId="0" borderId="16" xfId="0" applyFont="1" applyBorder="1"/>
    <xf numFmtId="0" fontId="93" fillId="0" borderId="17" xfId="0" applyFont="1" applyBorder="1"/>
    <xf numFmtId="0" fontId="93" fillId="0" borderId="18" xfId="0" applyFont="1" applyBorder="1"/>
    <xf numFmtId="0" fontId="93" fillId="0" borderId="0" xfId="0" applyFont="1" applyBorder="1"/>
    <xf numFmtId="0" fontId="93" fillId="0" borderId="19" xfId="0" applyFont="1" applyBorder="1"/>
    <xf numFmtId="0" fontId="93" fillId="0" borderId="20" xfId="0" applyFont="1" applyBorder="1"/>
    <xf numFmtId="0" fontId="93" fillId="0" borderId="21" xfId="0" applyFont="1" applyBorder="1"/>
    <xf numFmtId="0" fontId="93" fillId="0" borderId="22" xfId="0" applyFont="1" applyBorder="1"/>
    <xf numFmtId="0" fontId="60" fillId="37" borderId="13" xfId="0" applyFont="1" applyFill="1" applyBorder="1" applyAlignment="1">
      <alignment horizontal="center" vertical="top" wrapText="1"/>
    </xf>
    <xf numFmtId="49" fontId="77" fillId="47" borderId="10" xfId="0" applyNumberFormat="1" applyFont="1" applyFill="1" applyBorder="1" applyAlignment="1">
      <alignment horizontal="center" vertical="center" wrapText="1"/>
    </xf>
    <xf numFmtId="0" fontId="77" fillId="47"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82" fillId="54" borderId="36" xfId="0" applyFont="1" applyFill="1" applyBorder="1" applyAlignment="1">
      <alignment horizontal="left" vertical="top" wrapText="1"/>
    </xf>
    <xf numFmtId="0" fontId="82" fillId="54" borderId="38" xfId="0" applyFont="1" applyFill="1" applyBorder="1" applyAlignment="1">
      <alignment horizontal="left" vertical="top" wrapText="1"/>
    </xf>
    <xf numFmtId="0" fontId="82" fillId="54" borderId="11" xfId="0" applyFont="1" applyFill="1" applyAlignment="1">
      <alignment horizontal="left" vertical="top" wrapText="1"/>
    </xf>
    <xf numFmtId="0" fontId="82" fillId="54" borderId="19" xfId="0" applyFont="1" applyFill="1" applyBorder="1" applyAlignment="1">
      <alignment horizontal="left" vertical="top" wrapText="1"/>
    </xf>
    <xf numFmtId="0" fontId="82" fillId="54" borderId="21" xfId="0" applyFont="1" applyFill="1" applyBorder="1" applyAlignment="1">
      <alignment horizontal="left" vertical="top" wrapText="1"/>
    </xf>
    <xf numFmtId="0" fontId="82" fillId="54" borderId="22"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20" xfId="0" applyBorder="1"/>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9" fillId="51" borderId="65" xfId="0" applyFont="1" applyFill="1" applyBorder="1" applyAlignment="1">
      <alignment horizontal="left" vertical="top" wrapText="1"/>
    </xf>
    <xf numFmtId="0" fontId="62" fillId="51" borderId="36" xfId="0" applyFont="1" applyFill="1" applyBorder="1" applyAlignment="1">
      <alignment vertical="top" wrapText="1"/>
    </xf>
    <xf numFmtId="0" fontId="75" fillId="0" borderId="36" xfId="0" applyFont="1" applyBorder="1"/>
    <xf numFmtId="0" fontId="62" fillId="51" borderId="11" xfId="0" applyFont="1" applyFill="1" applyAlignment="1">
      <alignment vertical="top" wrapText="1"/>
    </xf>
    <xf numFmtId="0" fontId="62" fillId="51" borderId="57" xfId="0" applyFont="1" applyFill="1" applyBorder="1" applyAlignment="1">
      <alignment vertical="top" wrapText="1"/>
    </xf>
    <xf numFmtId="0" fontId="0" fillId="0" borderId="57" xfId="0" applyBorder="1" applyAlignment="1">
      <alignment wrapText="1"/>
    </xf>
    <xf numFmtId="0" fontId="75"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8" fillId="50" borderId="83" xfId="0" applyFont="1" applyFill="1" applyBorder="1" applyAlignment="1">
      <alignment horizontal="center" vertical="center" wrapText="1"/>
    </xf>
    <xf numFmtId="0" fontId="78" fillId="50" borderId="84" xfId="0" applyFont="1" applyFill="1" applyBorder="1" applyAlignment="1">
      <alignment horizontal="center" vertical="center" wrapText="1"/>
    </xf>
    <xf numFmtId="0" fontId="81" fillId="53" borderId="86"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79" fillId="51" borderId="85" xfId="0" applyFont="1" applyFill="1" applyBorder="1" applyAlignment="1">
      <alignment horizontal="center" vertical="center" wrapText="1"/>
    </xf>
    <xf numFmtId="0" fontId="62" fillId="51" borderId="84" xfId="0" applyFont="1" applyFill="1" applyBorder="1" applyAlignment="1">
      <alignment horizontal="center" vertical="center" wrapText="1"/>
    </xf>
    <xf numFmtId="0" fontId="5" fillId="71" borderId="83" xfId="0" applyFont="1" applyFill="1" applyBorder="1" applyAlignment="1">
      <alignment horizontal="center" vertical="center" wrapText="1"/>
    </xf>
    <xf numFmtId="0" fontId="5" fillId="71" borderId="84" xfId="0" applyFont="1" applyFill="1" applyBorder="1" applyAlignment="1">
      <alignment horizontal="center" vertical="center" wrapText="1"/>
    </xf>
    <xf numFmtId="0" fontId="83" fillId="55" borderId="88" xfId="0" applyFont="1" applyFill="1" applyBorder="1" applyAlignment="1">
      <alignment horizontal="center" vertical="center" wrapText="1"/>
    </xf>
    <xf numFmtId="0" fontId="62" fillId="55" borderId="84" xfId="0" applyFont="1" applyFill="1" applyBorder="1" applyAlignment="1">
      <alignment horizontal="center" vertical="center" wrapText="1"/>
    </xf>
    <xf numFmtId="0" fontId="65" fillId="43" borderId="77" xfId="0" applyFont="1" applyFill="1" applyBorder="1" applyAlignment="1">
      <alignment horizontal="center" vertical="center" wrapText="1"/>
    </xf>
    <xf numFmtId="0" fontId="65" fillId="43" borderId="78" xfId="0" applyFont="1" applyFill="1" applyBorder="1" applyAlignment="1">
      <alignment horizontal="center" vertical="center" wrapText="1"/>
    </xf>
    <xf numFmtId="0" fontId="65" fillId="43" borderId="79" xfId="0" applyFont="1" applyFill="1" applyBorder="1" applyAlignment="1">
      <alignment horizontal="center" vertical="center" wrapText="1"/>
    </xf>
    <xf numFmtId="0" fontId="65" fillId="43" borderId="81" xfId="0" applyFont="1" applyFill="1" applyBorder="1" applyAlignment="1">
      <alignment horizontal="center" vertical="center" wrapText="1"/>
    </xf>
    <xf numFmtId="0" fontId="65" fillId="43" borderId="76" xfId="0" applyFont="1" applyFill="1" applyBorder="1" applyAlignment="1">
      <alignment horizontal="center" vertical="center" wrapText="1"/>
    </xf>
    <xf numFmtId="0" fontId="65" fillId="43" borderId="80" xfId="0" applyFont="1" applyFill="1" applyBorder="1" applyAlignment="1">
      <alignment horizontal="center" vertical="center" wrapText="1"/>
    </xf>
    <xf numFmtId="0" fontId="80" fillId="52" borderId="87"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76" fillId="38" borderId="11" xfId="0" applyFont="1" applyFill="1" applyAlignment="1">
      <alignment horizontal="center" vertical="center" wrapText="1"/>
    </xf>
    <xf numFmtId="0" fontId="65" fillId="43" borderId="117" xfId="0" applyFont="1" applyFill="1" applyBorder="1" applyAlignment="1">
      <alignment horizontal="center" vertical="center" wrapText="1"/>
    </xf>
    <xf numFmtId="0" fontId="65" fillId="43" borderId="118" xfId="0" applyFont="1" applyFill="1" applyBorder="1" applyAlignment="1">
      <alignment horizontal="center" vertical="center" wrapText="1"/>
    </xf>
    <xf numFmtId="0" fontId="65" fillId="43" borderId="119" xfId="0" applyFont="1" applyFill="1" applyBorder="1" applyAlignment="1">
      <alignment horizontal="center" vertical="center" wrapText="1"/>
    </xf>
    <xf numFmtId="0" fontId="65" fillId="43" borderId="120" xfId="0" applyFont="1" applyFill="1" applyBorder="1" applyAlignment="1">
      <alignment horizontal="center" vertical="center" wrapText="1"/>
    </xf>
    <xf numFmtId="0" fontId="65" fillId="43" borderId="121" xfId="0" applyFont="1" applyFill="1" applyBorder="1" applyAlignment="1">
      <alignment horizontal="center" vertical="center" wrapText="1"/>
    </xf>
    <xf numFmtId="0" fontId="5" fillId="71" borderId="122" xfId="0" applyFont="1" applyFill="1" applyBorder="1" applyAlignment="1">
      <alignment horizontal="center" vertical="center" wrapText="1"/>
    </xf>
    <xf numFmtId="0" fontId="5" fillId="71" borderId="124" xfId="0" applyFont="1" applyFill="1" applyBorder="1" applyAlignment="1">
      <alignment horizontal="center" vertical="center" wrapText="1"/>
    </xf>
    <xf numFmtId="0" fontId="79" fillId="51" borderId="123" xfId="0" applyFont="1" applyFill="1" applyBorder="1" applyAlignment="1">
      <alignment horizontal="center" vertical="center" wrapText="1"/>
    </xf>
    <xf numFmtId="0" fontId="62" fillId="51" borderId="124" xfId="0" applyFont="1" applyFill="1" applyBorder="1" applyAlignment="1">
      <alignment horizontal="center" vertical="center" wrapText="1"/>
    </xf>
    <xf numFmtId="0" fontId="60" fillId="38" borderId="13" xfId="0" applyFont="1" applyFill="1" applyBorder="1" applyAlignment="1">
      <alignment horizontal="center" vertical="top" wrapText="1"/>
    </xf>
    <xf numFmtId="0" fontId="78" fillId="50" borderId="122" xfId="0" applyFont="1" applyFill="1" applyBorder="1" applyAlignment="1">
      <alignment horizontal="center" vertical="center" wrapText="1"/>
    </xf>
    <xf numFmtId="0" fontId="78" fillId="50" borderId="124" xfId="0" applyFont="1" applyFill="1" applyBorder="1" applyAlignment="1">
      <alignment horizontal="center" vertical="center" wrapText="1"/>
    </xf>
    <xf numFmtId="0" fontId="81" fillId="53" borderId="125"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0" fillId="52" borderId="126"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83" fillId="55" borderId="127" xfId="0" applyFont="1" applyFill="1" applyBorder="1" applyAlignment="1">
      <alignment horizontal="center" vertical="center" wrapText="1"/>
    </xf>
    <xf numFmtId="0" fontId="62" fillId="55" borderId="124" xfId="0" applyFont="1" applyFill="1" applyBorder="1" applyAlignment="1">
      <alignment horizontal="center" vertical="center" wrapText="1"/>
    </xf>
    <xf numFmtId="0" fontId="95" fillId="63" borderId="115" xfId="0" applyFont="1" applyFill="1" applyBorder="1" applyAlignment="1">
      <alignment horizontal="center" vertical="center" wrapText="1"/>
    </xf>
    <xf numFmtId="0" fontId="95" fillId="63" borderId="116" xfId="0" applyFont="1" applyFill="1" applyBorder="1" applyAlignment="1">
      <alignment horizontal="center" vertical="center" wrapText="1"/>
    </xf>
    <xf numFmtId="0" fontId="25" fillId="38" borderId="13" xfId="0" applyFont="1" applyFill="1" applyBorder="1" applyAlignment="1">
      <alignment horizontal="center" vertical="top" wrapText="1"/>
    </xf>
    <xf numFmtId="0" fontId="93" fillId="0" borderId="11" xfId="0" applyFont="1"/>
    <xf numFmtId="0" fontId="84" fillId="56" borderId="11" xfId="0" applyFont="1" applyFill="1" applyAlignment="1">
      <alignment horizontal="center" vertical="center" wrapText="1"/>
    </xf>
    <xf numFmtId="0" fontId="30" fillId="72" borderId="13" xfId="0" applyFont="1" applyFill="1" applyBorder="1" applyAlignment="1">
      <alignment horizontal="left" vertical="center"/>
    </xf>
    <xf numFmtId="0" fontId="0" fillId="72" borderId="23" xfId="0" applyFill="1" applyBorder="1"/>
    <xf numFmtId="0" fontId="0" fillId="72" borderId="24" xfId="0" applyFill="1" applyBorder="1"/>
    <xf numFmtId="0" fontId="130" fillId="48" borderId="75" xfId="1" applyFont="1" applyFill="1" applyBorder="1" applyAlignment="1">
      <alignment horizontal="center" vertical="center" wrapText="1"/>
    </xf>
    <xf numFmtId="0" fontId="130" fillId="48" borderId="23" xfId="1" applyFont="1" applyFill="1" applyBorder="1" applyAlignment="1">
      <alignment horizontal="center" vertical="center" wrapText="1"/>
    </xf>
    <xf numFmtId="0" fontId="130" fillId="48" borderId="24" xfId="1" applyFont="1" applyFill="1" applyBorder="1" applyAlignment="1">
      <alignment horizontal="center" vertical="center" wrapText="1"/>
    </xf>
    <xf numFmtId="0" fontId="76" fillId="49" borderId="89" xfId="0" applyFont="1" applyFill="1" applyBorder="1" applyAlignment="1">
      <alignment horizontal="center" vertical="center" wrapText="1"/>
    </xf>
    <xf numFmtId="0" fontId="76" fillId="49" borderId="31" xfId="0" applyFont="1" applyFill="1" applyBorder="1" applyAlignment="1">
      <alignment horizontal="center" vertical="center" wrapText="1"/>
    </xf>
    <xf numFmtId="0" fontId="76" fillId="49" borderId="32" xfId="0" applyFont="1" applyFill="1" applyBorder="1" applyAlignment="1">
      <alignment horizontal="center" vertical="center" wrapText="1"/>
    </xf>
    <xf numFmtId="0" fontId="76" fillId="49" borderId="90" xfId="0" applyFont="1" applyFill="1" applyBorder="1" applyAlignment="1">
      <alignment horizontal="center" vertical="center" wrapText="1"/>
    </xf>
    <xf numFmtId="0" fontId="76" fillId="49" borderId="91" xfId="0" applyFont="1" applyFill="1" applyBorder="1" applyAlignment="1">
      <alignment horizontal="center" vertical="center" wrapText="1"/>
    </xf>
    <xf numFmtId="0" fontId="76" fillId="49" borderId="92" xfId="0" applyFont="1" applyFill="1" applyBorder="1" applyAlignment="1">
      <alignment horizontal="center" vertical="center" wrapText="1"/>
    </xf>
    <xf numFmtId="0" fontId="76" fillId="82" borderId="75" xfId="0" applyFont="1" applyFill="1" applyBorder="1" applyAlignment="1">
      <alignment horizontal="center" vertical="center" wrapText="1"/>
    </xf>
    <xf numFmtId="0" fontId="76" fillId="82" borderId="23" xfId="0" applyFont="1" applyFill="1" applyBorder="1" applyAlignment="1">
      <alignment horizontal="center" vertical="center" wrapText="1"/>
    </xf>
    <xf numFmtId="0" fontId="76" fillId="82" borderId="24" xfId="0" applyFont="1" applyFill="1" applyBorder="1" applyAlignment="1">
      <alignment horizontal="center" vertical="center" wrapText="1"/>
    </xf>
    <xf numFmtId="0" fontId="128" fillId="39" borderId="106" xfId="0" applyFont="1" applyFill="1" applyBorder="1" applyAlignment="1">
      <alignment horizontal="center" vertical="top" wrapText="1"/>
    </xf>
    <xf numFmtId="0" fontId="128" fillId="39" borderId="4" xfId="0" applyFont="1" applyFill="1" applyBorder="1" applyAlignment="1">
      <alignment horizontal="center" vertical="top" wrapText="1"/>
    </xf>
    <xf numFmtId="0" fontId="128" fillId="39" borderId="103" xfId="0" applyFont="1" applyFill="1" applyBorder="1" applyAlignment="1">
      <alignment horizontal="center" vertical="top" wrapText="1"/>
    </xf>
    <xf numFmtId="0" fontId="128" fillId="39" borderId="11" xfId="0" applyFont="1" applyFill="1" applyAlignment="1">
      <alignment horizontal="center" vertical="top" wrapText="1"/>
    </xf>
    <xf numFmtId="0" fontId="121" fillId="65" borderId="11" xfId="0" applyFont="1" applyFill="1" applyAlignment="1">
      <alignment horizontal="center" vertical="center" wrapText="1"/>
    </xf>
    <xf numFmtId="0" fontId="121" fillId="77" borderId="11" xfId="0" applyFont="1" applyFill="1" applyAlignment="1">
      <alignment horizontal="center" vertical="center" wrapText="1"/>
    </xf>
    <xf numFmtId="0" fontId="122" fillId="82" borderId="11" xfId="0" applyFont="1" applyFill="1" applyAlignment="1">
      <alignment horizontal="center" vertical="center" wrapText="1"/>
    </xf>
    <xf numFmtId="0" fontId="75" fillId="82" borderId="11" xfId="0" applyFont="1" applyFill="1"/>
    <xf numFmtId="0" fontId="124" fillId="83" borderId="11" xfId="0" applyFont="1" applyFill="1" applyAlignment="1">
      <alignment horizontal="center" vertical="center" wrapText="1"/>
    </xf>
    <xf numFmtId="0" fontId="124" fillId="83" borderId="106" xfId="0" applyFont="1" applyFill="1" applyBorder="1" applyAlignment="1">
      <alignment horizontal="center" vertical="center" wrapText="1"/>
    </xf>
    <xf numFmtId="0" fontId="124" fillId="83" borderId="11" xfId="0" applyFont="1" applyFill="1" applyAlignment="1">
      <alignment horizontal="right" vertical="center" wrapText="1"/>
    </xf>
    <xf numFmtId="0" fontId="124" fillId="83" borderId="106" xfId="0" applyFont="1" applyFill="1" applyBorder="1" applyAlignment="1">
      <alignment horizontal="right" vertical="center" wrapText="1"/>
    </xf>
    <xf numFmtId="0" fontId="128" fillId="39" borderId="103" xfId="0" applyFont="1" applyFill="1" applyBorder="1" applyAlignment="1">
      <alignment vertical="top" wrapText="1"/>
    </xf>
    <xf numFmtId="0" fontId="128" fillId="39" borderId="11" xfId="0" applyFont="1" applyFill="1" applyAlignment="1">
      <alignment vertical="top" wrapText="1"/>
    </xf>
    <xf numFmtId="0" fontId="128" fillId="39" borderId="104" xfId="0" applyFont="1" applyFill="1" applyBorder="1" applyAlignment="1">
      <alignment vertical="top" wrapText="1"/>
    </xf>
    <xf numFmtId="0" fontId="75" fillId="0" borderId="104" xfId="0" applyFont="1" applyBorder="1" applyAlignment="1">
      <alignment horizontal="left" vertical="center" wrapText="1"/>
    </xf>
    <xf numFmtId="0" fontId="122" fillId="65" borderId="11" xfId="0" applyFont="1" applyFill="1" applyAlignment="1">
      <alignment horizontal="center" vertical="center" wrapText="1"/>
    </xf>
    <xf numFmtId="0" fontId="75" fillId="65" borderId="11" xfId="0" applyFont="1" applyFill="1"/>
    <xf numFmtId="0" fontId="0" fillId="65" borderId="11" xfId="0" applyFill="1"/>
    <xf numFmtId="0" fontId="123" fillId="0" borderId="11" xfId="0" applyFont="1" applyAlignment="1">
      <alignment horizontal="left" vertical="top" wrapText="1"/>
    </xf>
    <xf numFmtId="0" fontId="121" fillId="82" borderId="11" xfId="0" applyFont="1" applyFill="1" applyAlignment="1">
      <alignment horizontal="center" vertical="center" wrapText="1"/>
    </xf>
    <xf numFmtId="0" fontId="0" fillId="82" borderId="11" xfId="0" applyFill="1"/>
    <xf numFmtId="0" fontId="149" fillId="96" borderId="11" xfId="0" applyFont="1" applyFill="1" applyAlignment="1">
      <alignment horizontal="center" vertical="center" wrapText="1"/>
    </xf>
    <xf numFmtId="0" fontId="117" fillId="9" borderId="11" xfId="0" applyFont="1" applyFill="1" applyAlignment="1">
      <alignment horizontal="right" vertical="center"/>
    </xf>
    <xf numFmtId="0" fontId="114" fillId="9" borderId="11" xfId="0" applyFont="1" applyFill="1" applyAlignment="1">
      <alignment horizontal="left" vertical="center"/>
    </xf>
    <xf numFmtId="0" fontId="115" fillId="9" borderId="11" xfId="0" applyFont="1" applyFill="1" applyAlignment="1">
      <alignment horizontal="center" vertical="center"/>
    </xf>
    <xf numFmtId="0" fontId="112" fillId="9" borderId="11" xfId="0" applyFont="1" applyFill="1" applyAlignment="1">
      <alignment horizontal="left" vertical="center"/>
    </xf>
    <xf numFmtId="0" fontId="118" fillId="9" borderId="11" xfId="0" applyFont="1" applyFill="1" applyAlignment="1">
      <alignment horizontal="right" vertical="center"/>
    </xf>
    <xf numFmtId="0" fontId="110" fillId="75" borderId="11" xfId="0" applyFont="1" applyFill="1" applyAlignment="1">
      <alignment horizontal="center" vertical="center" wrapText="1"/>
    </xf>
    <xf numFmtId="0" fontId="113" fillId="9" borderId="11" xfId="0" applyFont="1" applyFill="1" applyAlignment="1">
      <alignment horizontal="right" vertical="center"/>
    </xf>
    <xf numFmtId="0" fontId="119" fillId="76" borderId="11" xfId="0" applyFont="1" applyFill="1" applyAlignment="1">
      <alignment horizontal="center" vertical="center" wrapText="1"/>
    </xf>
    <xf numFmtId="0" fontId="120" fillId="9" borderId="11" xfId="0" applyFont="1" applyFill="1" applyAlignment="1">
      <alignment horizontal="right" vertical="center"/>
    </xf>
    <xf numFmtId="9" fontId="151" fillId="69" borderId="11" xfId="0" applyNumberFormat="1" applyFont="1" applyFill="1" applyAlignment="1">
      <alignment horizontal="center" vertical="center"/>
    </xf>
    <xf numFmtId="0" fontId="102" fillId="74" borderId="11" xfId="0" applyFont="1" applyFill="1" applyAlignment="1">
      <alignment horizontal="center" vertical="center"/>
    </xf>
    <xf numFmtId="0" fontId="96" fillId="9" borderId="11" xfId="0" applyFont="1" applyFill="1" applyAlignment="1">
      <alignment horizontal="center" vertical="center" wrapText="1"/>
    </xf>
    <xf numFmtId="0" fontId="0" fillId="9" borderId="11" xfId="0" applyFill="1"/>
    <xf numFmtId="0" fontId="97" fillId="9" borderId="11" xfId="0" applyFont="1" applyFill="1" applyAlignment="1">
      <alignment horizontal="center" vertical="center"/>
    </xf>
    <xf numFmtId="167" fontId="98" fillId="9" borderId="11" xfId="0" applyNumberFormat="1" applyFont="1" applyFill="1" applyAlignment="1">
      <alignment horizontal="right" vertical="center"/>
    </xf>
    <xf numFmtId="0" fontId="99" fillId="9" borderId="11" xfId="0" applyFont="1" applyFill="1" applyAlignment="1">
      <alignment horizontal="center" vertical="center"/>
    </xf>
    <xf numFmtId="0" fontId="100" fillId="9" borderId="11" xfId="0" applyFont="1" applyFill="1" applyAlignment="1">
      <alignment horizontal="right" vertical="center"/>
    </xf>
    <xf numFmtId="0" fontId="101" fillId="9" borderId="11" xfId="0" applyFont="1" applyFill="1" applyAlignment="1">
      <alignment horizontal="center" vertical="center"/>
    </xf>
    <xf numFmtId="0" fontId="108" fillId="9" borderId="11" xfId="0" applyFont="1" applyFill="1" applyAlignment="1">
      <alignment horizontal="center" vertical="center"/>
    </xf>
    <xf numFmtId="9" fontId="103" fillId="9" borderId="11" xfId="0" applyNumberFormat="1" applyFont="1" applyFill="1" applyAlignment="1">
      <alignment horizontal="center" vertical="center"/>
    </xf>
    <xf numFmtId="1" fontId="104" fillId="9" borderId="11" xfId="0" applyNumberFormat="1" applyFont="1" applyFill="1" applyAlignment="1">
      <alignment horizontal="center" vertical="center"/>
    </xf>
    <xf numFmtId="1" fontId="103" fillId="9" borderId="11" xfId="0" applyNumberFormat="1" applyFont="1" applyFill="1" applyAlignment="1">
      <alignment horizontal="center" vertical="center"/>
    </xf>
    <xf numFmtId="1" fontId="105"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0" fontId="109" fillId="74" borderId="11" xfId="0" applyFont="1" applyFill="1" applyAlignment="1">
      <alignment horizontal="center" vertical="center"/>
    </xf>
    <xf numFmtId="0" fontId="153" fillId="9" borderId="132" xfId="0" applyFont="1" applyFill="1" applyBorder="1" applyAlignment="1">
      <alignment horizontal="center" vertical="center"/>
    </xf>
    <xf numFmtId="0" fontId="153" fillId="9" borderId="133" xfId="0" applyFont="1" applyFill="1" applyBorder="1" applyAlignment="1">
      <alignment horizontal="center" vertical="center"/>
    </xf>
    <xf numFmtId="0" fontId="153" fillId="9" borderId="134" xfId="0" applyFont="1" applyFill="1" applyBorder="1" applyAlignment="1">
      <alignment horizontal="center" vertical="center"/>
    </xf>
    <xf numFmtId="0" fontId="153" fillId="9" borderId="135" xfId="0" applyFont="1" applyFill="1" applyBorder="1" applyAlignment="1">
      <alignment horizontal="center" vertical="center"/>
    </xf>
    <xf numFmtId="0" fontId="153" fillId="9" borderId="11" xfId="0" applyFont="1" applyFill="1" applyAlignment="1">
      <alignment horizontal="center" vertical="center"/>
    </xf>
    <xf numFmtId="0" fontId="153" fillId="9" borderId="136" xfId="0" applyFont="1" applyFill="1" applyBorder="1" applyAlignment="1">
      <alignment horizontal="center" vertical="center"/>
    </xf>
    <xf numFmtId="0" fontId="153" fillId="9" borderId="137" xfId="0" applyFont="1" applyFill="1" applyBorder="1" applyAlignment="1">
      <alignment horizontal="center" vertical="center"/>
    </xf>
    <xf numFmtId="0" fontId="153" fillId="9" borderId="131" xfId="0" applyFont="1" applyFill="1" applyBorder="1" applyAlignment="1">
      <alignment horizontal="center" vertical="center"/>
    </xf>
    <xf numFmtId="0" fontId="153" fillId="9" borderId="138" xfId="0" applyFont="1" applyFill="1" applyBorder="1" applyAlignment="1">
      <alignment horizontal="center" vertical="center"/>
    </xf>
    <xf numFmtId="0" fontId="75" fillId="0" borderId="106" xfId="0" applyFont="1" applyBorder="1" applyAlignment="1">
      <alignment horizontal="left" vertical="center" wrapText="1"/>
    </xf>
    <xf numFmtId="0" fontId="126" fillId="84" borderId="106" xfId="0" applyFont="1" applyFill="1" applyBorder="1" applyAlignment="1">
      <alignment horizontal="center" vertical="center" wrapText="1"/>
    </xf>
    <xf numFmtId="0" fontId="75" fillId="0" borderId="4" xfId="0" applyFont="1" applyBorder="1" applyAlignment="1">
      <alignment horizontal="left" vertical="center" wrapText="1"/>
    </xf>
    <xf numFmtId="0" fontId="129" fillId="9" borderId="11" xfId="0" applyFont="1" applyFill="1" applyAlignment="1">
      <alignment horizontal="left" vertical="center"/>
    </xf>
    <xf numFmtId="0" fontId="91" fillId="0" borderId="11" xfId="0" applyFont="1"/>
    <xf numFmtId="0" fontId="55" fillId="0" borderId="11" xfId="1"/>
    <xf numFmtId="0" fontId="100" fillId="9" borderId="11" xfId="0" applyFont="1" applyFill="1" applyAlignment="1">
      <alignment horizontal="left" vertical="top" wrapText="1"/>
    </xf>
    <xf numFmtId="0" fontId="154" fillId="74" borderId="11" xfId="0" applyFont="1" applyFill="1" applyAlignment="1">
      <alignment horizontal="center" vertical="center"/>
    </xf>
    <xf numFmtId="1" fontId="150" fillId="69" borderId="11" xfId="0" applyNumberFormat="1" applyFont="1" applyFill="1" applyAlignment="1">
      <alignment horizontal="center" vertical="center" wrapText="1"/>
    </xf>
    <xf numFmtId="0" fontId="150" fillId="69" borderId="11" xfId="0" applyFont="1" applyFill="1" applyAlignment="1">
      <alignment horizontal="center" vertical="center" wrapText="1"/>
    </xf>
    <xf numFmtId="0" fontId="152" fillId="69" borderId="11" xfId="0" applyFont="1" applyFill="1" applyAlignment="1">
      <alignment horizontal="center" vertical="center" wrapText="1"/>
    </xf>
    <xf numFmtId="0" fontId="153" fillId="9" borderId="11" xfId="0" applyFont="1" applyFill="1" applyAlignment="1">
      <alignment horizontal="center" vertical="center" wrapText="1"/>
    </xf>
    <xf numFmtId="9" fontId="155" fillId="9" borderId="11" xfId="0" applyNumberFormat="1" applyFont="1" applyFill="1" applyAlignment="1">
      <alignment horizontal="center" vertical="center"/>
    </xf>
    <xf numFmtId="9" fontId="156" fillId="9" borderId="11" xfId="0" applyNumberFormat="1" applyFont="1" applyFill="1" applyAlignment="1">
      <alignment horizontal="center" vertical="center" wrapText="1"/>
    </xf>
    <xf numFmtId="0" fontId="124" fillId="83" borderId="11" xfId="0" applyFont="1" applyFill="1" applyAlignment="1">
      <alignment horizontal="center" wrapText="1"/>
    </xf>
    <xf numFmtId="0" fontId="125" fillId="84" borderId="11" xfId="0" applyFont="1" applyFill="1" applyAlignment="1">
      <alignment horizontal="center" wrapText="1"/>
    </xf>
    <xf numFmtId="0" fontId="128" fillId="39" borderId="11" xfId="0" applyFont="1" applyFill="1" applyAlignment="1">
      <alignment horizontal="left" vertical="top" wrapText="1"/>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2" fillId="90" borderId="11" xfId="0" applyFont="1" applyFill="1"/>
    <xf numFmtId="0" fontId="167" fillId="90"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38" fillId="25" borderId="11" xfId="0" applyFont="1" applyFill="1" applyAlignment="1">
      <alignment horizontal="center" vertical="center" wrapText="1"/>
    </xf>
    <xf numFmtId="0" fontId="2" fillId="0" borderId="0" xfId="0" applyFont="1" applyBorder="1"/>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160" fillId="107" borderId="11" xfId="0" applyFont="1" applyFill="1" applyAlignment="1">
      <alignment horizontal="center" vertical="top" wrapText="1"/>
    </xf>
    <xf numFmtId="0" fontId="126" fillId="85" borderId="11" xfId="0" applyFont="1" applyFill="1" applyAlignment="1">
      <alignment horizontal="left" vertical="top" wrapText="1"/>
    </xf>
    <xf numFmtId="168" fontId="126" fillId="85" borderId="11" xfId="0" applyNumberFormat="1" applyFont="1" applyFill="1" applyAlignment="1">
      <alignment horizontal="left" vertical="top" wrapText="1"/>
    </xf>
    <xf numFmtId="0" fontId="124" fillId="106" borderId="11" xfId="0" applyFont="1" applyFill="1" applyAlignment="1">
      <alignment horizontal="left" vertical="top" wrapText="1"/>
    </xf>
    <xf numFmtId="0" fontId="159" fillId="107" borderId="11" xfId="0" applyFont="1" applyFill="1" applyAlignment="1">
      <alignment vertical="top" wrapText="1"/>
    </xf>
    <xf numFmtId="0" fontId="126" fillId="85" borderId="11" xfId="0" applyFont="1" applyFill="1" applyAlignment="1">
      <alignment horizontal="left" vertical="center" wrapText="1"/>
    </xf>
    <xf numFmtId="9" fontId="126" fillId="85" borderId="11" xfId="0" applyNumberFormat="1" applyFont="1" applyFill="1" applyAlignment="1">
      <alignment horizontal="left" vertical="top" wrapText="1"/>
    </xf>
    <xf numFmtId="9" fontId="160" fillId="107" borderId="11" xfId="0" applyNumberFormat="1" applyFont="1" applyFill="1" applyAlignment="1">
      <alignment horizontal="center" vertical="top" wrapText="1"/>
    </xf>
    <xf numFmtId="0" fontId="0" fillId="0" borderId="11" xfId="0" applyAlignment="1">
      <alignment vertical="top" wrapText="1"/>
    </xf>
    <xf numFmtId="168" fontId="159" fillId="107" borderId="11" xfId="0" applyNumberFormat="1" applyFont="1" applyFill="1" applyAlignment="1">
      <alignment vertical="top" wrapText="1"/>
    </xf>
    <xf numFmtId="9" fontId="126" fillId="85" borderId="11" xfId="0" applyNumberFormat="1" applyFont="1" applyFill="1" applyAlignment="1">
      <alignment horizontal="left" vertical="center" wrapText="1"/>
    </xf>
    <xf numFmtId="168" fontId="126" fillId="85" borderId="11" xfId="0" applyNumberFormat="1" applyFont="1" applyFill="1" applyAlignment="1">
      <alignment horizontal="left" vertical="center" wrapText="1"/>
    </xf>
    <xf numFmtId="0" fontId="162" fillId="106" borderId="11" xfId="0" applyFont="1" applyFill="1" applyAlignment="1">
      <alignment horizontal="left" vertical="center"/>
    </xf>
    <xf numFmtId="0" fontId="163" fillId="107" borderId="11" xfId="0" applyFont="1" applyFill="1" applyAlignment="1">
      <alignment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15" fillId="7" borderId="11" xfId="0" applyFont="1" applyFill="1" applyAlignment="1">
      <alignment horizontal="center" vertical="center" wrapText="1"/>
    </xf>
    <xf numFmtId="0" fontId="16" fillId="92" borderId="11" xfId="0" applyFont="1" applyFill="1"/>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2" fillId="44" borderId="11" xfId="0" applyFont="1" applyFill="1" applyAlignment="1">
      <alignment wrapText="1"/>
    </xf>
    <xf numFmtId="0" fontId="51" fillId="45" borderId="11" xfId="0" applyFont="1" applyFill="1" applyAlignment="1">
      <alignment horizontal="center"/>
    </xf>
    <xf numFmtId="0" fontId="71" fillId="43" borderId="11" xfId="0" applyFont="1" applyFill="1" applyAlignment="1">
      <alignment horizontal="center"/>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42">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color rgb="FF9C6500"/>
      </font>
      <fill>
        <patternFill patternType="solid">
          <fgColor rgb="FFFFF2CC"/>
        </patternFill>
      </fill>
    </dxf>
    <dxf>
      <font>
        <b/>
        <color rgb="FF006100"/>
      </font>
      <fill>
        <patternFill patternType="solid">
          <fgColor rgb="FFE2F0D9"/>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E2F0D9"/>
        </patternFill>
      </fill>
    </dxf>
    <dxf>
      <fill>
        <patternFill>
          <bgColor rgb="FFFFF2CC"/>
        </patternFill>
      </fill>
    </dxf>
    <dxf>
      <fill>
        <patternFill>
          <bgColor rgb="FFF4CC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3F6F8"/>
        </patternFill>
      </fill>
    </dxf>
    <dxf>
      <fill>
        <patternFill>
          <bgColor rgb="FFE2F0D9"/>
        </patternFill>
      </fill>
    </dxf>
    <dxf>
      <fill>
        <patternFill>
          <bgColor rgb="FFFFF2CC"/>
        </patternFill>
      </fill>
    </dxf>
    <dxf>
      <font>
        <b/>
        <color rgb="FF006100"/>
      </font>
      <fill>
        <patternFill patternType="solid">
          <fgColor rgb="FFE2F0D9"/>
        </patternFill>
      </fill>
    </dxf>
    <dxf>
      <font>
        <b/>
        <color rgb="FF9C0006"/>
      </font>
      <fill>
        <patternFill patternType="solid">
          <fgColor rgb="FFF4CCCC"/>
        </patternFill>
      </fill>
    </dxf>
    <dxf>
      <font>
        <color rgb="FF9C6500"/>
      </font>
      <fill>
        <patternFill patternType="solid">
          <fgColor rgb="FFFFF2CC"/>
        </patternFill>
      </fill>
    </dxf>
    <dxf>
      <fill>
        <patternFill>
          <bgColor rgb="FFE2F0D9"/>
        </patternFill>
      </fill>
    </dxf>
    <dxf>
      <fill>
        <patternFill>
          <bgColor rgb="FFFFF2CC"/>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E2F0D9"/>
        </patternFill>
      </fill>
    </dxf>
    <dxf>
      <fill>
        <patternFill>
          <bgColor rgb="FFF3F6F8"/>
        </patternFill>
      </fill>
    </dxf>
    <dxf>
      <fill>
        <patternFill>
          <bgColor rgb="FFFFF2CC"/>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ill>
        <patternFill>
          <bgColor rgb="FFF3F6F8"/>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E2F0D9"/>
        </patternFill>
      </fill>
    </dxf>
    <dxf>
      <fill>
        <patternFill>
          <bgColor rgb="FFFFF2CC"/>
        </patternFill>
      </fill>
    </dxf>
    <dxf>
      <fill>
        <patternFill>
          <bgColor rgb="FFF3F6F8"/>
        </patternFill>
      </fill>
    </dxf>
    <dxf>
      <fill>
        <patternFill>
          <bgColor rgb="FFF4CC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2E7D32"/>
        </patternFill>
      </fill>
    </dxf>
    <dxf>
      <font>
        <b/>
        <color rgb="FFFFFFFF"/>
      </font>
      <fill>
        <patternFill patternType="solid">
          <bgColor rgb="FFB8860B"/>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color rgb="FF9C6500"/>
      </font>
      <fill>
        <patternFill patternType="solid">
          <fgColor rgb="FFFFF2CC"/>
        </patternFill>
      </fill>
    </dxf>
    <dxf>
      <font>
        <b/>
        <color rgb="FFC65911"/>
      </font>
      <fill>
        <patternFill patternType="solid">
          <fgColor rgb="FFFCE4D6"/>
        </patternFill>
      </fill>
    </dxf>
    <dxf>
      <font>
        <b/>
        <color rgb="FF006100"/>
      </font>
      <fill>
        <patternFill patternType="solid">
          <fgColor rgb="FFE2F0D9"/>
        </patternFill>
      </fill>
    </dxf>
    <dxf>
      <fill>
        <patternFill>
          <bgColor rgb="FFE2F0D9"/>
        </patternFill>
      </fill>
    </dxf>
    <dxf>
      <fill>
        <patternFill>
          <bgColor rgb="FFFFF2CC"/>
        </patternFill>
      </fill>
    </dxf>
    <dxf>
      <fill>
        <patternFill>
          <bgColor rgb="FFF4CCCC"/>
        </patternFill>
      </fill>
    </dxf>
    <dxf>
      <fill>
        <patternFill>
          <bgColor rgb="FFF3F6F8"/>
        </patternFill>
      </fill>
    </dxf>
    <dxf>
      <fill>
        <patternFill>
          <bgColor rgb="FFF4CCCC"/>
        </patternFill>
      </fill>
    </dxf>
    <dxf>
      <fill>
        <patternFill>
          <bgColor rgb="FFE2F0D9"/>
        </patternFill>
      </fill>
    </dxf>
    <dxf>
      <fill>
        <patternFill>
          <bgColor rgb="FFFFF2CC"/>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4CCCC"/>
        </patternFill>
      </fill>
    </dxf>
    <dxf>
      <fill>
        <patternFill>
          <bgColor rgb="FFF3F6F8"/>
        </patternFill>
      </fill>
    </dxf>
    <dxf>
      <fill>
        <patternFill>
          <bgColor rgb="FFFFF2CC"/>
        </patternFill>
      </fill>
    </dxf>
    <dxf>
      <fill>
        <patternFill>
          <bgColor rgb="FFE2F0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6B7280"/>
        </patternFill>
      </fill>
    </dxf>
    <dxf>
      <font>
        <b/>
        <color rgb="FFFFFFFF"/>
      </font>
      <fill>
        <patternFill patternType="solid">
          <bgColor rgb="FFB8860B"/>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E2F0D9"/>
        </patternFill>
      </fill>
    </dxf>
    <dxf>
      <fill>
        <patternFill>
          <b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C00000"/>
      </font>
      <fill>
        <patternFill>
          <bgColor rgb="FFFCE4D6"/>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patternType="solid">
          <bgColor rgb="FFE2F0D9"/>
        </patternFill>
      </fill>
    </dxf>
    <dxf>
      <font>
        <b/>
        <color rgb="FF548235"/>
      </font>
      <fill>
        <patternFill>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b/>
        <color rgb="FFC00000"/>
      </font>
      <fill>
        <patternFill>
          <bgColor rgb="FFFCE4D6"/>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006100"/>
      </font>
      <fill>
        <patternFill patternType="solid">
          <fgColor rgb="FFE2F0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C65911"/>
      </font>
      <fill>
        <patternFill patternType="solid">
          <fgColor rgb="FFFCE4D6"/>
        </patternFill>
      </fill>
    </dxf>
    <dxf>
      <font>
        <b/>
        <color rgb="FF9C0006"/>
      </font>
      <fill>
        <patternFill patternType="solid">
          <fgColor rgb="FFF4CCCC"/>
        </patternFill>
      </fill>
    </dxf>
    <dxf>
      <font>
        <color rgb="FF666666"/>
      </font>
      <fill>
        <patternFill patternType="solid">
          <fgColor rgb="FFD9D9D9"/>
        </patternFill>
      </fill>
    </dxf>
    <dxf>
      <font>
        <b/>
        <color rgb="FF006100"/>
      </font>
      <fill>
        <patternFill patternType="solid">
          <fgColor rgb="FFE2F0D9"/>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28C00"/>
      </font>
    </dxf>
    <dxf>
      <font>
        <b/>
        <color rgb="FF2E8B3C"/>
      </font>
    </dxf>
    <dxf>
      <font>
        <b/>
        <color rgb="FFF28C00"/>
      </font>
    </dxf>
    <dxf>
      <font>
        <b/>
        <color rgb="FF2E8B3C"/>
      </font>
    </dxf>
    <dxf>
      <font>
        <b/>
        <color rgb="FFF28C00"/>
      </font>
    </dxf>
    <dxf>
      <font>
        <b/>
        <color rgb="FF2E8B3C"/>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sz val="9"/>
        <color rgb="FFFFFFFF"/>
      </font>
      <fill>
        <patternFill>
          <bgColor rgb="FF2E8B3C"/>
        </patternFill>
      </fill>
    </dxf>
    <dxf>
      <font>
        <b/>
        <sz val="9"/>
        <color rgb="FF000000"/>
      </font>
      <fill>
        <patternFill>
          <bgColor rgb="FFD9FF00"/>
        </patternFill>
      </fill>
    </dxf>
    <dxf>
      <font>
        <b/>
        <sz val="9"/>
        <color rgb="FF6C7480"/>
      </font>
      <fill>
        <patternFill>
          <bgColor rgb="FFD9DDE3"/>
        </patternFill>
      </fill>
    </dxf>
    <dxf>
      <font>
        <b/>
        <sz val="9"/>
        <color rgb="FF000000"/>
      </font>
      <fill>
        <patternFill>
          <bgColor rgb="FFD9FF00"/>
        </patternFill>
      </fill>
    </dxf>
    <dxf>
      <font>
        <b/>
        <sz val="9"/>
        <color rgb="FF6C7480"/>
      </font>
      <fill>
        <patternFill>
          <bgColor rgb="FFD9DDE3"/>
        </patternFill>
      </fill>
    </dxf>
    <dxf>
      <font>
        <b/>
        <sz val="9"/>
        <color rgb="FFFFFFFF"/>
      </font>
      <fill>
        <patternFill>
          <bgColor rgb="FF2E8B3C"/>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defaultRowHeight="12.75"/>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21" customHeight="1">
      <c r="A1" s="615" t="s">
        <v>0</v>
      </c>
      <c r="B1" s="613"/>
      <c r="C1" s="613"/>
      <c r="D1" s="613"/>
      <c r="E1" s="613"/>
      <c r="F1" s="613"/>
      <c r="G1" s="613"/>
      <c r="H1" s="614"/>
      <c r="J1" t="s">
        <v>1</v>
      </c>
    </row>
    <row r="2" spans="1:11">
      <c r="A2" s="177" t="s">
        <v>2</v>
      </c>
      <c r="B2" s="612" t="s">
        <v>3</v>
      </c>
      <c r="C2" s="613"/>
      <c r="D2" s="613"/>
      <c r="E2" s="613"/>
      <c r="F2" s="613"/>
      <c r="G2" s="613"/>
      <c r="H2" s="614"/>
      <c r="J2" t="str">
        <f>PMIS_Data!A3</f>
        <v>01</v>
      </c>
      <c r="K2" t="str">
        <f>PMIS_Data!B3</f>
        <v>B01_Assessment</v>
      </c>
    </row>
    <row r="3" spans="1:11">
      <c r="J3" t="str">
        <f>PMIS_Data!A4</f>
        <v>02</v>
      </c>
      <c r="K3" t="str">
        <f>PMIS_Data!B4</f>
        <v>B02_Assessment</v>
      </c>
    </row>
    <row r="4" spans="1:11" ht="26.25" customHeight="1">
      <c r="A4" s="178" t="s">
        <v>4</v>
      </c>
      <c r="B4" s="178" t="s">
        <v>5</v>
      </c>
      <c r="C4" s="178" t="s">
        <v>6</v>
      </c>
      <c r="D4" s="178" t="s">
        <v>7</v>
      </c>
      <c r="E4" s="178" t="s">
        <v>8</v>
      </c>
      <c r="F4" s="178" t="s">
        <v>9</v>
      </c>
      <c r="G4" s="178" t="s">
        <v>10</v>
      </c>
      <c r="H4" s="178" t="s">
        <v>11</v>
      </c>
      <c r="J4" t="str">
        <f>PMIS_Data!A5</f>
        <v>03</v>
      </c>
      <c r="K4" t="str">
        <f>PMIS_Data!B5</f>
        <v>B03_Assessment</v>
      </c>
    </row>
    <row r="5" spans="1:11">
      <c r="A5" s="193" t="s">
        <v>12</v>
      </c>
      <c r="B5" s="179" t="s">
        <v>13</v>
      </c>
      <c r="C5" s="179">
        <v>3</v>
      </c>
      <c r="D5" s="179" t="str">
        <f>HYPERLINK("#'B01_Assessment'!A1","Open")</f>
        <v>Open</v>
      </c>
      <c r="E5" s="179" t="str">
        <f t="shared" ref="E5:E34" ca="1" si="0">IF(ISREF(INDIRECT("'"&amp;B5&amp;"'!A1")),"Yes","No")</f>
        <v>Yes</v>
      </c>
      <c r="F5" s="179" t="str">
        <f>IF(COUNTIF(PMIS_Data!$B:$B,B5)&gt;0,"Yes","Check")</f>
        <v>Yes</v>
      </c>
      <c r="G5" s="179" t="str">
        <f>IF(COUNTIF(PMIS_Trade_Notes!$C:$C,B5)&gt;0,"Yes","Check")</f>
        <v>Yes</v>
      </c>
      <c r="H5" s="179"/>
      <c r="J5" t="str">
        <f>PMIS_Data!A6</f>
        <v>04</v>
      </c>
      <c r="K5" t="str">
        <f>PMIS_Data!B6</f>
        <v>B04_Assessment</v>
      </c>
    </row>
    <row r="6" spans="1:11">
      <c r="A6" s="193" t="s">
        <v>14</v>
      </c>
      <c r="B6" s="179" t="s">
        <v>15</v>
      </c>
      <c r="C6" s="179">
        <v>4</v>
      </c>
      <c r="D6" s="179" t="str">
        <f>HYPERLINK("#'B02_Assessment'!A1","Open")</f>
        <v>Open</v>
      </c>
      <c r="E6" s="179" t="str">
        <f t="shared" ca="1" si="0"/>
        <v>Yes</v>
      </c>
      <c r="F6" s="179" t="str">
        <f>IF(COUNTIF(PMIS_Data!$B:$B,B6)&gt;0,"Yes","Check")</f>
        <v>Yes</v>
      </c>
      <c r="G6" s="179" t="str">
        <f>IF(COUNTIF(PMIS_Trade_Notes!$C:$C,B6)&gt;0,"Yes","Check")</f>
        <v>Yes</v>
      </c>
      <c r="H6" s="179"/>
      <c r="J6" t="str">
        <f>PMIS_Data!A7</f>
        <v>05</v>
      </c>
      <c r="K6" t="str">
        <f>PMIS_Data!B7</f>
        <v>B05_Assessment</v>
      </c>
    </row>
    <row r="7" spans="1:11">
      <c r="A7" s="193" t="s">
        <v>16</v>
      </c>
      <c r="B7" s="179" t="s">
        <v>17</v>
      </c>
      <c r="C7" s="179">
        <v>5</v>
      </c>
      <c r="D7" s="179" t="str">
        <f>HYPERLINK("#'B03_Assessment'!A1","Open")</f>
        <v>Open</v>
      </c>
      <c r="E7" s="179" t="str">
        <f t="shared" ca="1" si="0"/>
        <v>Yes</v>
      </c>
      <c r="F7" s="179" t="str">
        <f>IF(COUNTIF(PMIS_Data!$B:$B,B7)&gt;0,"Yes","Check")</f>
        <v>Yes</v>
      </c>
      <c r="G7" s="179" t="str">
        <f>IF(COUNTIF(PMIS_Trade_Notes!$C:$C,B7)&gt;0,"Yes","Check")</f>
        <v>Yes</v>
      </c>
      <c r="H7" s="179"/>
      <c r="J7" t="str">
        <f>PMIS_Data!A8</f>
        <v>06</v>
      </c>
      <c r="K7" t="str">
        <f>PMIS_Data!B8</f>
        <v>B06_Assessment</v>
      </c>
    </row>
    <row r="8" spans="1:11">
      <c r="A8" s="193" t="s">
        <v>18</v>
      </c>
      <c r="B8" s="179" t="s">
        <v>19</v>
      </c>
      <c r="C8" s="179">
        <v>6</v>
      </c>
      <c r="D8" s="179" t="str">
        <f>HYPERLINK("#'B04_Assessment'!A1","Open")</f>
        <v>Open</v>
      </c>
      <c r="E8" s="179" t="str">
        <f t="shared" ca="1" si="0"/>
        <v>Yes</v>
      </c>
      <c r="F8" s="179" t="str">
        <f>IF(COUNTIF(PMIS_Data!$B:$B,B8)&gt;0,"Yes","Check")</f>
        <v>Yes</v>
      </c>
      <c r="G8" s="179" t="str">
        <f>IF(COUNTIF(PMIS_Trade_Notes!$C:$C,B8)&gt;0,"Yes","Check")</f>
        <v>Yes</v>
      </c>
      <c r="H8" s="179"/>
      <c r="J8" t="str">
        <f>PMIS_Data!A9</f>
        <v>07</v>
      </c>
      <c r="K8" t="str">
        <f>PMIS_Data!B9</f>
        <v>B07_Assessment</v>
      </c>
    </row>
    <row r="9" spans="1:11">
      <c r="A9" s="193" t="s">
        <v>20</v>
      </c>
      <c r="B9" s="179" t="s">
        <v>21</v>
      </c>
      <c r="C9" s="179">
        <v>7</v>
      </c>
      <c r="D9" s="179" t="str">
        <f>HYPERLINK("#'B05_Assessment'!A1","Open")</f>
        <v>Open</v>
      </c>
      <c r="E9" s="179" t="str">
        <f t="shared" ca="1" si="0"/>
        <v>Yes</v>
      </c>
      <c r="F9" s="179" t="str">
        <f>IF(COUNTIF(PMIS_Data!$B:$B,B9)&gt;0,"Yes","Check")</f>
        <v>Yes</v>
      </c>
      <c r="G9" s="179" t="str">
        <f>IF(COUNTIF(PMIS_Trade_Notes!$C:$C,B9)&gt;0,"Yes","Check")</f>
        <v>Yes</v>
      </c>
      <c r="H9" s="179"/>
      <c r="J9" t="str">
        <f>PMIS_Data!A10</f>
        <v>08</v>
      </c>
      <c r="K9" t="str">
        <f>PMIS_Data!B10</f>
        <v>B08_Assessment</v>
      </c>
    </row>
    <row r="10" spans="1:11">
      <c r="A10" s="193" t="s">
        <v>22</v>
      </c>
      <c r="B10" s="179" t="s">
        <v>23</v>
      </c>
      <c r="C10" s="179">
        <v>8</v>
      </c>
      <c r="D10" s="179" t="str">
        <f>HYPERLINK("#'B06_Assessment'!A1","Open")</f>
        <v>Open</v>
      </c>
      <c r="E10" s="179" t="str">
        <f t="shared" ca="1" si="0"/>
        <v>Yes</v>
      </c>
      <c r="F10" s="179" t="str">
        <f>IF(COUNTIF(PMIS_Data!$B:$B,B10)&gt;0,"Yes","Check")</f>
        <v>Yes</v>
      </c>
      <c r="G10" s="179" t="str">
        <f>IF(COUNTIF(PMIS_Trade_Notes!$C:$C,B10)&gt;0,"Yes","Check")</f>
        <v>Yes</v>
      </c>
      <c r="H10" s="179"/>
      <c r="J10" t="str">
        <f>PMIS_Data!A11</f>
        <v>09</v>
      </c>
      <c r="K10" t="str">
        <f>PMIS_Data!B11</f>
        <v>B09_Assessment</v>
      </c>
    </row>
    <row r="11" spans="1:11">
      <c r="A11" s="193" t="s">
        <v>24</v>
      </c>
      <c r="B11" s="179" t="s">
        <v>25</v>
      </c>
      <c r="C11" s="179">
        <v>9</v>
      </c>
      <c r="D11" s="179" t="str">
        <f>HYPERLINK("#'B07_Assessment'!A1","Open")</f>
        <v>Open</v>
      </c>
      <c r="E11" s="179" t="str">
        <f t="shared" ca="1" si="0"/>
        <v>Yes</v>
      </c>
      <c r="F11" s="179" t="str">
        <f>IF(COUNTIF(PMIS_Data!$B:$B,B11)&gt;0,"Yes","Check")</f>
        <v>Yes</v>
      </c>
      <c r="G11" s="179" t="str">
        <f>IF(COUNTIF(PMIS_Trade_Notes!$C:$C,B11)&gt;0,"Yes","Check")</f>
        <v>Yes</v>
      </c>
      <c r="H11" s="179"/>
      <c r="J11" t="str">
        <f>PMIS_Data!A12</f>
        <v>10</v>
      </c>
      <c r="K11" t="str">
        <f>PMIS_Data!B12</f>
        <v>B10_Assessment</v>
      </c>
    </row>
    <row r="12" spans="1:11">
      <c r="A12" s="193" t="s">
        <v>26</v>
      </c>
      <c r="B12" s="179" t="s">
        <v>27</v>
      </c>
      <c r="C12" s="179">
        <v>10</v>
      </c>
      <c r="D12" s="179" t="str">
        <f>HYPERLINK("#'B08_Assessment'!A1","Open")</f>
        <v>Open</v>
      </c>
      <c r="E12" s="179" t="str">
        <f t="shared" ca="1" si="0"/>
        <v>Yes</v>
      </c>
      <c r="F12" s="179" t="str">
        <f>IF(COUNTIF(PMIS_Data!$B:$B,B12)&gt;0,"Yes","Check")</f>
        <v>Yes</v>
      </c>
      <c r="G12" s="179" t="str">
        <f>IF(COUNTIF(PMIS_Trade_Notes!$C:$C,B12)&gt;0,"Yes","Check")</f>
        <v>Yes</v>
      </c>
      <c r="H12" s="179"/>
      <c r="J12" t="str">
        <f>PMIS_Data!A13</f>
        <v>12</v>
      </c>
      <c r="K12" t="str">
        <f>PMIS_Data!B13</f>
        <v>B12_Assessment</v>
      </c>
    </row>
    <row r="13" spans="1:11">
      <c r="A13" s="193" t="s">
        <v>28</v>
      </c>
      <c r="B13" s="179" t="s">
        <v>29</v>
      </c>
      <c r="C13" s="179">
        <v>11</v>
      </c>
      <c r="D13" s="179" t="str">
        <f>HYPERLINK("#'B09_Assessment'!A1","Open")</f>
        <v>Open</v>
      </c>
      <c r="E13" s="179" t="str">
        <f t="shared" ca="1" si="0"/>
        <v>Yes</v>
      </c>
      <c r="F13" s="179" t="str">
        <f>IF(COUNTIF(PMIS_Data!$B:$B,B13)&gt;0,"Yes","Check")</f>
        <v>Yes</v>
      </c>
      <c r="G13" s="179" t="str">
        <f>IF(COUNTIF(PMIS_Trade_Notes!$C:$C,B13)&gt;0,"Yes","Check")</f>
        <v>Yes</v>
      </c>
      <c r="H13" s="179"/>
      <c r="J13" t="str">
        <f>PMIS_Data!A14</f>
        <v>13</v>
      </c>
      <c r="K13" t="str">
        <f>PMIS_Data!B14</f>
        <v>B13_Assessment</v>
      </c>
    </row>
    <row r="14" spans="1:11">
      <c r="A14" s="193" t="s">
        <v>30</v>
      </c>
      <c r="B14" s="179" t="s">
        <v>31</v>
      </c>
      <c r="C14" s="179">
        <v>12</v>
      </c>
      <c r="D14" s="179" t="str">
        <f>HYPERLINK("#'B10_Assessment'!A1","Open")</f>
        <v>Open</v>
      </c>
      <c r="E14" s="179" t="str">
        <f t="shared" ca="1" si="0"/>
        <v>Yes</v>
      </c>
      <c r="F14" s="179" t="str">
        <f>IF(COUNTIF(PMIS_Data!$B:$B,B14)&gt;0,"Yes","Check")</f>
        <v>Yes</v>
      </c>
      <c r="G14" s="179" t="str">
        <f>IF(COUNTIF(PMIS_Trade_Notes!$C:$C,B14)&gt;0,"Yes","Check")</f>
        <v>Yes</v>
      </c>
      <c r="H14" s="179"/>
      <c r="J14" t="str">
        <f>PMIS_Data!A15</f>
        <v>14</v>
      </c>
      <c r="K14" t="str">
        <f>PMIS_Data!B15</f>
        <v>B14_Assessment</v>
      </c>
    </row>
    <row r="15" spans="1:11">
      <c r="A15" s="193" t="s">
        <v>32</v>
      </c>
      <c r="B15" s="179" t="s">
        <v>33</v>
      </c>
      <c r="C15" s="179">
        <v>13</v>
      </c>
      <c r="D15" s="179" t="str">
        <f>HYPERLINK("#'B12_Assessment'!A1","Open")</f>
        <v>Open</v>
      </c>
      <c r="E15" s="179" t="str">
        <f t="shared" ca="1" si="0"/>
        <v>Yes</v>
      </c>
      <c r="F15" s="179" t="str">
        <f>IF(COUNTIF(PMIS_Data!$B:$B,B15)&gt;0,"Yes","Check")</f>
        <v>Yes</v>
      </c>
      <c r="G15" s="179" t="str">
        <f>IF(COUNTIF(PMIS_Trade_Notes!$C:$C,B15)&gt;0,"Yes","Check")</f>
        <v>Yes</v>
      </c>
      <c r="H15" s="179"/>
      <c r="J15" t="str">
        <f>PMIS_Data!A16</f>
        <v>15</v>
      </c>
      <c r="K15" t="str">
        <f>PMIS_Data!B16</f>
        <v>B15_Assessment</v>
      </c>
    </row>
    <row r="16" spans="1:11">
      <c r="A16" s="193" t="s">
        <v>34</v>
      </c>
      <c r="B16" s="179" t="s">
        <v>35</v>
      </c>
      <c r="C16" s="179">
        <v>14</v>
      </c>
      <c r="D16" s="179" t="str">
        <f>HYPERLINK("#'B13_Assessment'!A1","Open")</f>
        <v>Open</v>
      </c>
      <c r="E16" s="179" t="str">
        <f t="shared" ca="1" si="0"/>
        <v>Yes</v>
      </c>
      <c r="F16" s="179" t="str">
        <f>IF(COUNTIF(PMIS_Data!$B:$B,B16)&gt;0,"Yes","Check")</f>
        <v>Yes</v>
      </c>
      <c r="G16" s="179" t="str">
        <f>IF(COUNTIF(PMIS_Trade_Notes!$C:$C,B16)&gt;0,"Yes","Check")</f>
        <v>Yes</v>
      </c>
      <c r="H16" s="179"/>
      <c r="J16" t="str">
        <f>PMIS_Data!A17</f>
        <v>16</v>
      </c>
      <c r="K16" t="str">
        <f>PMIS_Data!B17</f>
        <v>B16_Assessment</v>
      </c>
    </row>
    <row r="17" spans="1:11">
      <c r="A17" s="193" t="s">
        <v>36</v>
      </c>
      <c r="B17" s="179" t="s">
        <v>37</v>
      </c>
      <c r="C17" s="179">
        <v>15</v>
      </c>
      <c r="D17" s="179" t="str">
        <f>HYPERLINK("#'B14_Assessment'!A1","Open")</f>
        <v>Open</v>
      </c>
      <c r="E17" s="179" t="str">
        <f t="shared" ca="1" si="0"/>
        <v>Yes</v>
      </c>
      <c r="F17" s="179" t="str">
        <f>IF(COUNTIF(PMIS_Data!$B:$B,B17)&gt;0,"Yes","Check")</f>
        <v>Yes</v>
      </c>
      <c r="G17" s="179" t="str">
        <f>IF(COUNTIF(PMIS_Trade_Notes!$C:$C,B17)&gt;0,"Yes","Check")</f>
        <v>Yes</v>
      </c>
      <c r="H17" s="179"/>
      <c r="J17" t="str">
        <f>PMIS_Data!A18</f>
        <v>17</v>
      </c>
      <c r="K17" t="str">
        <f>PMIS_Data!B18</f>
        <v>B17_Assessment</v>
      </c>
    </row>
    <row r="18" spans="1:11">
      <c r="A18" s="193" t="s">
        <v>38</v>
      </c>
      <c r="B18" s="179" t="s">
        <v>39</v>
      </c>
      <c r="C18" s="179">
        <v>16</v>
      </c>
      <c r="D18" s="179" t="str">
        <f>HYPERLINK("#'B15_Assessment'!A1","Open")</f>
        <v>Open</v>
      </c>
      <c r="E18" s="179" t="str">
        <f t="shared" ca="1" si="0"/>
        <v>Yes</v>
      </c>
      <c r="F18" s="179" t="str">
        <f>IF(COUNTIF(PMIS_Data!$B:$B,B18)&gt;0,"Yes","Check")</f>
        <v>Yes</v>
      </c>
      <c r="G18" s="179" t="str">
        <f>IF(COUNTIF(PMIS_Trade_Notes!$C:$C,B18)&gt;0,"Yes","Check")</f>
        <v>Yes</v>
      </c>
      <c r="H18" s="179"/>
      <c r="J18" t="str">
        <f>PMIS_Data!A19</f>
        <v>18</v>
      </c>
      <c r="K18" t="str">
        <f>PMIS_Data!B19</f>
        <v>B18_Assessment</v>
      </c>
    </row>
    <row r="19" spans="1:11">
      <c r="A19" s="193" t="s">
        <v>40</v>
      </c>
      <c r="B19" s="179" t="s">
        <v>41</v>
      </c>
      <c r="C19" s="179">
        <v>17</v>
      </c>
      <c r="D19" s="179" t="str">
        <f>HYPERLINK("#'B16_Assessment'!A1","Open")</f>
        <v>Open</v>
      </c>
      <c r="E19" s="179" t="str">
        <f t="shared" ca="1" si="0"/>
        <v>Yes</v>
      </c>
      <c r="F19" s="179" t="str">
        <f>IF(COUNTIF(PMIS_Data!$B:$B,B19)&gt;0,"Yes","Check")</f>
        <v>Yes</v>
      </c>
      <c r="G19" s="179" t="str">
        <f>IF(COUNTIF(PMIS_Trade_Notes!$C:$C,B19)&gt;0,"Yes","Check")</f>
        <v>Yes</v>
      </c>
      <c r="H19" s="179"/>
      <c r="J19" t="str">
        <f>PMIS_Data!A20</f>
        <v>20</v>
      </c>
      <c r="K19" t="str">
        <f>PMIS_Data!B20</f>
        <v>B20_Assessment</v>
      </c>
    </row>
    <row r="20" spans="1:11">
      <c r="A20" s="193" t="s">
        <v>42</v>
      </c>
      <c r="B20" s="179" t="s">
        <v>43</v>
      </c>
      <c r="C20" s="179">
        <v>18</v>
      </c>
      <c r="D20" s="179" t="str">
        <f>HYPERLINK("#'B17_Assessment'!A1","Open")</f>
        <v>Open</v>
      </c>
      <c r="E20" s="179" t="str">
        <f t="shared" ca="1" si="0"/>
        <v>Yes</v>
      </c>
      <c r="F20" s="179" t="str">
        <f>IF(COUNTIF(PMIS_Data!$B:$B,B20)&gt;0,"Yes","Check")</f>
        <v>Yes</v>
      </c>
      <c r="G20" s="179" t="str">
        <f>IF(COUNTIF(PMIS_Trade_Notes!$C:$C,B20)&gt;0,"Yes","Check")</f>
        <v>Yes</v>
      </c>
      <c r="H20" s="179"/>
      <c r="J20" t="str">
        <f>PMIS_Data!A21</f>
        <v>21</v>
      </c>
      <c r="K20" t="str">
        <f>PMIS_Data!B21</f>
        <v>B21_Assessment</v>
      </c>
    </row>
    <row r="21" spans="1:11">
      <c r="A21" s="193" t="s">
        <v>44</v>
      </c>
      <c r="B21" s="179" t="s">
        <v>45</v>
      </c>
      <c r="C21" s="179">
        <v>19</v>
      </c>
      <c r="D21" s="179" t="str">
        <f>HYPERLINK("#'B18_Assessment'!A1","Open")</f>
        <v>Open</v>
      </c>
      <c r="E21" s="179" t="str">
        <f t="shared" ca="1" si="0"/>
        <v>Yes</v>
      </c>
      <c r="F21" s="179" t="str">
        <f>IF(COUNTIF(PMIS_Data!$B:$B,B21)&gt;0,"Yes","Check")</f>
        <v>Yes</v>
      </c>
      <c r="G21" s="179" t="str">
        <f>IF(COUNTIF(PMIS_Trade_Notes!$C:$C,B21)&gt;0,"Yes","Check")</f>
        <v>Yes</v>
      </c>
      <c r="H21" s="179"/>
      <c r="J21" t="str">
        <f>PMIS_Data!A22</f>
        <v>22</v>
      </c>
      <c r="K21" t="str">
        <f>PMIS_Data!B22</f>
        <v>B22_Assessment</v>
      </c>
    </row>
    <row r="22" spans="1:11">
      <c r="A22" s="193" t="s">
        <v>46</v>
      </c>
      <c r="B22" s="179" t="s">
        <v>47</v>
      </c>
      <c r="C22" s="179">
        <v>20</v>
      </c>
      <c r="D22" s="179" t="str">
        <f>HYPERLINK("#'B20_Assessment'!A1","Open")</f>
        <v>Open</v>
      </c>
      <c r="E22" s="179" t="str">
        <f t="shared" ca="1" si="0"/>
        <v>Yes</v>
      </c>
      <c r="F22" s="179" t="str">
        <f>IF(COUNTIF(PMIS_Data!$B:$B,B22)&gt;0,"Yes","Check")</f>
        <v>Yes</v>
      </c>
      <c r="G22" s="179" t="str">
        <f>IF(COUNTIF(PMIS_Trade_Notes!$C:$C,B22)&gt;0,"Yes","Check")</f>
        <v>Yes</v>
      </c>
      <c r="H22" s="179"/>
      <c r="J22" t="str">
        <f>PMIS_Data!A23</f>
        <v>33</v>
      </c>
      <c r="K22" t="str">
        <f>PMIS_Data!B23</f>
        <v>B33_Assessment</v>
      </c>
    </row>
    <row r="23" spans="1:11">
      <c r="A23" s="193" t="s">
        <v>48</v>
      </c>
      <c r="B23" s="179" t="s">
        <v>49</v>
      </c>
      <c r="C23" s="179">
        <v>21</v>
      </c>
      <c r="D23" s="179" t="str">
        <f>HYPERLINK("#'B21_Assessment'!A1","Open")</f>
        <v>Open</v>
      </c>
      <c r="E23" s="179" t="str">
        <f t="shared" ca="1" si="0"/>
        <v>Yes</v>
      </c>
      <c r="F23" s="179" t="str">
        <f>IF(COUNTIF(PMIS_Data!$B:$B,B23)&gt;0,"Yes","Check")</f>
        <v>Yes</v>
      </c>
      <c r="G23" s="179" t="str">
        <f>IF(COUNTIF(PMIS_Trade_Notes!$C:$C,B23)&gt;0,"Yes","Check")</f>
        <v>Yes</v>
      </c>
      <c r="H23" s="179"/>
      <c r="J23" t="str">
        <f>PMIS_Data!A24</f>
        <v>61</v>
      </c>
      <c r="K23" t="str">
        <f>PMIS_Data!B24</f>
        <v>B61_Assessment</v>
      </c>
    </row>
    <row r="24" spans="1:11">
      <c r="A24" s="193" t="s">
        <v>50</v>
      </c>
      <c r="B24" s="179" t="s">
        <v>51</v>
      </c>
      <c r="C24" s="179">
        <v>22</v>
      </c>
      <c r="D24" s="179" t="str">
        <f>HYPERLINK("#'B22_Assessment'!A1","Open")</f>
        <v>Open</v>
      </c>
      <c r="E24" s="179" t="str">
        <f t="shared" ca="1" si="0"/>
        <v>Yes</v>
      </c>
      <c r="F24" s="179" t="str">
        <f>IF(COUNTIF(PMIS_Data!$B:$B,B24)&gt;0,"Yes","Check")</f>
        <v>Yes</v>
      </c>
      <c r="G24" s="179" t="str">
        <f>IF(COUNTIF(PMIS_Trade_Notes!$C:$C,B24)&gt;0,"Yes","Check")</f>
        <v>Yes</v>
      </c>
      <c r="H24" s="179"/>
      <c r="J24" t="str">
        <f>PMIS_Data!A25</f>
        <v>62</v>
      </c>
      <c r="K24" t="str">
        <f>PMIS_Data!B25</f>
        <v>B62_TR_Assessment</v>
      </c>
    </row>
    <row r="25" spans="1:11">
      <c r="A25" s="193" t="s">
        <v>52</v>
      </c>
      <c r="B25" s="179" t="s">
        <v>53</v>
      </c>
      <c r="C25" s="179">
        <v>23</v>
      </c>
      <c r="D25" s="179" t="str">
        <f>HYPERLINK("#'B33_Assessment'!A1","Open")</f>
        <v>Open</v>
      </c>
      <c r="E25" s="179" t="str">
        <f t="shared" ca="1" si="0"/>
        <v>Yes</v>
      </c>
      <c r="F25" s="179" t="str">
        <f>IF(COUNTIF(PMIS_Data!$B:$B,B25)&gt;0,"Yes","Check")</f>
        <v>Yes</v>
      </c>
      <c r="G25" s="179" t="str">
        <f>IF(COUNTIF(PMIS_Trade_Notes!$C:$C,B25)&gt;0,"Yes","Check")</f>
        <v>Yes</v>
      </c>
      <c r="H25" s="179"/>
      <c r="J25" t="str">
        <f>PMIS_Data!A26</f>
        <v>70</v>
      </c>
      <c r="K25" t="str">
        <f>PMIS_Data!B26</f>
        <v>B70_TR_Assessment</v>
      </c>
    </row>
    <row r="26" spans="1:11">
      <c r="A26" s="193" t="s">
        <v>54</v>
      </c>
      <c r="B26" s="179" t="s">
        <v>55</v>
      </c>
      <c r="C26" s="179">
        <v>24</v>
      </c>
      <c r="D26" s="179" t="str">
        <f>HYPERLINK("#'B61_Assessment'!A1","Open")</f>
        <v>Open</v>
      </c>
      <c r="E26" s="179" t="str">
        <f t="shared" ca="1" si="0"/>
        <v>Yes</v>
      </c>
      <c r="F26" s="179" t="str">
        <f>IF(COUNTIF(PMIS_Data!$B:$B,B26)&gt;0,"Yes","Check")</f>
        <v>Yes</v>
      </c>
      <c r="G26" s="179" t="str">
        <f>IF(COUNTIF(PMIS_Trade_Notes!$C:$C,B26)&gt;0,"Yes","Check")</f>
        <v>Yes</v>
      </c>
      <c r="H26" s="179"/>
      <c r="J26" t="str">
        <f>PMIS_Data!A27</f>
        <v>78</v>
      </c>
      <c r="K26" t="str">
        <f>PMIS_Data!B27</f>
        <v>B78_Assessment</v>
      </c>
    </row>
    <row r="27" spans="1:11">
      <c r="A27" s="193" t="s">
        <v>56</v>
      </c>
      <c r="B27" s="179" t="s">
        <v>57</v>
      </c>
      <c r="C27" s="179">
        <v>25</v>
      </c>
      <c r="D27" s="179" t="str">
        <f>HYPERLINK("#'B62_TR_Assessment'!A1","Open")</f>
        <v>Open</v>
      </c>
      <c r="E27" s="179" t="str">
        <f t="shared" ca="1" si="0"/>
        <v>Yes</v>
      </c>
      <c r="F27" s="179" t="str">
        <f>IF(COUNTIF(PMIS_Data!$B:$B,B27)&gt;0,"Yes","Check")</f>
        <v>Yes</v>
      </c>
      <c r="G27" s="179" t="str">
        <f>IF(COUNTIF(PMIS_Trade_Notes!$C:$C,B27)&gt;0,"Yes","Check")</f>
        <v>Yes</v>
      </c>
      <c r="H27" s="179"/>
      <c r="J27" t="str">
        <f>PMIS_Data!A28</f>
        <v>80</v>
      </c>
      <c r="K27" t="str">
        <f>PMIS_Data!B28</f>
        <v>B80_Assessment</v>
      </c>
    </row>
    <row r="28" spans="1:11">
      <c r="A28" s="193" t="s">
        <v>58</v>
      </c>
      <c r="B28" s="179" t="s">
        <v>59</v>
      </c>
      <c r="C28" s="179">
        <v>26</v>
      </c>
      <c r="D28" s="179" t="str">
        <f>HYPERLINK("#'B70_TR_Assessment'!A1","Open")</f>
        <v>Open</v>
      </c>
      <c r="E28" s="179" t="str">
        <f t="shared" ca="1" si="0"/>
        <v>Yes</v>
      </c>
      <c r="F28" s="179" t="str">
        <f>IF(COUNTIF(PMIS_Data!$B:$B,B28)&gt;0,"Yes","Check")</f>
        <v>Yes</v>
      </c>
      <c r="G28" s="179" t="str">
        <f>IF(COUNTIF(PMIS_Trade_Notes!$C:$C,B28)&gt;0,"Yes","Check")</f>
        <v>Yes</v>
      </c>
      <c r="H28" s="179"/>
      <c r="J28" t="str">
        <f>PMIS_Data!A29</f>
        <v>82</v>
      </c>
      <c r="K28" t="str">
        <f>PMIS_Data!B29</f>
        <v>B82_Assessment</v>
      </c>
    </row>
    <row r="29" spans="1:11">
      <c r="A29" s="193" t="s">
        <v>60</v>
      </c>
      <c r="B29" s="179" t="s">
        <v>61</v>
      </c>
      <c r="C29" s="179">
        <v>27</v>
      </c>
      <c r="D29" s="179" t="str">
        <f>HYPERLINK("#'B78_Assessment'!A1","Open")</f>
        <v>Open</v>
      </c>
      <c r="E29" s="179" t="str">
        <f t="shared" ca="1" si="0"/>
        <v>Yes</v>
      </c>
      <c r="F29" s="179" t="str">
        <f>IF(COUNTIF(PMIS_Data!$B:$B,B29)&gt;0,"Yes","Check")</f>
        <v>Yes</v>
      </c>
      <c r="G29" s="179" t="str">
        <f>IF(COUNTIF(PMIS_Trade_Notes!$C:$C,B29)&gt;0,"Yes","Check")</f>
        <v>Yes</v>
      </c>
      <c r="H29" s="179"/>
      <c r="J29" t="str">
        <f>PMIS_Data!A30</f>
        <v>BCH</v>
      </c>
      <c r="K29" t="str">
        <f>PMIS_Data!B30</f>
        <v>BCH_Assessment</v>
      </c>
    </row>
    <row r="30" spans="1:11">
      <c r="A30" s="193" t="s">
        <v>62</v>
      </c>
      <c r="B30" s="179" t="s">
        <v>63</v>
      </c>
      <c r="C30" s="179">
        <v>28</v>
      </c>
      <c r="D30" s="179" t="str">
        <f>HYPERLINK("#'B80_Assessment'!A1","Open")</f>
        <v>Open</v>
      </c>
      <c r="E30" s="179" t="str">
        <f t="shared" ca="1" si="0"/>
        <v>Yes</v>
      </c>
      <c r="F30" s="179" t="str">
        <f>IF(COUNTIF(PMIS_Data!$B:$B,B30)&gt;0,"Yes","Check")</f>
        <v>Yes</v>
      </c>
      <c r="G30" s="179" t="str">
        <f>IF(COUNTIF(PMIS_Trade_Notes!$C:$C,B30)&gt;0,"Yes","Check")</f>
        <v>Yes</v>
      </c>
      <c r="H30" s="179"/>
      <c r="J30" t="str">
        <f>PMIS_Data!A31</f>
        <v>MCR</v>
      </c>
      <c r="K30" t="str">
        <f>PMIS_Data!B31</f>
        <v>MCR_Assessment</v>
      </c>
    </row>
    <row r="31" spans="1:11">
      <c r="A31" s="193" t="s">
        <v>64</v>
      </c>
      <c r="B31" s="179" t="s">
        <v>65</v>
      </c>
      <c r="C31" s="179">
        <v>29</v>
      </c>
      <c r="D31" s="179" t="str">
        <f>HYPERLINK("#'B82_Assessment'!A1","Open")</f>
        <v>Open</v>
      </c>
      <c r="E31" s="179" t="str">
        <f t="shared" ca="1" si="0"/>
        <v>Yes</v>
      </c>
      <c r="F31" s="179" t="str">
        <f>IF(COUNTIF(PMIS_Data!$B:$B,B31)&gt;0,"Yes","Check")</f>
        <v>Yes</v>
      </c>
      <c r="G31" s="179" t="str">
        <f>IF(COUNTIF(PMIS_Trade_Notes!$C:$C,B31)&gt;0,"Yes","Check")</f>
        <v>Yes</v>
      </c>
      <c r="H31" s="179"/>
      <c r="J31" t="str">
        <f>PMIS_Data!A32</f>
        <v>SITE</v>
      </c>
      <c r="K31" t="str">
        <f>PMIS_Data!B32</f>
        <v>SITE_Assesment</v>
      </c>
    </row>
    <row r="32" spans="1:11">
      <c r="A32" s="179" t="s">
        <v>66</v>
      </c>
      <c r="B32" s="179" t="s">
        <v>67</v>
      </c>
      <c r="C32" s="179">
        <v>30</v>
      </c>
      <c r="D32" s="179" t="str">
        <f>HYPERLINK("#'BCH_Assessment'!A1","Open")</f>
        <v>Open</v>
      </c>
      <c r="E32" s="179" t="str">
        <f t="shared" ca="1" si="0"/>
        <v>Yes</v>
      </c>
      <c r="F32" s="179" t="str">
        <f>IF(COUNTIF(PMIS_Data!$B:$B,B32)&gt;0,"Yes","Check")</f>
        <v>Yes</v>
      </c>
      <c r="G32" s="179" t="str">
        <f>IF(COUNTIF(PMIS_Trade_Notes!$C:$C,B32)&gt;0,"Yes","Check")</f>
        <v>Yes</v>
      </c>
      <c r="H32" s="179"/>
    </row>
    <row r="33" spans="1:8">
      <c r="A33" s="179" t="s">
        <v>68</v>
      </c>
      <c r="B33" s="179" t="s">
        <v>69</v>
      </c>
      <c r="C33" s="179">
        <v>31</v>
      </c>
      <c r="D33" s="179" t="str">
        <f>HYPERLINK("#'MCR_Assessment'!A1","Open")</f>
        <v>Open</v>
      </c>
      <c r="E33" s="179" t="str">
        <f t="shared" ca="1" si="0"/>
        <v>Yes</v>
      </c>
      <c r="F33" s="179" t="str">
        <f>IF(COUNTIF(PMIS_Data!$B:$B,B33)&gt;0,"Yes","Check")</f>
        <v>Yes</v>
      </c>
      <c r="G33" s="179" t="str">
        <f>IF(COUNTIF(PMIS_Trade_Notes!$C:$C,B33)&gt;0,"Yes","Check")</f>
        <v>Yes</v>
      </c>
      <c r="H33" s="179"/>
    </row>
    <row r="34" spans="1:8">
      <c r="A34" s="179" t="s">
        <v>70</v>
      </c>
      <c r="B34" s="193" t="s">
        <v>71</v>
      </c>
      <c r="C34" s="179">
        <v>32</v>
      </c>
      <c r="D34" s="179" t="str">
        <f>HYPERLINK("#'SITE_Assesment'!A1","Open")</f>
        <v>Open</v>
      </c>
      <c r="E34" s="179" t="str">
        <f t="shared" ca="1" si="0"/>
        <v>Yes</v>
      </c>
      <c r="F34" s="179" t="str">
        <f>IF(COUNTIF(PMIS_Data!$B:$B,B34)&gt;0,"Yes","Check")</f>
        <v>Yes</v>
      </c>
      <c r="G34" s="179" t="str">
        <f>IF(COUNTIF(PMIS_Trade_Notes!$C:$C,B34)&gt;0,"Yes","Check")</f>
        <v>Yes</v>
      </c>
      <c r="H34" s="179"/>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defaultRowHeight="12.75"/>
  <cols>
    <col min="1" max="1" width="28" customWidth="1"/>
    <col min="2" max="2" width="22" customWidth="1"/>
    <col min="3" max="3" width="18" customWidth="1"/>
    <col min="4" max="4" width="14" customWidth="1"/>
    <col min="5" max="5" width="70" customWidth="1"/>
  </cols>
  <sheetData>
    <row r="1" spans="1:8" ht="11.1" customHeight="1">
      <c r="A1" s="615" t="s">
        <v>72</v>
      </c>
      <c r="B1" s="613"/>
      <c r="C1" s="613"/>
      <c r="D1" s="613"/>
      <c r="E1" s="613"/>
      <c r="F1" s="613"/>
      <c r="G1" s="613"/>
      <c r="H1" s="614"/>
    </row>
    <row r="2" spans="1:8">
      <c r="A2" s="177" t="s">
        <v>2</v>
      </c>
      <c r="B2" s="612" t="s">
        <v>73</v>
      </c>
      <c r="C2" s="613"/>
      <c r="D2" s="613"/>
      <c r="E2" s="613"/>
      <c r="F2" s="613"/>
      <c r="G2" s="613"/>
      <c r="H2" s="614"/>
    </row>
    <row r="4" spans="1:8">
      <c r="A4" s="178" t="s">
        <v>74</v>
      </c>
      <c r="B4" s="178" t="s">
        <v>75</v>
      </c>
      <c r="C4" s="178" t="s">
        <v>76</v>
      </c>
      <c r="D4" s="178" t="s">
        <v>77</v>
      </c>
      <c r="E4" s="178" t="s">
        <v>11</v>
      </c>
    </row>
    <row r="5" spans="1:8">
      <c r="A5" s="179" t="s">
        <v>78</v>
      </c>
      <c r="B5" s="179">
        <f>COUNTA(PMIS_Config!B5:B34)</f>
        <v>30</v>
      </c>
      <c r="C5" s="179">
        <f>30</f>
        <v>30</v>
      </c>
      <c r="D5" s="179" t="str">
        <f>IF(B5&gt;=C5,"OK","CHECK")</f>
        <v>OK</v>
      </c>
      <c r="E5" s="179" t="s">
        <v>79</v>
      </c>
    </row>
    <row r="6" spans="1:8">
      <c r="A6" s="179" t="s">
        <v>80</v>
      </c>
      <c r="B6" s="179">
        <f>COUNTA(PMIS_Data!A3:A44)</f>
        <v>30</v>
      </c>
      <c r="C6" s="179">
        <f>30</f>
        <v>30</v>
      </c>
      <c r="D6" s="179" t="str">
        <f>IF(B6&gt;=C6,"OK","CHECK")</f>
        <v>OK</v>
      </c>
      <c r="E6" s="179" t="s">
        <v>81</v>
      </c>
    </row>
    <row r="7" spans="1:8">
      <c r="A7" s="179" t="s">
        <v>82</v>
      </c>
      <c r="B7" s="179">
        <f>COUNTA(PMIS_Trade_Notes!A2:A100)</f>
        <v>33</v>
      </c>
      <c r="C7" s="179">
        <f>30</f>
        <v>30</v>
      </c>
      <c r="D7" s="179" t="str">
        <f>IF(B7&gt;=C7,"OK","CHECK")</f>
        <v>OK</v>
      </c>
      <c r="E7" s="179" t="s">
        <v>83</v>
      </c>
    </row>
    <row r="8" spans="1:8" ht="16.899999999999999" customHeight="1">
      <c r="A8" s="179" t="s">
        <v>84</v>
      </c>
      <c r="B8" s="179" t="str">
        <f>Command_Center!C17</f>
        <v>61</v>
      </c>
      <c r="C8" s="179" t="s">
        <v>85</v>
      </c>
      <c r="D8" s="179" t="str">
        <f>IF(B8&lt;&gt;"","OK","CHECK")</f>
        <v>OK</v>
      </c>
      <c r="E8" s="179" t="s">
        <v>86</v>
      </c>
    </row>
    <row r="9" spans="1:8" ht="16.899999999999999" customHeight="1">
      <c r="A9" s="179" t="s">
        <v>87</v>
      </c>
      <c r="B9" s="179">
        <f>Command_Center!Z2</f>
        <v>22</v>
      </c>
      <c r="C9" s="179" t="s">
        <v>88</v>
      </c>
      <c r="D9" s="179" t="str">
        <f>IF(ISNUMBER(B9),"OK","CHECK")</f>
        <v>OK</v>
      </c>
      <c r="E9" s="179" t="s">
        <v>89</v>
      </c>
    </row>
    <row r="10" spans="1:8">
      <c r="A10" s="179" t="s">
        <v>90</v>
      </c>
      <c r="B10" s="179">
        <f>SUM(PMIS_Data!H3:H44)</f>
        <v>0</v>
      </c>
      <c r="C10" s="179" t="s">
        <v>91</v>
      </c>
      <c r="D10" s="179" t="str">
        <f>IF(B10&gt;=0,"OK","CHECK")</f>
        <v>OK</v>
      </c>
      <c r="E10" s="179" t="s">
        <v>92</v>
      </c>
    </row>
    <row r="11" spans="1:8">
      <c r="A11" s="179" t="s">
        <v>93</v>
      </c>
      <c r="B11" s="179">
        <f>SUM(PMIS_Data!I3:I44)</f>
        <v>0</v>
      </c>
      <c r="C11" s="179" t="s">
        <v>91</v>
      </c>
      <c r="D11" s="179" t="str">
        <f>IF(B11&gt;=0,"OK","CHECK")</f>
        <v>OK</v>
      </c>
      <c r="E11" s="179" t="s">
        <v>94</v>
      </c>
    </row>
    <row r="12" spans="1:8">
      <c r="A12" s="179" t="s">
        <v>95</v>
      </c>
      <c r="B12" s="179">
        <f>SUM(PMIS_Data!J3:J44)</f>
        <v>0</v>
      </c>
      <c r="C12" s="179" t="s">
        <v>91</v>
      </c>
      <c r="D12" s="179" t="str">
        <f>IF(B12&gt;=0,"OK","CHECK")</f>
        <v>OK</v>
      </c>
      <c r="E12" s="179" t="s">
        <v>96</v>
      </c>
    </row>
    <row r="13" spans="1:8">
      <c r="A13" s="179" t="s">
        <v>97</v>
      </c>
      <c r="B13" s="179">
        <f>SUM(PMIS_Data!X3:X44)</f>
        <v>0</v>
      </c>
      <c r="C13" s="179" t="s">
        <v>91</v>
      </c>
      <c r="D13" s="179" t="str">
        <f>IF(B13&gt;=0,"OK","CHECK")</f>
        <v>OK</v>
      </c>
      <c r="E13" s="179" t="s">
        <v>98</v>
      </c>
    </row>
    <row r="14" spans="1:8">
      <c r="A14" s="179" t="s">
        <v>99</v>
      </c>
      <c r="B14" s="179">
        <f>COUNTIF(PMIS_Config!G5:G34,"Check")</f>
        <v>0</v>
      </c>
      <c r="C14" s="179" t="s">
        <v>100</v>
      </c>
      <c r="D14" s="179" t="str">
        <f>IF(B14=0,"OK","CHECK")</f>
        <v>OK</v>
      </c>
      <c r="E14" s="179" t="s">
        <v>101</v>
      </c>
    </row>
    <row r="15" spans="1:8">
      <c r="A15" s="179" t="s">
        <v>102</v>
      </c>
      <c r="B15" s="179">
        <f ca="1">COUNTIF(PMIS_Config!E5:E34,"No")</f>
        <v>0</v>
      </c>
      <c r="C15" s="179" t="s">
        <v>100</v>
      </c>
      <c r="D15" s="179" t="str">
        <f ca="1">IF(B15=0,"OK","CHECK")</f>
        <v>OK</v>
      </c>
      <c r="E15" s="179" t="s">
        <v>103</v>
      </c>
    </row>
    <row r="16" spans="1:8">
      <c r="A16" s="150" t="s">
        <v>104</v>
      </c>
      <c r="B16" s="150">
        <f>COUNTA('Today''s_Focus'!A15:A44)</f>
        <v>30</v>
      </c>
      <c r="C16" s="150" t="s">
        <v>88</v>
      </c>
      <c r="D16" s="150" t="str">
        <f>IF(B16&gt;=1,"OK","CHECK")</f>
        <v>OK</v>
      </c>
      <c r="E16" s="150" t="s">
        <v>105</v>
      </c>
    </row>
    <row r="17" spans="1:5" ht="16.899999999999999" customHeight="1">
      <c r="A17" s="150" t="s">
        <v>106</v>
      </c>
      <c r="B17" s="150" t="str">
        <f>'Today''s_Focus'!B5</f>
        <v>61</v>
      </c>
      <c r="C17" s="150" t="s">
        <v>85</v>
      </c>
      <c r="D17" s="150" t="str">
        <f>IF(B17&lt;&gt;"","OK","CHECK")</f>
        <v>OK</v>
      </c>
      <c r="E17" s="150" t="s">
        <v>107</v>
      </c>
    </row>
    <row r="18" spans="1:5">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41" priority="1">
      <formula>D5="OK"</formula>
    </cfRule>
    <cfRule type="expression" dxfId="1840"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defaultRowHeight="12.75"/>
  <cols>
    <col min="1" max="1" width="26" customWidth="1"/>
    <col min="2" max="8" width="22" customWidth="1"/>
  </cols>
  <sheetData>
    <row r="1" spans="1:8" ht="11.1" customHeight="1">
      <c r="A1" s="615" t="s">
        <v>111</v>
      </c>
      <c r="B1" s="613"/>
      <c r="C1" s="613"/>
      <c r="D1" s="613"/>
      <c r="E1" s="613"/>
      <c r="F1" s="613"/>
      <c r="G1" s="613"/>
      <c r="H1" s="614"/>
    </row>
    <row r="3" spans="1:8" ht="30.75" customHeight="1">
      <c r="A3" s="180" t="s">
        <v>112</v>
      </c>
      <c r="B3" s="616" t="s">
        <v>113</v>
      </c>
      <c r="C3" s="613"/>
      <c r="D3" s="613"/>
      <c r="E3" s="613"/>
      <c r="F3" s="613"/>
      <c r="G3" s="613"/>
      <c r="H3" s="614"/>
    </row>
    <row r="5" spans="1:8" ht="60.95" customHeight="1">
      <c r="A5" s="180" t="s">
        <v>114</v>
      </c>
      <c r="B5" s="616" t="s">
        <v>115</v>
      </c>
      <c r="C5" s="613"/>
      <c r="D5" s="613"/>
      <c r="E5" s="613"/>
      <c r="F5" s="613"/>
      <c r="G5" s="613"/>
      <c r="H5" s="614"/>
    </row>
    <row r="7" spans="1:8" ht="62.45" customHeight="1">
      <c r="A7" s="180" t="s">
        <v>116</v>
      </c>
      <c r="B7" s="616" t="s">
        <v>117</v>
      </c>
      <c r="C7" s="613"/>
      <c r="D7" s="613"/>
      <c r="E7" s="613"/>
      <c r="F7" s="613"/>
      <c r="G7" s="613"/>
      <c r="H7" s="614"/>
    </row>
    <row r="9" spans="1:8" ht="48.4" customHeight="1">
      <c r="A9" s="180" t="s">
        <v>118</v>
      </c>
      <c r="B9" s="616" t="s">
        <v>119</v>
      </c>
      <c r="C9" s="613"/>
      <c r="D9" s="613"/>
      <c r="E9" s="613"/>
      <c r="F9" s="613"/>
      <c r="G9" s="613"/>
      <c r="H9" s="614"/>
    </row>
    <row r="11" spans="1:8" ht="30.75" customHeight="1">
      <c r="A11" s="180" t="s">
        <v>120</v>
      </c>
      <c r="B11" s="616" t="s">
        <v>121</v>
      </c>
      <c r="C11" s="613"/>
      <c r="D11" s="613"/>
      <c r="E11" s="613"/>
      <c r="F11" s="613"/>
      <c r="G11" s="613"/>
      <c r="H11" s="614"/>
    </row>
    <row r="14" spans="1:8" ht="67.5" customHeight="1">
      <c r="A14" s="190" t="s">
        <v>122</v>
      </c>
      <c r="B14" s="191" t="s">
        <v>123</v>
      </c>
      <c r="C14" s="181" t="str">
        <f>HYPERLINK("#'Command_Center'!A1","Command Center")</f>
        <v>Command Center</v>
      </c>
      <c r="D14" s="181" t="str">
        <f>HYPERLINK("#'PMIS_Data'!A1","PMIS_Data")</f>
        <v>PMIS_Data</v>
      </c>
      <c r="E14" s="181" t="str">
        <f>HYPERLINK("#'PMIS_Trade_Notes'!A1","PMIS_Trade_Notes")</f>
        <v>PMIS_Trade_Notes</v>
      </c>
      <c r="F14" s="181" t="str">
        <f>HYPERLINK("#'Data_Health'!A1","Data Health")</f>
        <v>Data Health</v>
      </c>
      <c r="G14" s="181"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topLeftCell="A11" workbookViewId="0">
      <selection activeCell="C7" sqref="C7"/>
    </sheetView>
  </sheetViews>
  <sheetFormatPr defaultColWidth="8.7109375" defaultRowHeight="12.75"/>
  <cols>
    <col min="1" max="1" width="12" customWidth="1"/>
    <col min="2" max="15" width="14" customWidth="1"/>
    <col min="16" max="16" width="17" customWidth="1"/>
    <col min="17" max="19" width="14" customWidth="1"/>
    <col min="20" max="20" width="18.28515625" customWidth="1"/>
    <col min="21" max="25" width="12" customWidth="1"/>
    <col min="26" max="28" width="12" hidden="1" customWidth="1"/>
  </cols>
  <sheetData>
    <row r="1" spans="1:28" ht="30" customHeight="1">
      <c r="A1" s="1"/>
      <c r="B1" s="622" t="s">
        <v>124</v>
      </c>
      <c r="C1" s="618"/>
      <c r="D1" s="618"/>
      <c r="E1" s="618"/>
      <c r="F1" s="618"/>
      <c r="G1" s="618"/>
      <c r="H1" s="618"/>
      <c r="I1" s="618"/>
      <c r="J1" s="618"/>
      <c r="K1" s="618"/>
      <c r="L1" s="618"/>
      <c r="M1" s="618"/>
      <c r="N1" s="618"/>
      <c r="O1" s="618"/>
      <c r="P1" s="618"/>
      <c r="Q1" s="618"/>
      <c r="R1" s="618"/>
      <c r="S1" s="1" t="s">
        <v>125</v>
      </c>
      <c r="T1" s="2">
        <f ca="1">NOW()</f>
        <v>46251.417467245374</v>
      </c>
      <c r="U1" s="1"/>
      <c r="V1" s="1"/>
      <c r="W1" s="1"/>
      <c r="X1" s="1"/>
      <c r="Y1" s="1"/>
      <c r="Z1" s="1" t="s">
        <v>126</v>
      </c>
      <c r="AA1" s="1" t="s">
        <v>127</v>
      </c>
      <c r="AB1" s="1" t="s">
        <v>128</v>
      </c>
    </row>
    <row r="2" spans="1:28" ht="24" customHeight="1">
      <c r="A2" s="1"/>
      <c r="B2" s="617" t="s">
        <v>129</v>
      </c>
      <c r="C2" s="618"/>
      <c r="D2" s="618"/>
      <c r="E2" s="618"/>
      <c r="F2" s="618"/>
      <c r="G2" s="618"/>
      <c r="H2" s="618"/>
      <c r="I2" s="618"/>
      <c r="J2" s="618"/>
      <c r="K2" s="618"/>
      <c r="L2" s="618"/>
      <c r="M2" s="618"/>
      <c r="N2" s="618"/>
      <c r="O2" s="618"/>
      <c r="P2" s="618"/>
      <c r="Q2" s="618"/>
      <c r="R2" s="618"/>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0.48333333333333334</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621" t="str">
        <f>IFERROR(INDEX(_V4_ActionQueue!$F$4:$F$33,MATCH(1,_V4_ActionQueue!$A$4:$A$33,0)),"Monitor")</f>
        <v>READY BUILDING</v>
      </c>
      <c r="Q4" s="620"/>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Verify</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0.5</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Verify</v>
      </c>
      <c r="L10" s="169" t="s">
        <v>149</v>
      </c>
      <c r="M10" s="164" t="str">
        <f>IFERROR(INDEX(PMIS_Data!$P$3:$P$94,$Z$2),"")</f>
        <v>Verify</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Verify</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Verify</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6" customHeight="1">
      <c r="A16" s="1"/>
      <c r="B16" s="619" t="str">
        <f>HYPERLINK("#'"&amp;$AA$2&amp;"'!A1","Open selected Building Assessment")</f>
        <v>Open selected Building Assessment</v>
      </c>
      <c r="C16" s="620"/>
      <c r="D16" s="1"/>
      <c r="E16" s="1"/>
      <c r="F16" s="1"/>
      <c r="G16" s="1"/>
      <c r="H16" s="1"/>
      <c r="I16" s="1"/>
      <c r="J16" s="4" t="s">
        <v>157</v>
      </c>
      <c r="K16" s="5" t="str">
        <f>IFERROR(INDEX(PMIS_Data!$O$3:$O$94,$Z$2),"")</f>
        <v>Verify</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4.9000000000000004"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15"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0.5</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0.900000000000006"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39" priority="6">
      <formula>OR(ISNUMBER(SEARCH("Red",C12)),ISNUMBER(SEARCH("Critical",C12)),ISNUMBER(SEARCH("SHUTDOWN",C12)))</formula>
    </cfRule>
    <cfRule type="expression" dxfId="1838" priority="7">
      <formula>OR(ISNUMBER(SEARCH("Green",C12)),ISNUMBER(SEARCH("Ready",C12)))</formula>
    </cfRule>
    <cfRule type="expression" dxfId="1837" priority="8">
      <formula>OR(ISNUMBER(SEARCH("Yellow",C12)),ISNUMBER(SEARCH("Question",C12)))</formula>
    </cfRule>
  </conditionalFormatting>
  <conditionalFormatting sqref="C14:E14">
    <cfRule type="expression" dxfId="1836" priority="12">
      <formula>OR(ISNUMBER(SEARCH("Red",C14)),ISNUMBER(SEARCH("Critical",C14)),ISNUMBER(SEARCH("SHUTDOWN",C14)))</formula>
    </cfRule>
    <cfRule type="expression" dxfId="1835" priority="13">
      <formula>OR(ISNUMBER(SEARCH("Green",C14)),ISNUMBER(SEARCH("Ready",C14)))</formula>
    </cfRule>
    <cfRule type="expression" dxfId="1834"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33" priority="2">
      <formula>OR(ISNUMBER(SEARCH("Red",F9)),ISNUMBER(SEARCH("Critical",F9)),ISNUMBER(SEARCH("SHUTDOWN",F9)))</formula>
    </cfRule>
    <cfRule type="expression" dxfId="1832" priority="3">
      <formula>OR(ISNUMBER(SEARCH("Green",F9)),ISNUMBER(SEARCH("Ready",F9)))</formula>
    </cfRule>
    <cfRule type="expression" dxfId="1831" priority="4">
      <formula>OR(ISNUMBER(SEARCH("Yellow",F9)),ISNUMBER(SEARCH("Question",F9)))</formula>
    </cfRule>
  </conditionalFormatting>
  <conditionalFormatting sqref="P8:T9">
    <cfRule type="expression" dxfId="1830" priority="15">
      <formula>OR(ISNUMBER(SEARCH("Red",P8)),ISNUMBER(SEARCH("Critical",P8)),ISNUMBER(SEARCH("SHUTDOWN",P8)))</formula>
    </cfRule>
    <cfRule type="expression" dxfId="1829" priority="16">
      <formula>OR(ISNUMBER(SEARCH("Green",P8)),ISNUMBER(SEARCH("Ready",P8)))</formula>
    </cfRule>
    <cfRule type="expression" dxfId="1828"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topLeftCell="A38" workbookViewId="0"/>
  </sheetViews>
  <sheetFormatPr defaultColWidth="8.85546875" defaultRowHeight="15"/>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46251</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1</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623" t="s">
        <v>244</v>
      </c>
      <c r="B39" s="624"/>
      <c r="C39" s="624"/>
      <c r="D39" s="624"/>
      <c r="E39" s="624"/>
      <c r="F39" s="624"/>
      <c r="G39" s="624"/>
      <c r="H39" s="624"/>
      <c r="I39" s="624"/>
      <c r="J39" s="624"/>
      <c r="K39" s="624"/>
      <c r="L39" s="625"/>
    </row>
    <row r="40" spans="1:12" ht="78.75" customHeight="1">
      <c r="A40" s="623" t="s">
        <v>245</v>
      </c>
      <c r="B40" s="624"/>
      <c r="C40" s="624"/>
      <c r="D40" s="624"/>
      <c r="E40" s="624"/>
      <c r="F40" s="624"/>
      <c r="G40" s="624"/>
      <c r="H40" s="624"/>
      <c r="I40" s="624"/>
      <c r="J40" s="624"/>
      <c r="K40" s="624"/>
      <c r="L40" s="625"/>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27" priority="2">
      <formula>$C14="Closed"</formula>
    </cfRule>
    <cfRule type="expression" dxfId="1826" priority="3">
      <formula>$C14="Complete"</formula>
    </cfRule>
    <cfRule type="expression" dxfId="1825" priority="4">
      <formula>$C14="Delayed"</formula>
    </cfRule>
    <cfRule type="expression" dxfId="1824" priority="5">
      <formula>$C14="On Hold"</formula>
    </cfRule>
    <cfRule type="expression" dxfId="1823" priority="6">
      <formula>$C14="In Progress"</formula>
    </cfRule>
  </conditionalFormatting>
  <conditionalFormatting sqref="E23:E27">
    <cfRule type="expression" dxfId="1822" priority="12">
      <formula>$E23="Closed"</formula>
    </cfRule>
    <cfRule type="expression" dxfId="1821" priority="13">
      <formula>$E23="Complete"</formula>
    </cfRule>
    <cfRule type="expression" dxfId="1820" priority="14">
      <formula>$E23="Delayed"</formula>
    </cfRule>
    <cfRule type="expression" dxfId="1819" priority="15">
      <formula>$E23="On Hold"</formula>
    </cfRule>
    <cfRule type="expression" dxfId="1818" priority="16">
      <formula>$E23="In Progress"</formula>
    </cfRule>
  </conditionalFormatting>
  <conditionalFormatting sqref="F22:F26">
    <cfRule type="expression" dxfId="1817" priority="22">
      <formula>F22="Open"</formula>
    </cfRule>
    <cfRule type="expression" dxfId="1816" priority="23">
      <formula>F22="Pending"</formula>
    </cfRule>
    <cfRule type="expression" dxfId="1815" priority="24">
      <formula>F22="In Progress"</formula>
    </cfRule>
  </conditionalFormatting>
  <conditionalFormatting sqref="F31:F35">
    <cfRule type="expression" dxfId="1814" priority="28">
      <formula>F31="Open"</formula>
    </cfRule>
    <cfRule type="expression" dxfId="1813" priority="29">
      <formula>F31="Pending"</formula>
    </cfRule>
    <cfRule type="expression" dxfId="1812" priority="30">
      <formula>F31="In Progress"</formula>
    </cfRule>
  </conditionalFormatting>
  <conditionalFormatting sqref="J31:J35">
    <cfRule type="expression" dxfId="1811" priority="31">
      <formula>J31="Open"</formula>
    </cfRule>
    <cfRule type="expression" dxfId="1810" priority="32">
      <formula>J31="Pending"</formula>
    </cfRule>
    <cfRule type="expression" dxfId="1809" priority="33">
      <formula>J31="In Progress"</formula>
    </cfRule>
  </conditionalFormatting>
  <conditionalFormatting sqref="K14:K19">
    <cfRule type="expression" dxfId="1808" priority="7">
      <formula>$K14="Closed"</formula>
    </cfRule>
    <cfRule type="expression" dxfId="1807" priority="8">
      <formula>$K14="Complete"</formula>
    </cfRule>
    <cfRule type="expression" dxfId="1806" priority="9">
      <formula>$K14="Delayed"</formula>
    </cfRule>
    <cfRule type="expression" dxfId="1805" priority="10">
      <formula>$K14="On Hold"</formula>
    </cfRule>
    <cfRule type="expression" dxfId="1804" priority="11">
      <formula>$K14="In Progress"</formula>
    </cfRule>
  </conditionalFormatting>
  <conditionalFormatting sqref="K22:K26">
    <cfRule type="expression" dxfId="1803" priority="25">
      <formula>K22="Open"</formula>
    </cfRule>
    <cfRule type="expression" dxfId="1802" priority="26">
      <formula>K22="Pending"</formula>
    </cfRule>
    <cfRule type="expression" dxfId="1801" priority="27">
      <formula>K22="In Progress"</formula>
    </cfRule>
  </conditionalFormatting>
  <conditionalFormatting sqref="K24:K28">
    <cfRule type="expression" dxfId="1800" priority="17">
      <formula>$K24="Closed"</formula>
    </cfRule>
    <cfRule type="expression" dxfId="1799" priority="18">
      <formula>$K24="Complete"</formula>
    </cfRule>
    <cfRule type="expression" dxfId="1798" priority="19">
      <formula>$K24="Delayed"</formula>
    </cfRule>
    <cfRule type="expression" dxfId="1797" priority="20">
      <formula>$K24="On Hold"</formula>
    </cfRule>
    <cfRule type="expression" dxfId="1796"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topLeftCell="A51" workbookViewId="0"/>
  </sheetViews>
  <sheetFormatPr defaultColWidth="8.7109375" defaultRowHeight="15"/>
  <cols>
    <col min="1" max="1" width="17.285156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topLeftCell="A7" zoomScale="80" zoomScaleNormal="80" workbookViewId="0">
      <selection activeCell="C17" sqref="C17"/>
    </sheetView>
  </sheetViews>
  <sheetFormatPr defaultColWidth="8.7109375" defaultRowHeight="12.75"/>
  <cols>
    <col min="1" max="1" width="23.5703125" customWidth="1"/>
    <col min="2" max="2" width="28" customWidth="1"/>
    <col min="3" max="3" width="17.42578125" customWidth="1"/>
    <col min="4" max="4" width="12" customWidth="1"/>
    <col min="5" max="5" width="14" customWidth="1"/>
    <col min="6" max="6" width="12" customWidth="1"/>
    <col min="7" max="7" width="16.7109375" customWidth="1"/>
    <col min="8" max="8" width="17" customWidth="1"/>
    <col min="9" max="9" width="15.85546875" customWidth="1"/>
    <col min="10" max="10" width="15.7109375" customWidth="1"/>
    <col min="11" max="11" width="13.140625" customWidth="1"/>
    <col min="12" max="12" width="20.7109375" customWidth="1"/>
    <col min="13" max="13" width="14" customWidth="1"/>
    <col min="14" max="15" width="15.7109375" customWidth="1"/>
    <col min="16" max="16" width="21.42578125" customWidth="1"/>
    <col min="17" max="33" width="13" hidden="1" customWidth="1"/>
    <col min="34" max="34" width="3.85546875" customWidth="1"/>
    <col min="35" max="35" width="5.28515625" customWidth="1"/>
  </cols>
  <sheetData>
    <row r="1" spans="1:28" s="286" customFormat="1" ht="78" customHeight="1" thickBot="1">
      <c r="A1" s="626" t="s">
        <v>5559</v>
      </c>
      <c r="B1" s="627"/>
      <c r="C1" s="627"/>
      <c r="D1" s="627"/>
      <c r="E1" s="627"/>
      <c r="F1" s="627"/>
      <c r="G1" s="627"/>
      <c r="H1" s="627"/>
      <c r="I1" s="627"/>
      <c r="J1" s="627"/>
      <c r="K1" s="627"/>
      <c r="L1" s="627"/>
      <c r="M1" s="627"/>
      <c r="N1" s="627"/>
      <c r="O1" s="627"/>
      <c r="P1" s="628"/>
      <c r="Q1" s="283"/>
      <c r="R1" s="283"/>
      <c r="S1" s="284" t="s">
        <v>125</v>
      </c>
      <c r="T1" s="285">
        <f ca="1">NOW()</f>
        <v>46251.417467361112</v>
      </c>
      <c r="U1" s="284"/>
      <c r="V1" s="284"/>
      <c r="W1" s="284"/>
      <c r="X1" s="284"/>
      <c r="Y1" s="284"/>
      <c r="Z1" s="284" t="s">
        <v>126</v>
      </c>
      <c r="AA1" s="284" t="s">
        <v>127</v>
      </c>
      <c r="AB1" s="284" t="s">
        <v>128</v>
      </c>
    </row>
    <row r="2" spans="1:28" s="192" customFormat="1" ht="54.6" customHeight="1" thickBot="1">
      <c r="A2" s="195"/>
      <c r="B2" s="650" t="str">
        <f>IF($B$14&gt;=0.9,"MISSION STATUS: OPERATIONAL  ",IF($B$14&gt;=0.75,"MISSION STATUS: WATCH  ",IF($B$14&gt;=0.5,"MISSION STATUS: AT RISK  ","MISSION STATUS: CRITICAL  ")))&amp;REPT("█",ROUND($B$14*20,0))&amp;REPT("░",20-ROUND($B$14*20,0))&amp;"  "&amp;TEXT($B$14,"0%")</f>
        <v>MISSION STATUS: CRITICAL  ██████████░░░░░░░░░░  48%</v>
      </c>
      <c r="C2" s="650"/>
      <c r="D2" s="650"/>
      <c r="E2" s="650"/>
      <c r="F2" s="650"/>
      <c r="G2" s="650"/>
      <c r="H2" s="650"/>
      <c r="I2" s="650"/>
      <c r="J2" s="650"/>
      <c r="K2" s="650"/>
      <c r="L2" s="650"/>
      <c r="M2" s="650"/>
      <c r="N2" s="650"/>
      <c r="O2" s="650"/>
      <c r="P2" s="650"/>
      <c r="Q2" s="651"/>
      <c r="R2" s="651"/>
      <c r="S2" s="194"/>
      <c r="T2" s="194"/>
      <c r="U2" s="194"/>
      <c r="V2" s="194"/>
      <c r="W2" s="194"/>
      <c r="X2" s="194"/>
      <c r="Y2" s="194"/>
      <c r="Z2" s="194">
        <f>IFERROR(MATCH($C$17,PMIS_Data!$A$3:$A$32,0),1)</f>
        <v>22</v>
      </c>
      <c r="AA2" s="194" t="str">
        <f>IFERROR(INDEX(PMIS_Data!$B$3:$B$32,$Z$2),"")</f>
        <v>B61_Assessment</v>
      </c>
      <c r="AB2" s="194" t="str">
        <f>$C$17&amp;""</f>
        <v>61</v>
      </c>
    </row>
    <row r="3" spans="1:28" ht="51.6" customHeight="1" thickBot="1">
      <c r="A3" s="704" t="s">
        <v>5467</v>
      </c>
      <c r="B3" s="705"/>
      <c r="C3" s="705"/>
      <c r="D3" s="705"/>
      <c r="E3" s="705"/>
      <c r="F3" s="705"/>
      <c r="G3" s="705"/>
      <c r="H3" s="705"/>
      <c r="I3" s="705"/>
      <c r="J3" s="705"/>
      <c r="K3" s="705"/>
      <c r="L3" s="705"/>
      <c r="M3" s="705"/>
      <c r="N3" s="705"/>
      <c r="O3" s="705"/>
      <c r="P3" s="706"/>
    </row>
    <row r="4" spans="1:28" ht="51.6" customHeight="1">
      <c r="A4" s="652"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653"/>
      <c r="C4" s="653"/>
      <c r="D4" s="654"/>
      <c r="E4" s="652"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653"/>
      <c r="G4" s="653"/>
      <c r="H4" s="654"/>
      <c r="I4" s="652"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653"/>
      <c r="K4" s="653"/>
      <c r="L4" s="654"/>
      <c r="M4" s="652"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653"/>
      <c r="O4" s="653"/>
      <c r="P4" s="654"/>
    </row>
    <row r="5" spans="1:28" ht="51.6" customHeight="1">
      <c r="A5" s="633"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50%  █████░░░░░
⚠ 0   ❓ 0
 </v>
      </c>
      <c r="B5" s="634"/>
      <c r="C5" s="634"/>
      <c r="D5" s="635"/>
      <c r="E5" s="633"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634"/>
      <c r="G5" s="634"/>
      <c r="H5" s="635"/>
      <c r="I5" s="633"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634"/>
      <c r="K5" s="634"/>
      <c r="L5" s="635"/>
      <c r="M5" s="633"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634"/>
      <c r="O5" s="634"/>
      <c r="P5" s="635"/>
    </row>
    <row r="6" spans="1:28" ht="51.6" customHeight="1">
      <c r="A6" s="633"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634"/>
      <c r="C6" s="634"/>
      <c r="D6" s="635"/>
      <c r="E6" s="633"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634"/>
      <c r="G6" s="634"/>
      <c r="H6" s="635"/>
      <c r="I6" s="633"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50%  █████░░░░░
⚠ 0   ❓ 0
 </v>
      </c>
      <c r="J6" s="634"/>
      <c r="K6" s="634"/>
      <c r="L6" s="635"/>
      <c r="M6" s="633"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634"/>
      <c r="O6" s="634"/>
      <c r="P6" s="635"/>
    </row>
    <row r="7" spans="1:28" ht="51.6" customHeight="1">
      <c r="A7" s="633"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634"/>
      <c r="C7" s="634"/>
      <c r="D7" s="635"/>
      <c r="E7" s="633"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634"/>
      <c r="G7" s="634"/>
      <c r="H7" s="635"/>
      <c r="I7" s="633"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634"/>
      <c r="K7" s="634"/>
      <c r="L7" s="635"/>
      <c r="M7" s="633"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634"/>
      <c r="O7" s="634"/>
      <c r="P7" s="635"/>
    </row>
    <row r="8" spans="1:28" ht="51.6" customHeight="1">
      <c r="A8" s="633"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634"/>
      <c r="C8" s="634"/>
      <c r="D8" s="635"/>
      <c r="E8" s="633"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634"/>
      <c r="G8" s="634"/>
      <c r="H8" s="635"/>
      <c r="I8" s="633"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634"/>
      <c r="K8" s="634"/>
      <c r="L8" s="635"/>
      <c r="M8" s="633"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634"/>
      <c r="O8" s="634"/>
      <c r="P8" s="635"/>
    </row>
    <row r="9" spans="1:28" ht="51.6" customHeight="1">
      <c r="A9" s="633"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634"/>
      <c r="C9" s="634"/>
      <c r="D9" s="635"/>
      <c r="E9" s="633"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34"/>
      <c r="G9" s="634"/>
      <c r="H9" s="635"/>
      <c r="I9" s="633"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634"/>
      <c r="K9" s="634"/>
      <c r="L9" s="635"/>
      <c r="M9" s="633"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634"/>
      <c r="O9" s="634"/>
      <c r="P9" s="635"/>
    </row>
    <row r="10" spans="1:28" s="192" customFormat="1" ht="52.5" customHeight="1">
      <c r="A10" s="633"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634"/>
      <c r="C10" s="634"/>
      <c r="D10" s="635"/>
      <c r="E10" s="633"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634"/>
      <c r="G10" s="634"/>
      <c r="H10" s="635"/>
      <c r="I10" s="633"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634"/>
      <c r="K10" s="634"/>
      <c r="L10" s="635"/>
      <c r="M10" s="633"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634"/>
      <c r="O10" s="634"/>
      <c r="P10" s="635"/>
    </row>
    <row r="11" spans="1:28" s="198" customFormat="1" ht="54.75" customHeight="1">
      <c r="A11" s="633"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634"/>
      <c r="C11" s="634"/>
      <c r="D11" s="635"/>
      <c r="E11" s="633"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634"/>
      <c r="G11" s="634"/>
      <c r="H11" s="635"/>
      <c r="I11" s="633"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34"/>
      <c r="K11" s="634"/>
      <c r="L11" s="635"/>
      <c r="M11" s="633"/>
      <c r="N11" s="634"/>
      <c r="O11" s="634"/>
      <c r="P11" s="635"/>
      <c r="Q11" s="196"/>
      <c r="R11" s="197" t="s">
        <v>319</v>
      </c>
      <c r="S11" s="182" t="str">
        <f>HYPERLINK("#'Data_Health'!A1","Data Health")</f>
        <v>Data Health</v>
      </c>
      <c r="T11" s="196"/>
      <c r="U11" s="196"/>
      <c r="V11" s="196"/>
      <c r="W11" s="196"/>
      <c r="X11" s="196"/>
      <c r="Y11" s="196"/>
      <c r="Z11" s="196"/>
      <c r="AA11" s="196"/>
      <c r="AB11" s="196"/>
    </row>
    <row r="12" spans="1:28" s="192" customFormat="1" ht="37.5" customHeight="1">
      <c r="A12" s="665"/>
      <c r="B12" s="665"/>
      <c r="C12" s="665"/>
      <c r="D12" s="665"/>
      <c r="E12" s="665"/>
      <c r="F12" s="665"/>
      <c r="G12" s="665"/>
      <c r="H12" s="665"/>
      <c r="I12" s="665"/>
      <c r="J12" s="665"/>
      <c r="K12" s="665"/>
      <c r="L12" s="665"/>
      <c r="M12" s="665"/>
      <c r="N12" s="665"/>
      <c r="O12" s="665"/>
      <c r="P12" s="665"/>
      <c r="Q12" s="194"/>
      <c r="R12" s="197" t="s">
        <v>320</v>
      </c>
      <c r="S12" s="182" t="str">
        <f>HYPERLINK("#'README_ARCHITECTURE'!A1","Architecture")</f>
        <v>Architecture</v>
      </c>
      <c r="T12" s="194"/>
      <c r="U12" s="194"/>
      <c r="V12" s="194"/>
      <c r="W12" s="194"/>
      <c r="X12" s="194"/>
      <c r="Y12" s="194"/>
      <c r="Z12" s="194"/>
      <c r="AA12" s="194"/>
      <c r="AB12" s="194"/>
    </row>
    <row r="13" spans="1:28" s="192" customFormat="1" ht="24" customHeight="1">
      <c r="A13" s="265"/>
      <c r="B13" s="663" t="s">
        <v>318</v>
      </c>
      <c r="C13" s="664"/>
      <c r="D13" s="663" t="s">
        <v>131</v>
      </c>
      <c r="E13" s="664"/>
      <c r="F13" s="663" t="s">
        <v>132</v>
      </c>
      <c r="G13" s="664"/>
      <c r="H13" s="663" t="s">
        <v>133</v>
      </c>
      <c r="I13" s="664"/>
      <c r="J13" s="663" t="s">
        <v>134</v>
      </c>
      <c r="K13" s="664"/>
      <c r="L13" s="663" t="s">
        <v>135</v>
      </c>
      <c r="M13" s="664"/>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15" customHeight="1">
      <c r="A14" s="194"/>
      <c r="B14" s="702">
        <f>IFERROR(AVERAGE(PMIS_Data!$E$3:$E$32),0)</f>
        <v>0.48333333333333334</v>
      </c>
      <c r="C14" s="703"/>
      <c r="D14" s="707">
        <f>COUNTA(PMIS_Data!$A$3:$A$32)</f>
        <v>30</v>
      </c>
      <c r="E14" s="708"/>
      <c r="F14" s="707">
        <f>SUM(PMIS_Data!$H$3:$H$32)</f>
        <v>0</v>
      </c>
      <c r="G14" s="708"/>
      <c r="H14" s="707">
        <f>SUM(PMIS_Data!$I$3:$I$32)</f>
        <v>0</v>
      </c>
      <c r="I14" s="708"/>
      <c r="J14" s="707">
        <f>SUM(PMIS_Data!$J$3:$J$32)</f>
        <v>0</v>
      </c>
      <c r="K14" s="708"/>
      <c r="L14" s="707">
        <f>SUM(PMIS_Data!$X$3:$X$32)</f>
        <v>0</v>
      </c>
      <c r="M14" s="708"/>
      <c r="N14" s="199">
        <f>COUNTIF(PMIS_Data!$F$3:$F$32,"No")</f>
        <v>29</v>
      </c>
      <c r="O14" s="194"/>
      <c r="P14" s="194"/>
      <c r="Q14" s="202"/>
      <c r="R14" s="202"/>
      <c r="S14" s="202"/>
      <c r="T14" s="202"/>
      <c r="U14" s="202"/>
      <c r="V14" s="202"/>
      <c r="W14" s="202"/>
      <c r="X14" s="202"/>
      <c r="Y14" s="202"/>
      <c r="Z14" s="202"/>
      <c r="AA14" s="202"/>
      <c r="AB14" s="202"/>
    </row>
    <row r="15" spans="1:28" s="192" customFormat="1" ht="22.1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s="192" customFormat="1" ht="27.6" customHeight="1">
      <c r="A16" s="202"/>
      <c r="B16" s="694" t="s">
        <v>322</v>
      </c>
      <c r="C16" s="695"/>
      <c r="D16" s="695"/>
      <c r="E16" s="695"/>
      <c r="F16" s="695"/>
      <c r="G16" s="695"/>
      <c r="H16" s="696"/>
      <c r="I16" s="202"/>
      <c r="J16" s="765" t="s">
        <v>140</v>
      </c>
      <c r="K16" s="766"/>
      <c r="L16" s="767"/>
      <c r="M16" s="202"/>
      <c r="N16" s="194"/>
      <c r="O16" s="202"/>
      <c r="P16" s="202"/>
      <c r="Q16" s="194"/>
      <c r="R16" s="194"/>
      <c r="S16" s="194"/>
      <c r="T16" s="194"/>
      <c r="U16" s="194"/>
      <c r="V16" s="194"/>
      <c r="W16" s="194"/>
      <c r="X16" s="194"/>
      <c r="Y16" s="194"/>
      <c r="Z16" s="194"/>
      <c r="AA16" s="194"/>
      <c r="AB16" s="194"/>
    </row>
    <row r="17" spans="1:28" s="192" customFormat="1" ht="27" customHeight="1">
      <c r="A17" s="194"/>
      <c r="B17" s="204" t="s">
        <v>323</v>
      </c>
      <c r="C17" s="218" t="s">
        <v>374</v>
      </c>
      <c r="D17" s="268"/>
      <c r="E17" s="268"/>
      <c r="F17" s="697" t="s">
        <v>324</v>
      </c>
      <c r="G17" s="698"/>
      <c r="H17" s="699"/>
      <c r="I17" s="194"/>
      <c r="J17" s="768"/>
      <c r="K17" s="769"/>
      <c r="L17" s="770"/>
      <c r="M17" s="194"/>
      <c r="N17" s="194"/>
      <c r="O17" s="194"/>
      <c r="P17" s="194"/>
      <c r="Q17" s="194"/>
      <c r="R17" s="194"/>
      <c r="S17" s="194"/>
      <c r="T17" s="194"/>
      <c r="U17" s="194"/>
      <c r="V17" s="194"/>
      <c r="W17" s="194"/>
      <c r="X17" s="194"/>
      <c r="Y17" s="194"/>
      <c r="Z17" s="194"/>
      <c r="AA17" s="194"/>
      <c r="AB17" s="194"/>
    </row>
    <row r="18" spans="1:28" s="198" customFormat="1" ht="22.15" customHeight="1" thickBot="1">
      <c r="A18" s="194"/>
      <c r="B18" s="205" t="s">
        <v>325</v>
      </c>
      <c r="C18" s="269" t="str">
        <f>"Building "&amp;TEXT($C$17,"00")</f>
        <v>Building 61</v>
      </c>
      <c r="D18" s="268"/>
      <c r="E18" s="268"/>
      <c r="F18" s="206" t="s">
        <v>326</v>
      </c>
      <c r="G18" s="700" t="str">
        <f>REPT("█",ROUND($F$19*12,0))&amp;REPT("░",12-ROUND($F$19*12,0))</f>
        <v>░░░░░░░░░░░░</v>
      </c>
      <c r="H18" s="701"/>
      <c r="I18" s="194"/>
      <c r="J18" s="761" t="str">
        <f>"ROOMS"&amp;CHAR(10)&amp;IFERROR(INDEX(PMIS_Data!$G$3:$G$100,$Z$2),0)</f>
        <v>ROOMS
29</v>
      </c>
      <c r="K18" s="264"/>
      <c r="L18" s="759"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s="192" customFormat="1" ht="21.75" customHeight="1">
      <c r="A19" s="194"/>
      <c r="B19" s="205" t="s">
        <v>139</v>
      </c>
      <c r="C19" s="270" t="str">
        <f>IF($F$19&gt;=0.9,"OPERATIONAL",IF($F$19&gt;=0.75,"WATCH",IF($F$19&gt;=0.5,"AT RISK","CRITICAL")))</f>
        <v>CRITICAL</v>
      </c>
      <c r="D19" s="268"/>
      <c r="E19" s="268"/>
      <c r="F19" s="208">
        <f>IFERROR(INDEX(PMIS_Data!$E$3:$E$94,$Z$2),0)</f>
        <v>0</v>
      </c>
      <c r="G19" s="271"/>
      <c r="H19" s="209"/>
      <c r="I19" s="194"/>
      <c r="J19" s="762"/>
      <c r="K19" s="264"/>
      <c r="L19" s="760"/>
      <c r="M19" s="194"/>
      <c r="N19" s="194"/>
      <c r="O19" s="194"/>
      <c r="P19" s="194"/>
      <c r="Q19" s="194"/>
      <c r="R19" s="194"/>
      <c r="S19" s="194"/>
      <c r="T19" s="194"/>
      <c r="U19" s="194"/>
      <c r="V19" s="194"/>
      <c r="W19" s="194"/>
      <c r="X19" s="194"/>
      <c r="Y19" s="194"/>
      <c r="Z19" s="194"/>
      <c r="AA19" s="194"/>
      <c r="AB19" s="194"/>
    </row>
    <row r="20" spans="1:28" s="192" customFormat="1" ht="22.15" customHeight="1">
      <c r="A20" s="196"/>
      <c r="B20" s="204" t="s">
        <v>327</v>
      </c>
      <c r="C20" s="239" t="str">
        <f>IFERROR(INDEX(PMIS_Data!$B$3:$B$94,$Z$2),"")</f>
        <v>B61_Assessment</v>
      </c>
      <c r="D20" s="268"/>
      <c r="E20" s="268"/>
      <c r="F20" s="271"/>
      <c r="G20" s="271"/>
      <c r="H20" s="209"/>
      <c r="I20" s="196"/>
      <c r="J20" s="236"/>
      <c r="K20" s="264"/>
      <c r="L20" s="237"/>
      <c r="M20" s="194"/>
      <c r="N20" s="194"/>
      <c r="O20" s="196"/>
      <c r="P20" s="196"/>
      <c r="Q20" s="194"/>
      <c r="R20" s="194"/>
      <c r="S20" s="194"/>
      <c r="T20" s="194"/>
      <c r="U20" s="194"/>
      <c r="V20" s="194"/>
      <c r="W20" s="194"/>
      <c r="X20" s="194"/>
      <c r="Y20" s="194"/>
      <c r="Z20" s="194"/>
      <c r="AA20" s="194"/>
      <c r="AB20" s="194"/>
    </row>
    <row r="21" spans="1:28" s="192" customFormat="1" ht="14.45" customHeight="1" thickBot="1">
      <c r="A21" s="194"/>
      <c r="B21" s="205"/>
      <c r="C21" s="268"/>
      <c r="D21" s="268"/>
      <c r="E21" s="268"/>
      <c r="F21" s="271"/>
      <c r="G21" s="271"/>
      <c r="H21" s="209"/>
      <c r="I21" s="194"/>
      <c r="J21" s="755" t="str">
        <f>"HVAC"&amp;CHAR(10)&amp;IF(IFERROR(INDEX(PMIS_Data!$K$3:$K$100,$Z$2),"")="Pass","✓ PASS",IFERROR(INDEX(PMIS_Data!$K$3:$K$100,$Z$2),"REVIEW"))</f>
        <v>HVAC
Verify</v>
      </c>
      <c r="K21" s="264"/>
      <c r="L21" s="757"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s="192" customFormat="1" ht="22.15" customHeight="1">
      <c r="A22" s="194"/>
      <c r="B22" s="204" t="s">
        <v>328</v>
      </c>
      <c r="C22" s="210" t="str">
        <f>IFERROR(INDEX(PMIS_Data!$C$3:$C$94,$Z$2),"")</f>
        <v>PILOT PHASE</v>
      </c>
      <c r="D22" s="268"/>
      <c r="E22" s="268"/>
      <c r="F22" s="271"/>
      <c r="G22" s="271"/>
      <c r="H22" s="209"/>
      <c r="I22" s="194"/>
      <c r="J22" s="756"/>
      <c r="K22" s="264"/>
      <c r="L22" s="758"/>
      <c r="M22" s="194"/>
      <c r="N22" s="194"/>
      <c r="O22" s="194"/>
      <c r="P22" s="194"/>
      <c r="Q22" s="194"/>
      <c r="R22" s="194"/>
      <c r="S22" s="194"/>
      <c r="T22" s="194"/>
      <c r="U22" s="194"/>
      <c r="V22" s="194"/>
      <c r="W22" s="194"/>
      <c r="X22" s="194"/>
      <c r="Y22" s="194"/>
      <c r="Z22" s="194"/>
      <c r="AA22" s="194"/>
      <c r="AB22" s="194"/>
    </row>
    <row r="23" spans="1:28" s="192" customFormat="1" ht="19.899999999999999" customHeight="1">
      <c r="A23" s="194"/>
      <c r="B23" s="205"/>
      <c r="C23" s="268"/>
      <c r="D23" s="268"/>
      <c r="E23" s="268"/>
      <c r="F23" s="271"/>
      <c r="G23" s="271"/>
      <c r="H23" s="209"/>
      <c r="I23" s="194"/>
      <c r="J23" s="236"/>
      <c r="K23" s="264"/>
      <c r="L23" s="237"/>
      <c r="M23" s="194"/>
      <c r="N23" s="194"/>
      <c r="O23" s="194"/>
      <c r="P23" s="194"/>
      <c r="Q23" s="194"/>
      <c r="R23" s="194"/>
      <c r="S23" s="194"/>
      <c r="T23" s="194"/>
      <c r="U23" s="194"/>
      <c r="V23" s="194"/>
      <c r="W23" s="194"/>
      <c r="X23" s="194"/>
      <c r="Y23" s="194"/>
      <c r="Z23" s="194"/>
      <c r="AA23" s="194"/>
      <c r="AB23" s="194"/>
    </row>
    <row r="24" spans="1:28" s="192" customFormat="1" ht="27.6" customHeight="1" thickBot="1">
      <c r="A24" s="194"/>
      <c r="B24" s="204" t="s">
        <v>329</v>
      </c>
      <c r="C24" s="210" t="str">
        <f>IFERROR(INDEX(PMIS_Data!$F$3:$F$94,$Z$2),"")</f>
        <v>YES</v>
      </c>
      <c r="D24" s="268"/>
      <c r="E24" s="268"/>
      <c r="F24" s="271"/>
      <c r="G24" s="271"/>
      <c r="H24" s="209"/>
      <c r="I24" s="194"/>
      <c r="J24" s="771" t="str">
        <f>"TELECOM"&amp;CHAR(10)&amp;IF(IFERROR(INDEX(PMIS_Data!$M$3:$M$100,$Z$2),"")="Pass","✓ PASS",IFERROR(INDEX(PMIS_Data!$M$3:$M$100,$Z$2),"REVIEW"))</f>
        <v>TELECOM
Verify</v>
      </c>
      <c r="K24" s="264"/>
      <c r="L24" s="763"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s="192" customFormat="1" ht="21.75" customHeight="1">
      <c r="A25" s="194"/>
      <c r="B25" s="211"/>
      <c r="C25" s="268"/>
      <c r="D25" s="268"/>
      <c r="E25" s="268"/>
      <c r="F25" s="271"/>
      <c r="G25" s="271"/>
      <c r="H25" s="209"/>
      <c r="I25" s="194"/>
      <c r="J25" s="772"/>
      <c r="K25" s="238"/>
      <c r="L25" s="764"/>
      <c r="M25" s="194"/>
      <c r="N25" s="194"/>
      <c r="O25" s="194"/>
      <c r="P25" s="194"/>
      <c r="Q25" s="194"/>
      <c r="R25" s="194"/>
      <c r="S25" s="194"/>
      <c r="T25" s="194"/>
      <c r="U25" s="194"/>
      <c r="V25" s="194"/>
      <c r="W25" s="194"/>
      <c r="X25" s="194"/>
      <c r="Y25" s="194"/>
      <c r="Z25" s="194"/>
      <c r="AA25" s="194"/>
      <c r="AB25" s="194"/>
    </row>
    <row r="26" spans="1:28" s="192" customFormat="1"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s="192" customFormat="1"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s="192" customFormat="1"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s="192" customFormat="1"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s="192" customFormat="1"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s="192" customFormat="1"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s="192" customFormat="1"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3" s="192" customFormat="1"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3" s="192" customFormat="1" ht="21.75" hidden="1" customHeight="1">
      <c r="A34" s="194"/>
      <c r="B34" s="207" t="s">
        <v>165</v>
      </c>
      <c r="C34" s="194"/>
      <c r="D34" s="216">
        <f>SUM(PMIS_Data!$H$3:$H$32)</f>
        <v>0</v>
      </c>
      <c r="E34" s="194"/>
      <c r="F34" s="207" t="s">
        <v>165</v>
      </c>
      <c r="G34" s="194"/>
      <c r="H34" s="216">
        <f>SUM(PMIS_Data!$I$3:$I$32)</f>
        <v>0</v>
      </c>
      <c r="I34" s="194"/>
      <c r="J34" s="207" t="s">
        <v>166</v>
      </c>
      <c r="K34" s="194"/>
      <c r="L34" s="216">
        <f>COUNTA(Doc_Register!$A$5:$A$300)</f>
        <v>40</v>
      </c>
      <c r="M34" s="194"/>
      <c r="N34" s="207" t="s">
        <v>167</v>
      </c>
      <c r="O34" s="194"/>
      <c r="P34" s="216">
        <f>SUM(PMIS_Data!$X$3:$X$32)</f>
        <v>0</v>
      </c>
      <c r="Q34" s="194"/>
      <c r="R34" s="194"/>
      <c r="S34" s="194"/>
      <c r="T34" s="194"/>
      <c r="U34" s="194"/>
      <c r="V34" s="194"/>
      <c r="W34" s="194"/>
      <c r="X34" s="194"/>
      <c r="Y34" s="194"/>
      <c r="Z34" s="194"/>
      <c r="AA34" s="194"/>
      <c r="AB34" s="194"/>
    </row>
    <row r="35" spans="1:33" s="192" customFormat="1"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3" s="192" customFormat="1" ht="21.75" hidden="1" customHeight="1">
      <c r="A36" s="194"/>
      <c r="B36" s="207" t="s">
        <v>168</v>
      </c>
      <c r="C36" s="194"/>
      <c r="D36" s="216">
        <f>IFERROR(INDEX(_V4_ActionQueue!$A$4:$A$33,MATCH($C$17,_V4_ActionQueue!$B$4:$B$33,0)),"")</f>
        <v>30</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3" s="192" customFormat="1" ht="4.9000000000000004"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3" s="192" customFormat="1" ht="85.1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3" s="192" customFormat="1" ht="13.5">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3" s="192" customFormat="1" ht="40.9" customHeight="1">
      <c r="A40" s="194"/>
      <c r="B40" s="194" t="s">
        <v>172</v>
      </c>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3" s="198" customFormat="1" ht="21.75" customHeight="1">
      <c r="A41" s="194"/>
      <c r="B41" s="675" t="str">
        <f>HYPERLINK("#'"&amp;$AA$2&amp;"'!A1","Open selected Building Assessment")</f>
        <v>Open selected Building Assessment</v>
      </c>
      <c r="C41" s="676"/>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3" s="198" customFormat="1" ht="69" customHeight="1">
      <c r="A42" s="266" t="s">
        <v>142</v>
      </c>
      <c r="B42" s="266" t="s">
        <v>173</v>
      </c>
      <c r="C42" s="266" t="s">
        <v>77</v>
      </c>
      <c r="D42" s="266" t="s">
        <v>174</v>
      </c>
      <c r="E42" s="266" t="s">
        <v>175</v>
      </c>
      <c r="F42" s="266" t="s">
        <v>145</v>
      </c>
      <c r="G42" s="266" t="s">
        <v>176</v>
      </c>
      <c r="H42" s="266" t="s">
        <v>177</v>
      </c>
      <c r="I42" s="266" t="s">
        <v>178</v>
      </c>
      <c r="J42" s="266" t="s">
        <v>179</v>
      </c>
      <c r="K42" s="361" t="s">
        <v>5719</v>
      </c>
      <c r="L42" s="361" t="s">
        <v>5720</v>
      </c>
      <c r="M42" s="194"/>
      <c r="N42" s="194"/>
      <c r="O42" s="194"/>
      <c r="P42" s="194"/>
      <c r="Q42" s="196"/>
      <c r="R42" s="196"/>
      <c r="S42" s="196"/>
      <c r="T42" s="196"/>
      <c r="U42" s="196"/>
      <c r="V42" s="196"/>
      <c r="W42" s="196"/>
      <c r="X42" s="196"/>
      <c r="Y42" s="196"/>
      <c r="Z42" s="196"/>
      <c r="AA42" s="196"/>
      <c r="AB42" s="196"/>
    </row>
    <row r="43" spans="1:33"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342">
        <f ca="1">IFERROR(INDEX(PMIS_Data!$AK:$AK,MATCH($A$46,PMIS_Data!$A:$A,0)),0)</f>
        <v>0</v>
      </c>
      <c r="L43" s="339">
        <f ca="1">IFERROR(INDEX(PMIS_Data!$AL:$AL,MATCH($A$46,PMIS_Data!$A:$A,0)),0)</f>
        <v>0</v>
      </c>
      <c r="M43" s="196"/>
      <c r="N43" s="196"/>
      <c r="O43" s="196"/>
      <c r="P43" s="196"/>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row>
    <row r="44" spans="1:33" s="192" customFormat="1" ht="18" customHeight="1">
      <c r="A44" s="355"/>
      <c r="B44" s="355"/>
      <c r="C44" s="356"/>
      <c r="D44" s="357"/>
      <c r="E44" s="358"/>
      <c r="F44" s="358"/>
      <c r="G44" s="358"/>
      <c r="H44" s="358"/>
      <c r="I44" s="358"/>
      <c r="J44" s="358"/>
      <c r="K44" s="359"/>
      <c r="L44" s="360"/>
      <c r="M44" s="360"/>
      <c r="N44" s="360"/>
      <c r="O44" s="360"/>
      <c r="P44" s="360"/>
    </row>
    <row r="45" spans="1:33" s="362" customFormat="1" ht="69" customHeight="1">
      <c r="A45" s="266" t="s">
        <v>5715</v>
      </c>
      <c r="B45" s="340" t="s">
        <v>5716</v>
      </c>
      <c r="C45" s="341" t="s">
        <v>5636</v>
      </c>
      <c r="D45" s="361" t="s">
        <v>5717</v>
      </c>
      <c r="E45" s="361" t="s">
        <v>5641</v>
      </c>
      <c r="F45" s="361" t="s">
        <v>5699</v>
      </c>
      <c r="G45" s="361" t="s">
        <v>5718</v>
      </c>
      <c r="H45" s="361" t="s">
        <v>5701</v>
      </c>
      <c r="I45" s="361" t="s">
        <v>5630</v>
      </c>
      <c r="J45" s="363" t="s">
        <v>5651</v>
      </c>
      <c r="K45" s="361" t="s">
        <v>5721</v>
      </c>
      <c r="L45" s="361" t="s">
        <v>5722</v>
      </c>
      <c r="M45" s="194"/>
      <c r="N45" s="194"/>
      <c r="O45" s="194"/>
      <c r="P45" s="196"/>
      <c r="Z45" s="362" t="s">
        <v>331</v>
      </c>
    </row>
    <row r="46" spans="1:33"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No blocker documented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t="str">
        <f>IF($G$48="Campus","Campus",IFERROR(INDEX(_Command_Lists!$B$2:$B$33,MATCH($G$48,_Command_Lists!$A$2:$A$33,0)),$G$48))</f>
        <v>61</v>
      </c>
    </row>
    <row r="47" spans="1:33" ht="18" customHeight="1">
      <c r="A47" s="194"/>
      <c r="B47" s="194"/>
      <c r="C47" s="194"/>
      <c r="D47" s="194"/>
      <c r="E47" s="194"/>
      <c r="F47" s="194"/>
      <c r="G47" s="194"/>
      <c r="H47" s="194"/>
      <c r="I47" s="194"/>
      <c r="J47" s="194"/>
      <c r="K47" s="194"/>
      <c r="L47" s="194"/>
      <c r="M47" s="194"/>
      <c r="N47" s="194"/>
      <c r="O47" s="194"/>
      <c r="P47" s="194"/>
      <c r="AA47" t="str">
        <f>IFERROR(INDEX(_Command_Source!$B:$B,MATCH($Z$46,_Command_Source!$A:$A,0)),"")</f>
        <v>B61_Assessment</v>
      </c>
    </row>
    <row r="48" spans="1:33" ht="27.75" customHeight="1">
      <c r="A48" s="674" t="s">
        <v>332</v>
      </c>
      <c r="B48" s="632"/>
      <c r="C48" s="632"/>
      <c r="D48" s="632"/>
      <c r="E48" s="632"/>
      <c r="F48" s="630"/>
      <c r="G48" s="719" t="str">
        <f>IFERROR(INDEX(_Command_Lists!$A$2:$A$33,MATCH($C$17&amp;"",_Command_Lists!$B$2:$B$33,0)),IFERROR("B"&amp;TEXT(VALUE($C$17),"00"),$C$17&amp;""))</f>
        <v>B61</v>
      </c>
      <c r="H48" s="720"/>
      <c r="I48" s="721" t="s">
        <v>333</v>
      </c>
      <c r="J48" s="632"/>
      <c r="K48" s="632"/>
      <c r="L48" s="632"/>
      <c r="M48" s="632"/>
      <c r="N48" s="632"/>
      <c r="O48" s="632"/>
      <c r="P48" s="630"/>
    </row>
    <row r="49" spans="1:16" ht="24.75" customHeight="1">
      <c r="A49" s="54"/>
      <c r="B49" s="54"/>
      <c r="C49" s="54"/>
      <c r="D49" s="54"/>
      <c r="E49" s="54"/>
      <c r="F49" s="54"/>
      <c r="G49" s="54"/>
      <c r="H49" s="54"/>
      <c r="I49" s="54"/>
      <c r="J49" s="54"/>
      <c r="K49" s="54"/>
      <c r="L49" s="54"/>
      <c r="M49" s="54"/>
      <c r="N49" s="54"/>
      <c r="O49" s="54"/>
      <c r="P49" s="54"/>
    </row>
    <row r="50" spans="1:16" ht="24.75" customHeight="1" thickBot="1">
      <c r="A50" s="722" t="str">
        <f>"SELECTED BUILDING WORKSPACE — "&amp;$G$48&amp;" OPERATIONAL PICTURE"</f>
        <v>SELECTED BUILDING WORKSPACE — B61 OPERATIONAL PICTURE</v>
      </c>
      <c r="B50" s="632"/>
      <c r="C50" s="632"/>
      <c r="D50" s="632"/>
      <c r="E50" s="632"/>
      <c r="F50" s="632"/>
      <c r="G50" s="632"/>
      <c r="H50" s="632"/>
      <c r="I50" s="632"/>
      <c r="J50" s="632"/>
      <c r="K50" s="632"/>
      <c r="L50" s="632"/>
      <c r="M50" s="632"/>
      <c r="N50" s="632"/>
      <c r="O50" s="632"/>
      <c r="P50" s="630"/>
    </row>
    <row r="51" spans="1:16" ht="24.75" customHeight="1">
      <c r="A51" s="729"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730"/>
      <c r="C51" s="730"/>
      <c r="D51" s="731"/>
      <c r="E51" s="738"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39"/>
      <c r="G51" s="739"/>
      <c r="H51" s="740"/>
      <c r="I51" s="75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51"/>
      <c r="K51" s="751"/>
      <c r="L51" s="752"/>
      <c r="M51" s="666"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67"/>
      <c r="O51" s="667"/>
      <c r="P51" s="668"/>
    </row>
    <row r="52" spans="1:16" ht="24.75" customHeight="1">
      <c r="A52" s="732"/>
      <c r="B52" s="620"/>
      <c r="C52" s="620"/>
      <c r="D52" s="670"/>
      <c r="E52" s="741"/>
      <c r="F52" s="620"/>
      <c r="G52" s="620"/>
      <c r="H52" s="670"/>
      <c r="I52" s="753"/>
      <c r="J52" s="620"/>
      <c r="K52" s="620"/>
      <c r="L52" s="670"/>
      <c r="M52" s="669"/>
      <c r="N52" s="620"/>
      <c r="O52" s="620"/>
      <c r="P52" s="670"/>
    </row>
    <row r="53" spans="1:16" ht="24.75" customHeight="1">
      <c r="A53" s="732"/>
      <c r="B53" s="620"/>
      <c r="C53" s="620"/>
      <c r="D53" s="670"/>
      <c r="E53" s="741"/>
      <c r="F53" s="620"/>
      <c r="G53" s="620"/>
      <c r="H53" s="670"/>
      <c r="I53" s="753"/>
      <c r="J53" s="620"/>
      <c r="K53" s="620"/>
      <c r="L53" s="670"/>
      <c r="M53" s="669"/>
      <c r="N53" s="620"/>
      <c r="O53" s="620"/>
      <c r="P53" s="670"/>
    </row>
    <row r="54" spans="1:16" ht="24.75" customHeight="1">
      <c r="A54" s="732"/>
      <c r="B54" s="620"/>
      <c r="C54" s="620"/>
      <c r="D54" s="670"/>
      <c r="E54" s="741"/>
      <c r="F54" s="620"/>
      <c r="G54" s="620"/>
      <c r="H54" s="670"/>
      <c r="I54" s="753"/>
      <c r="J54" s="620"/>
      <c r="K54" s="620"/>
      <c r="L54" s="670"/>
      <c r="M54" s="669"/>
      <c r="N54" s="620"/>
      <c r="O54" s="620"/>
      <c r="P54" s="670"/>
    </row>
    <row r="55" spans="1:16" ht="24.75" customHeight="1">
      <c r="A55" s="732"/>
      <c r="B55" s="620"/>
      <c r="C55" s="620"/>
      <c r="D55" s="670"/>
      <c r="E55" s="741"/>
      <c r="F55" s="620"/>
      <c r="G55" s="620"/>
      <c r="H55" s="670"/>
      <c r="I55" s="753"/>
      <c r="J55" s="620"/>
      <c r="K55" s="620"/>
      <c r="L55" s="670"/>
      <c r="M55" s="669"/>
      <c r="N55" s="620"/>
      <c r="O55" s="620"/>
      <c r="P55" s="670"/>
    </row>
    <row r="56" spans="1:16" ht="24.75" customHeight="1">
      <c r="A56" s="732"/>
      <c r="B56" s="620"/>
      <c r="C56" s="620"/>
      <c r="D56" s="670"/>
      <c r="E56" s="741"/>
      <c r="F56" s="620"/>
      <c r="G56" s="620"/>
      <c r="H56" s="670"/>
      <c r="I56" s="753"/>
      <c r="J56" s="620"/>
      <c r="K56" s="620"/>
      <c r="L56" s="670"/>
      <c r="M56" s="669"/>
      <c r="N56" s="620"/>
      <c r="O56" s="620"/>
      <c r="P56" s="670"/>
    </row>
    <row r="57" spans="1:16" ht="18" customHeight="1">
      <c r="A57" s="732"/>
      <c r="B57" s="620"/>
      <c r="C57" s="620"/>
      <c r="D57" s="670"/>
      <c r="E57" s="741"/>
      <c r="F57" s="620"/>
      <c r="G57" s="620"/>
      <c r="H57" s="670"/>
      <c r="I57" s="753"/>
      <c r="J57" s="620"/>
      <c r="K57" s="620"/>
      <c r="L57" s="670"/>
      <c r="M57" s="669"/>
      <c r="N57" s="620"/>
      <c r="O57" s="620"/>
      <c r="P57" s="670"/>
    </row>
    <row r="58" spans="1:16" ht="27.75" customHeight="1">
      <c r="A58" s="733"/>
      <c r="B58" s="672"/>
      <c r="C58" s="672"/>
      <c r="D58" s="673"/>
      <c r="E58" s="742"/>
      <c r="F58" s="672"/>
      <c r="G58" s="672"/>
      <c r="H58" s="673"/>
      <c r="I58" s="754"/>
      <c r="J58" s="672"/>
      <c r="K58" s="672"/>
      <c r="L58" s="673"/>
      <c r="M58" s="671"/>
      <c r="N58" s="672"/>
      <c r="O58" s="672"/>
      <c r="P58" s="673"/>
    </row>
    <row r="59" spans="1:16" ht="25.5" customHeight="1">
      <c r="A59" s="718"/>
      <c r="B59" s="632"/>
      <c r="C59" s="632"/>
      <c r="D59" s="632"/>
      <c r="E59" s="632"/>
      <c r="F59" s="632"/>
      <c r="G59" s="632"/>
      <c r="H59" s="632"/>
      <c r="I59" s="632"/>
      <c r="J59" s="632"/>
      <c r="K59" s="632"/>
      <c r="L59" s="632"/>
      <c r="M59" s="632"/>
      <c r="N59" s="632"/>
      <c r="O59" s="632"/>
      <c r="P59" s="630"/>
    </row>
    <row r="60" spans="1:16" ht="25.5" customHeight="1" thickBot="1">
      <c r="A60" s="693" t="s">
        <v>334</v>
      </c>
      <c r="B60" s="632"/>
      <c r="C60" s="632"/>
      <c r="D60" s="632"/>
      <c r="E60" s="632"/>
      <c r="F60" s="632"/>
      <c r="G60" s="632"/>
      <c r="H60" s="630"/>
      <c r="I60" s="693"/>
      <c r="J60" s="632"/>
      <c r="K60" s="632"/>
      <c r="L60" s="632"/>
      <c r="M60" s="632"/>
      <c r="N60" s="632"/>
      <c r="O60" s="632"/>
      <c r="P60" s="630"/>
    </row>
    <row r="61" spans="1:16" ht="25.5" customHeight="1">
      <c r="A61" s="709"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710"/>
      <c r="C61" s="710"/>
      <c r="D61" s="710"/>
      <c r="E61" s="710"/>
      <c r="F61" s="710"/>
      <c r="G61" s="710"/>
      <c r="H61" s="710"/>
      <c r="I61" s="710"/>
      <c r="J61" s="710"/>
      <c r="K61" s="710"/>
      <c r="L61" s="710"/>
      <c r="M61" s="710"/>
      <c r="N61" s="710"/>
      <c r="O61" s="710"/>
      <c r="P61" s="711"/>
    </row>
    <row r="62" spans="1:16" ht="39.6" customHeight="1">
      <c r="A62" s="712"/>
      <c r="B62" s="713"/>
      <c r="C62" s="713"/>
      <c r="D62" s="713"/>
      <c r="E62" s="713"/>
      <c r="F62" s="713"/>
      <c r="G62" s="713"/>
      <c r="H62" s="713"/>
      <c r="I62" s="713"/>
      <c r="J62" s="713"/>
      <c r="K62" s="713"/>
      <c r="L62" s="713"/>
      <c r="M62" s="713"/>
      <c r="N62" s="713"/>
      <c r="O62" s="713"/>
      <c r="P62" s="714"/>
    </row>
    <row r="63" spans="1:16" ht="25.15" hidden="1" customHeight="1">
      <c r="A63" s="712"/>
      <c r="B63" s="713"/>
      <c r="C63" s="713"/>
      <c r="D63" s="713"/>
      <c r="E63" s="713"/>
      <c r="F63" s="713"/>
      <c r="G63" s="713"/>
      <c r="H63" s="713"/>
      <c r="I63" s="713"/>
      <c r="J63" s="713"/>
      <c r="K63" s="713"/>
      <c r="L63" s="713"/>
      <c r="M63" s="713"/>
      <c r="N63" s="713"/>
      <c r="O63" s="713"/>
      <c r="P63" s="714"/>
    </row>
    <row r="64" spans="1:16" ht="25.15" hidden="1" customHeight="1">
      <c r="A64" s="712"/>
      <c r="B64" s="713"/>
      <c r="C64" s="713"/>
      <c r="D64" s="713"/>
      <c r="E64" s="713"/>
      <c r="F64" s="713"/>
      <c r="G64" s="713"/>
      <c r="H64" s="713"/>
      <c r="I64" s="713"/>
      <c r="J64" s="713"/>
      <c r="K64" s="713"/>
      <c r="L64" s="713"/>
      <c r="M64" s="713"/>
      <c r="N64" s="713"/>
      <c r="O64" s="713"/>
      <c r="P64" s="714"/>
    </row>
    <row r="65" spans="1:16" ht="25.15" hidden="1" customHeight="1">
      <c r="A65" s="712"/>
      <c r="B65" s="713"/>
      <c r="C65" s="713"/>
      <c r="D65" s="713"/>
      <c r="E65" s="713"/>
      <c r="F65" s="713"/>
      <c r="G65" s="713"/>
      <c r="H65" s="713"/>
      <c r="I65" s="713"/>
      <c r="J65" s="713"/>
      <c r="K65" s="713"/>
      <c r="L65" s="713"/>
      <c r="M65" s="713"/>
      <c r="N65" s="713"/>
      <c r="O65" s="713"/>
      <c r="P65" s="714"/>
    </row>
    <row r="66" spans="1:16" ht="220.15" hidden="1" customHeight="1">
      <c r="A66" s="712"/>
      <c r="B66" s="713"/>
      <c r="C66" s="713"/>
      <c r="D66" s="713"/>
      <c r="E66" s="713"/>
      <c r="F66" s="713"/>
      <c r="G66" s="713"/>
      <c r="H66" s="713"/>
      <c r="I66" s="713"/>
      <c r="J66" s="713"/>
      <c r="K66" s="713"/>
      <c r="L66" s="713"/>
      <c r="M66" s="713"/>
      <c r="N66" s="713"/>
      <c r="O66" s="713"/>
      <c r="P66" s="714"/>
    </row>
    <row r="67" spans="1:16" ht="18" customHeight="1">
      <c r="A67" s="712"/>
      <c r="B67" s="713"/>
      <c r="C67" s="713"/>
      <c r="D67" s="713"/>
      <c r="E67" s="713"/>
      <c r="F67" s="713"/>
      <c r="G67" s="713"/>
      <c r="H67" s="713"/>
      <c r="I67" s="713"/>
      <c r="J67" s="713"/>
      <c r="K67" s="713"/>
      <c r="L67" s="713"/>
      <c r="M67" s="713"/>
      <c r="N67" s="713"/>
      <c r="O67" s="713"/>
      <c r="P67" s="714"/>
    </row>
    <row r="68" spans="1:16" ht="58.5" customHeight="1">
      <c r="A68" s="715"/>
      <c r="B68" s="716"/>
      <c r="C68" s="716"/>
      <c r="D68" s="716"/>
      <c r="E68" s="716"/>
      <c r="F68" s="716"/>
      <c r="G68" s="716"/>
      <c r="H68" s="716"/>
      <c r="I68" s="716"/>
      <c r="J68" s="716"/>
      <c r="K68" s="716"/>
      <c r="L68" s="716"/>
      <c r="M68" s="716"/>
      <c r="N68" s="716"/>
      <c r="O68" s="716"/>
      <c r="P68" s="717"/>
    </row>
    <row r="69" spans="1:16" ht="19.5" customHeight="1">
      <c r="A69" s="660"/>
      <c r="B69" s="632"/>
      <c r="C69" s="632"/>
      <c r="D69" s="632"/>
      <c r="E69" s="632"/>
      <c r="F69" s="632"/>
      <c r="G69" s="632"/>
      <c r="H69" s="632"/>
      <c r="I69" s="632"/>
      <c r="J69" s="632"/>
      <c r="K69" s="632"/>
      <c r="L69" s="632"/>
      <c r="M69" s="632"/>
      <c r="N69" s="632"/>
      <c r="O69" s="632"/>
      <c r="P69" s="630"/>
    </row>
    <row r="70" spans="1:16" ht="19.5" customHeight="1" thickBot="1">
      <c r="A70" s="661" t="s">
        <v>335</v>
      </c>
      <c r="B70" s="632"/>
      <c r="C70" s="632"/>
      <c r="D70" s="632"/>
      <c r="E70" s="632"/>
      <c r="F70" s="632"/>
      <c r="G70" s="632"/>
      <c r="H70" s="632"/>
      <c r="I70" s="632"/>
      <c r="J70" s="632"/>
      <c r="K70" s="632"/>
      <c r="L70" s="632"/>
      <c r="M70" s="632"/>
      <c r="N70" s="632"/>
      <c r="O70" s="632"/>
      <c r="P70" s="630"/>
    </row>
    <row r="71" spans="1:16" ht="19.5" customHeight="1" thickBot="1">
      <c r="A71" s="743"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44"/>
      <c r="C71" s="744"/>
      <c r="D71" s="744"/>
      <c r="E71" s="744"/>
      <c r="F71" s="744"/>
      <c r="G71" s="745"/>
      <c r="H71" s="745"/>
      <c r="I71" s="637"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38"/>
      <c r="K71" s="638"/>
      <c r="L71" s="638"/>
      <c r="M71" s="638"/>
      <c r="N71" s="639"/>
      <c r="O71" s="640"/>
      <c r="P71" s="641"/>
    </row>
    <row r="72" spans="1:16" ht="19.5" customHeight="1">
      <c r="A72" s="746"/>
      <c r="B72" s="746"/>
      <c r="C72" s="746"/>
      <c r="D72" s="746"/>
      <c r="E72" s="746"/>
      <c r="F72" s="746"/>
      <c r="G72" s="644"/>
      <c r="H72" s="644"/>
      <c r="I72" s="642"/>
      <c r="J72" s="642"/>
      <c r="K72" s="642"/>
      <c r="L72" s="642"/>
      <c r="M72" s="642"/>
      <c r="N72" s="643"/>
      <c r="O72" s="644"/>
      <c r="P72" s="645"/>
    </row>
    <row r="73" spans="1:16" ht="19.5" customHeight="1">
      <c r="A73" s="746"/>
      <c r="B73" s="746"/>
      <c r="C73" s="746"/>
      <c r="D73" s="746"/>
      <c r="E73" s="746"/>
      <c r="F73" s="746"/>
      <c r="G73" s="644"/>
      <c r="H73" s="644"/>
      <c r="I73" s="642"/>
      <c r="J73" s="642"/>
      <c r="K73" s="642"/>
      <c r="L73" s="642"/>
      <c r="M73" s="642"/>
      <c r="N73" s="643"/>
      <c r="O73" s="644"/>
      <c r="P73" s="645"/>
    </row>
    <row r="74" spans="1:16" ht="103.9" customHeight="1">
      <c r="A74" s="746"/>
      <c r="B74" s="746"/>
      <c r="C74" s="746"/>
      <c r="D74" s="746"/>
      <c r="E74" s="746"/>
      <c r="F74" s="746"/>
      <c r="G74" s="644"/>
      <c r="H74" s="644"/>
      <c r="I74" s="642"/>
      <c r="J74" s="642"/>
      <c r="K74" s="642"/>
      <c r="L74" s="642"/>
      <c r="M74" s="642"/>
      <c r="N74" s="643"/>
      <c r="O74" s="644"/>
      <c r="P74" s="645"/>
    </row>
    <row r="75" spans="1:16" s="192" customFormat="1" ht="99.6" hidden="1" customHeight="1">
      <c r="A75" s="746"/>
      <c r="B75" s="746"/>
      <c r="C75" s="746"/>
      <c r="D75" s="746"/>
      <c r="E75" s="746"/>
      <c r="F75" s="746"/>
      <c r="G75" s="644"/>
      <c r="H75" s="644"/>
      <c r="I75" s="642"/>
      <c r="J75" s="642"/>
      <c r="K75" s="642"/>
      <c r="L75" s="642"/>
      <c r="M75" s="642"/>
      <c r="N75" s="643"/>
      <c r="O75" s="644"/>
      <c r="P75" s="645"/>
    </row>
    <row r="76" spans="1:16" ht="19.5" customHeight="1" thickBot="1">
      <c r="A76" s="747"/>
      <c r="B76" s="747"/>
      <c r="C76" s="747"/>
      <c r="D76" s="747"/>
      <c r="E76" s="747"/>
      <c r="F76" s="747"/>
      <c r="G76" s="644"/>
      <c r="H76" s="644"/>
      <c r="I76" s="646"/>
      <c r="J76" s="646"/>
      <c r="K76" s="646"/>
      <c r="L76" s="646"/>
      <c r="M76" s="646"/>
      <c r="N76" s="647"/>
      <c r="O76" s="644"/>
      <c r="P76" s="645"/>
    </row>
    <row r="77" spans="1:16" ht="19.5" customHeight="1" thickBot="1">
      <c r="A77" s="748"/>
      <c r="B77" s="749"/>
      <c r="C77" s="749"/>
      <c r="D77" s="749"/>
      <c r="E77" s="749"/>
      <c r="F77" s="749"/>
      <c r="G77" s="749"/>
      <c r="H77" s="749"/>
      <c r="I77" s="648"/>
      <c r="J77" s="648"/>
      <c r="K77" s="648"/>
      <c r="L77" s="648"/>
      <c r="M77" s="648"/>
      <c r="N77" s="648"/>
      <c r="O77" s="648"/>
      <c r="P77" s="649"/>
    </row>
    <row r="78" spans="1:16" ht="19.5" customHeight="1" thickBot="1">
      <c r="A78" s="655"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56"/>
      <c r="C78" s="656"/>
      <c r="D78" s="656"/>
      <c r="E78" s="656"/>
      <c r="F78" s="656"/>
      <c r="G78" s="640"/>
      <c r="H78" s="640"/>
      <c r="I78" s="683"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84"/>
      <c r="K78" s="684"/>
      <c r="L78" s="684"/>
      <c r="M78" s="684"/>
      <c r="N78" s="685"/>
      <c r="O78" s="679"/>
      <c r="P78" s="686"/>
    </row>
    <row r="79" spans="1:16" ht="19.5" customHeight="1">
      <c r="A79" s="657"/>
      <c r="B79" s="657"/>
      <c r="C79" s="657"/>
      <c r="D79" s="657"/>
      <c r="E79" s="657"/>
      <c r="F79" s="657"/>
      <c r="G79" s="644"/>
      <c r="H79" s="644"/>
      <c r="I79" s="687"/>
      <c r="J79" s="687"/>
      <c r="K79" s="687"/>
      <c r="L79" s="687"/>
      <c r="M79" s="687"/>
      <c r="N79" s="688"/>
      <c r="O79" s="644"/>
      <c r="P79" s="645"/>
    </row>
    <row r="80" spans="1:16" ht="19.5" customHeight="1">
      <c r="A80" s="657"/>
      <c r="B80" s="657"/>
      <c r="C80" s="657"/>
      <c r="D80" s="657"/>
      <c r="E80" s="657"/>
      <c r="F80" s="657"/>
      <c r="G80" s="644"/>
      <c r="H80" s="644"/>
      <c r="I80" s="687"/>
      <c r="J80" s="687"/>
      <c r="K80" s="687"/>
      <c r="L80" s="687"/>
      <c r="M80" s="687"/>
      <c r="N80" s="688"/>
      <c r="O80" s="644"/>
      <c r="P80" s="645"/>
    </row>
    <row r="81" spans="1:16" ht="104.45" customHeight="1">
      <c r="A81" s="657"/>
      <c r="B81" s="657"/>
      <c r="C81" s="657"/>
      <c r="D81" s="657"/>
      <c r="E81" s="657"/>
      <c r="F81" s="657"/>
      <c r="G81" s="644"/>
      <c r="H81" s="644"/>
      <c r="I81" s="687"/>
      <c r="J81" s="687"/>
      <c r="K81" s="687"/>
      <c r="L81" s="687"/>
      <c r="M81" s="687"/>
      <c r="N81" s="688"/>
      <c r="O81" s="644"/>
      <c r="P81" s="645"/>
    </row>
    <row r="82" spans="1:16" s="192" customFormat="1" ht="88.15" hidden="1" customHeight="1">
      <c r="A82" s="657"/>
      <c r="B82" s="657"/>
      <c r="C82" s="657"/>
      <c r="D82" s="657"/>
      <c r="E82" s="657"/>
      <c r="F82" s="657"/>
      <c r="G82" s="644"/>
      <c r="H82" s="644"/>
      <c r="I82" s="687"/>
      <c r="J82" s="687"/>
      <c r="K82" s="687"/>
      <c r="L82" s="687"/>
      <c r="M82" s="687"/>
      <c r="N82" s="688"/>
      <c r="O82" s="644"/>
      <c r="P82" s="645"/>
    </row>
    <row r="83" spans="1:16" ht="19.5" customHeight="1" thickBot="1">
      <c r="A83" s="658"/>
      <c r="B83" s="658"/>
      <c r="C83" s="658"/>
      <c r="D83" s="658"/>
      <c r="E83" s="658"/>
      <c r="F83" s="658"/>
      <c r="G83" s="644"/>
      <c r="H83" s="644"/>
      <c r="I83" s="689"/>
      <c r="J83" s="689"/>
      <c r="K83" s="689"/>
      <c r="L83" s="689"/>
      <c r="M83" s="689"/>
      <c r="N83" s="690"/>
      <c r="O83" s="644"/>
      <c r="P83" s="645"/>
    </row>
    <row r="84" spans="1:16" ht="19.5" customHeight="1" thickBot="1">
      <c r="A84" s="659"/>
      <c r="B84" s="648"/>
      <c r="C84" s="648"/>
      <c r="D84" s="648"/>
      <c r="E84" s="648"/>
      <c r="F84" s="648"/>
      <c r="G84" s="648"/>
      <c r="H84" s="648"/>
      <c r="I84" s="691"/>
      <c r="J84" s="691"/>
      <c r="K84" s="691"/>
      <c r="L84" s="691"/>
      <c r="M84" s="691"/>
      <c r="N84" s="691"/>
      <c r="O84" s="691"/>
      <c r="P84" s="692"/>
    </row>
    <row r="85" spans="1:16" ht="19.5" customHeight="1">
      <c r="A85" s="677"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78"/>
      <c r="C85" s="678"/>
      <c r="D85" s="678"/>
      <c r="E85" s="678"/>
      <c r="F85" s="678"/>
      <c r="G85" s="679"/>
      <c r="H85" s="679"/>
      <c r="I85" s="723" t="str">
        <f>"❓ RISKS / OPEN QUESTIONS"&amp;CHAR(10)&amp;"Owner Risks:"&amp;CHAR(10)&amp;AG43&amp;CHAR(10)&amp;"Open Questions:"&amp;CHAR(10)&amp;AH43</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J85" s="723"/>
      <c r="K85" s="723"/>
      <c r="L85" s="723"/>
      <c r="M85" s="723"/>
      <c r="N85" s="723"/>
      <c r="O85" s="723"/>
      <c r="P85" s="724"/>
    </row>
    <row r="86" spans="1:16" ht="19.5" customHeight="1">
      <c r="A86" s="680"/>
      <c r="B86" s="680"/>
      <c r="C86" s="680"/>
      <c r="D86" s="680"/>
      <c r="E86" s="680"/>
      <c r="F86" s="680"/>
      <c r="G86" s="644"/>
      <c r="H86" s="644"/>
      <c r="I86" s="725"/>
      <c r="J86" s="725"/>
      <c r="K86" s="725"/>
      <c r="L86" s="725"/>
      <c r="M86" s="725"/>
      <c r="N86" s="725"/>
      <c r="O86" s="725"/>
      <c r="P86" s="726"/>
    </row>
    <row r="87" spans="1:16" ht="19.5" customHeight="1">
      <c r="A87" s="680"/>
      <c r="B87" s="680"/>
      <c r="C87" s="680"/>
      <c r="D87" s="680"/>
      <c r="E87" s="680"/>
      <c r="F87" s="680"/>
      <c r="G87" s="644"/>
      <c r="H87" s="644"/>
      <c r="I87" s="725"/>
      <c r="J87" s="725"/>
      <c r="K87" s="725"/>
      <c r="L87" s="725"/>
      <c r="M87" s="725"/>
      <c r="N87" s="725"/>
      <c r="O87" s="725"/>
      <c r="P87" s="726"/>
    </row>
    <row r="88" spans="1:16" ht="178.5" customHeight="1">
      <c r="A88" s="680"/>
      <c r="B88" s="680"/>
      <c r="C88" s="680"/>
      <c r="D88" s="680"/>
      <c r="E88" s="680"/>
      <c r="F88" s="680"/>
      <c r="G88" s="644"/>
      <c r="H88" s="644"/>
      <c r="I88" s="725"/>
      <c r="J88" s="725"/>
      <c r="K88" s="725"/>
      <c r="L88" s="725"/>
      <c r="M88" s="725"/>
      <c r="N88" s="725"/>
      <c r="O88" s="725"/>
      <c r="P88" s="726"/>
    </row>
    <row r="89" spans="1:16" ht="219" hidden="1" customHeight="1">
      <c r="A89" s="680"/>
      <c r="B89" s="680"/>
      <c r="C89" s="680"/>
      <c r="D89" s="680"/>
      <c r="E89" s="680"/>
      <c r="F89" s="680"/>
      <c r="G89" s="644"/>
      <c r="H89" s="644"/>
      <c r="I89" s="725"/>
      <c r="J89" s="725"/>
      <c r="K89" s="725"/>
      <c r="L89" s="725"/>
      <c r="M89" s="725"/>
      <c r="N89" s="725"/>
      <c r="O89" s="725"/>
      <c r="P89" s="726"/>
    </row>
    <row r="90" spans="1:16" ht="25.5" hidden="1" customHeight="1">
      <c r="A90" s="681"/>
      <c r="B90" s="681"/>
      <c r="C90" s="681"/>
      <c r="D90" s="681"/>
      <c r="E90" s="681"/>
      <c r="F90" s="681"/>
      <c r="G90" s="644"/>
      <c r="H90" s="644"/>
      <c r="I90" s="725"/>
      <c r="J90" s="725"/>
      <c r="K90" s="725"/>
      <c r="L90" s="725"/>
      <c r="M90" s="725"/>
      <c r="N90" s="725"/>
      <c r="O90" s="725"/>
      <c r="P90" s="726"/>
    </row>
    <row r="91" spans="1:16" ht="34.5" customHeight="1">
      <c r="A91" s="682"/>
      <c r="B91" s="682"/>
      <c r="C91" s="682"/>
      <c r="D91" s="682"/>
      <c r="E91" s="682"/>
      <c r="F91" s="682"/>
      <c r="G91" s="682"/>
      <c r="H91" s="682"/>
      <c r="I91" s="727"/>
      <c r="J91" s="727"/>
      <c r="K91" s="727"/>
      <c r="L91" s="727"/>
      <c r="M91" s="727"/>
      <c r="N91" s="727"/>
      <c r="O91" s="727"/>
      <c r="P91" s="728"/>
    </row>
    <row r="92" spans="1:16" ht="18" customHeight="1">
      <c r="A92" s="734" t="s">
        <v>336</v>
      </c>
      <c r="B92" s="735"/>
      <c r="C92" s="735"/>
      <c r="D92" s="735"/>
      <c r="E92" s="735"/>
      <c r="F92" s="735"/>
      <c r="G92" s="735"/>
      <c r="H92" s="735"/>
      <c r="I92" s="735"/>
      <c r="J92" s="735"/>
      <c r="K92" s="735"/>
      <c r="L92" s="735"/>
      <c r="M92" s="735"/>
      <c r="N92" s="735"/>
      <c r="O92" s="735"/>
      <c r="P92" s="736"/>
    </row>
    <row r="93" spans="1:16" ht="27.75" customHeight="1">
      <c r="A93" s="737"/>
      <c r="B93" s="672"/>
      <c r="C93" s="672"/>
      <c r="D93" s="672"/>
      <c r="E93" s="672"/>
      <c r="F93" s="672"/>
      <c r="G93" s="672"/>
      <c r="H93" s="672"/>
      <c r="I93" s="672"/>
      <c r="J93" s="672"/>
      <c r="K93" s="672"/>
      <c r="L93" s="672"/>
      <c r="M93" s="672"/>
      <c r="N93" s="672"/>
      <c r="O93" s="672"/>
      <c r="P93" s="673"/>
    </row>
    <row r="94" spans="1:16" ht="18" customHeight="1">
      <c r="A94" s="660"/>
      <c r="B94" s="632"/>
      <c r="C94" s="632"/>
      <c r="D94" s="632"/>
      <c r="E94" s="632"/>
      <c r="F94" s="632"/>
      <c r="G94" s="632"/>
      <c r="H94" s="632"/>
      <c r="I94" s="632"/>
      <c r="J94" s="632"/>
      <c r="K94" s="632"/>
      <c r="L94" s="632"/>
      <c r="M94" s="632"/>
      <c r="N94" s="632"/>
      <c r="O94" s="632"/>
      <c r="P94" s="630"/>
    </row>
    <row r="95" spans="1:16" ht="74.45" hidden="1" customHeight="1">
      <c r="A95" s="662" t="s">
        <v>337</v>
      </c>
      <c r="B95" s="632"/>
      <c r="C95" s="632"/>
      <c r="D95" s="632"/>
      <c r="E95" s="632"/>
      <c r="F95" s="632"/>
      <c r="G95" s="632"/>
      <c r="H95" s="632"/>
      <c r="I95" s="632"/>
      <c r="J95" s="632"/>
      <c r="K95" s="632"/>
      <c r="L95" s="632"/>
      <c r="M95" s="632"/>
      <c r="N95" s="632"/>
      <c r="O95" s="632"/>
      <c r="P95" s="630"/>
    </row>
    <row r="96" spans="1:16" ht="74.45" hidden="1" customHeight="1">
      <c r="A96" s="636" t="s">
        <v>338</v>
      </c>
      <c r="B96" s="630"/>
      <c r="C96" s="636" t="s">
        <v>268</v>
      </c>
      <c r="D96" s="630"/>
      <c r="E96" s="636" t="s">
        <v>339</v>
      </c>
      <c r="F96" s="632"/>
      <c r="G96" s="630"/>
      <c r="H96" s="636" t="s">
        <v>340</v>
      </c>
      <c r="I96" s="632"/>
      <c r="J96" s="630"/>
      <c r="K96" s="636" t="s">
        <v>341</v>
      </c>
      <c r="L96" s="632"/>
      <c r="M96" s="630"/>
      <c r="N96" s="636" t="s">
        <v>11</v>
      </c>
      <c r="O96" s="632"/>
      <c r="P96" s="630"/>
    </row>
    <row r="97" spans="1:16" ht="74.45" hidden="1" customHeight="1">
      <c r="A97" s="629" t="str">
        <f>IFERROR(INDEX(_Assessment_Full_View!$E:$E,MATCH($Z$46&amp;"|"&amp;ROWS($A$97:A97),_Assessment_Full_View!$Q:$Q,0)),"")</f>
        <v>1. ROOM INVENTORY</v>
      </c>
      <c r="B97" s="630"/>
      <c r="C97" s="629" t="str">
        <f>IFERROR(INDEX(_Assessment_Full_View!$G:$G,MATCH($Z$46&amp;"|"&amp;ROWS($A$97:A97),_Assessment_Full_View!$Q:$Q,0))&amp;" / "&amp;INDEX(_Assessment_Full_View!$H:$H,MATCH($Z$46&amp;"|"&amp;ROWS($A$97:A97),_Assessment_Full_View!$Q:$Q,0)),"")</f>
        <v>1. ROOM INVENTORY / 0</v>
      </c>
      <c r="D97" s="630"/>
      <c r="E97" s="629" t="str">
        <f>IFERROR(INDEX(_Assessment_Full_View!$I:$I,MATCH($Z$46&amp;"|"&amp;ROWS($A$97:A97),_Assessment_Full_View!$Q:$Q,0))&amp;" / "&amp;INDEX(_Assessment_Full_View!$J:$J,MATCH($Z$46&amp;"|"&amp;ROWS($A$97:A97),_Assessment_Full_View!$Q:$Q,0)),"")</f>
        <v>0 / 0</v>
      </c>
      <c r="F97" s="632"/>
      <c r="G97" s="630"/>
      <c r="H97" s="629" t="str">
        <f>IFERROR(INDEX(_Assessment_Full_View!$K:$K,MATCH($Z$46&amp;"|"&amp;ROWS($A$97:A97),_Assessment_Full_View!$Q:$Q,0))&amp;" / "&amp;INDEX(_Assessment_Full_View!$L:$L,MATCH($Z$46&amp;"|"&amp;ROWS($A$97:A97),_Assessment_Full_View!$Q:$Q,0)),"")</f>
        <v>0 / 0</v>
      </c>
      <c r="I97" s="632"/>
      <c r="J97" s="630"/>
      <c r="K97" s="629">
        <f>IFERROR(INDEX(_Assessment_Full_View!$O:$O,MATCH($Z$46&amp;"|"&amp;ROWS($A$97:A97),_Assessment_Full_View!$Q:$Q,0)),"")</f>
        <v>0</v>
      </c>
      <c r="L97" s="632"/>
      <c r="M97" s="630"/>
      <c r="N97" s="629">
        <f>IFERROR(INDEX(_Assessment_Full_View!$P:$P,MATCH($Z$46&amp;"|"&amp;ROWS($A$97:A97),_Assessment_Full_View!$Q:$Q,0)),"")</f>
        <v>0</v>
      </c>
      <c r="O97" s="632"/>
      <c r="P97" s="630"/>
    </row>
    <row r="98" spans="1:16" ht="74.45" hidden="1" customHeight="1">
      <c r="A98" s="631" t="str">
        <f>IFERROR(INDEX(_Assessment_Full_View!$E:$E,MATCH($Z$46&amp;"|"&amp;ROWS($A$97:A98),_Assessment_Full_View!$Q:$Q,0)),"")</f>
        <v>1. ROOM INVENTORY</v>
      </c>
      <c r="B98" s="630"/>
      <c r="C98" s="631" t="str">
        <f>IFERROR(INDEX(_Assessment_Full_View!$G:$G,MATCH($Z$46&amp;"|"&amp;ROWS($A$97:A98),_Assessment_Full_View!$Q:$Q,0))&amp;" / "&amp;INDEX(_Assessment_Full_View!$H:$H,MATCH($Z$46&amp;"|"&amp;ROWS($A$97:A98),_Assessment_Full_View!$Q:$Q,0)),"")</f>
        <v>Building / Room</v>
      </c>
      <c r="D98" s="630"/>
      <c r="E98" s="631" t="str">
        <f>IFERROR(INDEX(_Assessment_Full_View!$I:$I,MATCH($Z$46&amp;"|"&amp;ROWS($A$97:A98),_Assessment_Full_View!$Q:$Q,0))&amp;" / "&amp;INDEX(_Assessment_Full_View!$J:$J,MATCH($Z$46&amp;"|"&amp;ROWS($A$97:A98),_Assessment_Full_View!$Q:$Q,0)),"")</f>
        <v>Floor / Existing Use</v>
      </c>
      <c r="F98" s="632"/>
      <c r="G98" s="630"/>
      <c r="H98" s="631" t="str">
        <f>IFERROR(INDEX(_Assessment_Full_View!$K:$K,MATCH($Z$46&amp;"|"&amp;ROWS($A$97:A98),_Assessment_Full_View!$Q:$Q,0))&amp;" / "&amp;INDEX(_Assessment_Full_View!$L:$L,MATCH($Z$46&amp;"|"&amp;ROWS($A$97:A98),_Assessment_Full_View!$Q:$Q,0)),"")</f>
        <v>New Use / Rack Count</v>
      </c>
      <c r="I98" s="632"/>
      <c r="J98" s="630"/>
      <c r="K98" s="631" t="str">
        <f>IFERROR(INDEX(_Assessment_Full_View!$O:$O,MATCH($Z$46&amp;"|"&amp;ROWS($A$97:A98),_Assessment_Full_View!$Q:$Q,0)),"")</f>
        <v>Drawing Ref</v>
      </c>
      <c r="L98" s="632"/>
      <c r="M98" s="630"/>
      <c r="N98" s="631" t="str">
        <f>IFERROR(INDEX(_Assessment_Full_View!$P:$P,MATCH($Z$46&amp;"|"&amp;ROWS($A$97:A98),_Assessment_Full_View!$Q:$Q,0)),"")</f>
        <v>Notes</v>
      </c>
      <c r="O98" s="632"/>
      <c r="P98" s="630"/>
    </row>
    <row r="99" spans="1:16" ht="74.45" hidden="1" customHeight="1">
      <c r="A99" s="629" t="str">
        <f>IFERROR(INDEX(_Assessment_Full_View!$E:$E,MATCH($Z$46&amp;"|"&amp;ROWS($A$97:A99),_Assessment_Full_View!$Q:$Q,0)),"")</f>
        <v>1. ROOM INVENTORY</v>
      </c>
      <c r="B99" s="630"/>
      <c r="C99" s="629" t="str">
        <f>IFERROR(INDEX(_Assessment_Full_View!$G:$G,MATCH($Z$46&amp;"|"&amp;ROWS($A$97:A99),_Assessment_Full_View!$Q:$Q,0))&amp;" / "&amp;INDEX(_Assessment_Full_View!$H:$H,MATCH($Z$46&amp;"|"&amp;ROWS($A$97:A99),_Assessment_Full_View!$Q:$Q,0)),"")</f>
        <v>61 / B13H-A</v>
      </c>
      <c r="D99" s="630"/>
      <c r="E99" s="629" t="str">
        <f>IFERROR(INDEX(_Assessment_Full_View!$I:$I,MATCH($Z$46&amp;"|"&amp;ROWS($A$97:A99),_Assessment_Full_View!$Q:$Q,0))&amp;" / "&amp;INDEX(_Assessment_Full_View!$J:$J,MATCH($Z$46&amp;"|"&amp;ROWS($A$97:A99),_Assessment_Full_View!$Q:$Q,0)),"")</f>
        <v>Basement / Basement telecom / support area</v>
      </c>
      <c r="F99" s="632"/>
      <c r="G99" s="630"/>
      <c r="H99" s="629" t="str">
        <f>IFERROR(INDEX(_Assessment_Full_View!$K:$K,MATCH($Z$46&amp;"|"&amp;ROWS($A$97:A99),_Assessment_Full_View!$Q:$Q,0))&amp;" / "&amp;INDEX(_Assessment_Full_View!$L:$L,MATCH($Z$46&amp;"|"&amp;ROWS($A$97:A99),_Assessment_Full_View!$Q:$Q,0)),"")</f>
        <v>Telecom Room / 1</v>
      </c>
      <c r="I99" s="632"/>
      <c r="J99" s="630"/>
      <c r="K99" s="629" t="str">
        <f>IFERROR(INDEX(_Assessment_Full_View!$O:$O,MATCH($Z$46&amp;"|"&amp;ROWS($A$97:A99),_Assessment_Full_View!$Q:$Q,0)),"")</f>
        <v>61A-400 / 61E-401 / 61T-100 / 61T-401 / 61T-604 / 61T-701</v>
      </c>
      <c r="L99" s="632"/>
      <c r="M99" s="630"/>
      <c r="N99" s="629"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632"/>
      <c r="P99" s="630"/>
    </row>
    <row r="100" spans="1:16" ht="74.45" hidden="1" customHeight="1">
      <c r="A100" s="631" t="str">
        <f>IFERROR(INDEX(_Assessment_Full_View!$E:$E,MATCH($Z$46&amp;"|"&amp;ROWS($A$97:A100),_Assessment_Full_View!$Q:$Q,0)),"")</f>
        <v>1. ROOM INVENTORY</v>
      </c>
      <c r="B100" s="630"/>
      <c r="C100" s="631" t="str">
        <f>IFERROR(INDEX(_Assessment_Full_View!$G:$G,MATCH($Z$46&amp;"|"&amp;ROWS($A$97:A100),_Assessment_Full_View!$Q:$Q,0))&amp;" / "&amp;INDEX(_Assessment_Full_View!$H:$H,MATCH($Z$46&amp;"|"&amp;ROWS($A$97:A100),_Assessment_Full_View!$Q:$Q,0)),"")</f>
        <v>61 / 124</v>
      </c>
      <c r="D100" s="630"/>
      <c r="E100" s="631" t="str">
        <f>IFERROR(INDEX(_Assessment_Full_View!$I:$I,MATCH($Z$46&amp;"|"&amp;ROWS($A$97:A100),_Assessment_Full_View!$Q:$Q,0))&amp;" / "&amp;INDEX(_Assessment_Full_View!$J:$J,MATCH($Z$46&amp;"|"&amp;ROWS($A$97:A100),_Assessment_Full_View!$Q:$Q,0)),"")</f>
        <v>First / First-level telecom area</v>
      </c>
      <c r="F100" s="632"/>
      <c r="G100" s="630"/>
      <c r="H100" s="631" t="str">
        <f>IFERROR(INDEX(_Assessment_Full_View!$K:$K,MATCH($Z$46&amp;"|"&amp;ROWS($A$97:A100),_Assessment_Full_View!$Q:$Q,0))&amp;" / "&amp;INDEX(_Assessment_Full_View!$L:$L,MATCH($Z$46&amp;"|"&amp;ROWS($A$97:A100),_Assessment_Full_View!$Q:$Q,0)),"")</f>
        <v>Telecom Room / 1</v>
      </c>
      <c r="I100" s="632"/>
      <c r="J100" s="630"/>
      <c r="K100" s="631" t="str">
        <f>IFERROR(INDEX(_Assessment_Full_View!$O:$O,MATCH($Z$46&amp;"|"&amp;ROWS($A$97:A100),_Assessment_Full_View!$Q:$Q,0)),"")</f>
        <v>61A-400 / 61E-402 / 61T-101 / 61T-401 / 61T-604 / 61T-701</v>
      </c>
      <c r="L100" s="632"/>
      <c r="M100" s="630"/>
      <c r="N100" s="631"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632"/>
      <c r="P100" s="630"/>
    </row>
    <row r="101" spans="1:16" ht="74.45" hidden="1" customHeight="1">
      <c r="A101" s="629" t="str">
        <f>IFERROR(INDEX(_Assessment_Full_View!$E:$E,MATCH($Z$46&amp;"|"&amp;ROWS($A$97:A101),_Assessment_Full_View!$Q:$Q,0)),"")</f>
        <v>1. ROOM INVENTORY</v>
      </c>
      <c r="B101" s="630"/>
      <c r="C101" s="629" t="str">
        <f>IFERROR(INDEX(_Assessment_Full_View!$G:$G,MATCH($Z$46&amp;"|"&amp;ROWS($A$97:A101),_Assessment_Full_View!$Q:$Q,0))&amp;" / "&amp;INDEX(_Assessment_Full_View!$H:$H,MATCH($Z$46&amp;"|"&amp;ROWS($A$97:A101),_Assessment_Full_View!$Q:$Q,0)),"")</f>
        <v>61 / 226</v>
      </c>
      <c r="D101" s="630"/>
      <c r="E101" s="629" t="str">
        <f>IFERROR(INDEX(_Assessment_Full_View!$I:$I,MATCH($Z$46&amp;"|"&amp;ROWS($A$97:A101),_Assessment_Full_View!$Q:$Q,0))&amp;" / "&amp;INDEX(_Assessment_Full_View!$J:$J,MATCH($Z$46&amp;"|"&amp;ROWS($A$97:A101),_Assessment_Full_View!$Q:$Q,0)),"")</f>
        <v>Second / Second-level telecom area</v>
      </c>
      <c r="F101" s="632"/>
      <c r="G101" s="630"/>
      <c r="H101" s="629" t="str">
        <f>IFERROR(INDEX(_Assessment_Full_View!$K:$K,MATCH($Z$46&amp;"|"&amp;ROWS($A$97:A101),_Assessment_Full_View!$Q:$Q,0))&amp;" / "&amp;INDEX(_Assessment_Full_View!$L:$L,MATCH($Z$46&amp;"|"&amp;ROWS($A$97:A101),_Assessment_Full_View!$Q:$Q,0)),"")</f>
        <v>Telecom Room / 1</v>
      </c>
      <c r="I101" s="632"/>
      <c r="J101" s="630"/>
      <c r="K101" s="629" t="str">
        <f>IFERROR(INDEX(_Assessment_Full_View!$O:$O,MATCH($Z$46&amp;"|"&amp;ROWS($A$97:A101),_Assessment_Full_View!$Q:$Q,0)),"")</f>
        <v>61A-401 / 61E-402 / 61T-102 / 61T-401 / 61T-605 / 61T-702</v>
      </c>
      <c r="L101" s="632"/>
      <c r="M101" s="630"/>
      <c r="N101" s="629"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632"/>
      <c r="P101" s="630"/>
    </row>
    <row r="102" spans="1:16" ht="74.45" hidden="1" customHeight="1">
      <c r="A102" s="631" t="str">
        <f>IFERROR(INDEX(_Assessment_Full_View!$E:$E,MATCH($Z$46&amp;"|"&amp;ROWS($A$97:A102),_Assessment_Full_View!$Q:$Q,0)),"")</f>
        <v>1. ROOM INVENTORY</v>
      </c>
      <c r="B102" s="630"/>
      <c r="C102" s="631" t="str">
        <f>IFERROR(INDEX(_Assessment_Full_View!$G:$G,MATCH($Z$46&amp;"|"&amp;ROWS($A$97:A102),_Assessment_Full_View!$Q:$Q,0))&amp;" / "&amp;INDEX(_Assessment_Full_View!$H:$H,MATCH($Z$46&amp;"|"&amp;ROWS($A$97:A102),_Assessment_Full_View!$Q:$Q,0)),"")</f>
        <v>61 / 137 / 137A</v>
      </c>
      <c r="D102" s="630"/>
      <c r="E102" s="631" t="str">
        <f>IFERROR(INDEX(_Assessment_Full_View!$I:$I,MATCH($Z$46&amp;"|"&amp;ROWS($A$97:A102),_Assessment_Full_View!$Q:$Q,0))&amp;" / "&amp;INDEX(_Assessment_Full_View!$J:$J,MATCH($Z$46&amp;"|"&amp;ROWS($A$97:A102),_Assessment_Full_View!$Q:$Q,0)),"")</f>
        <v>First / Existing server/demarc/telecom equipment rooms</v>
      </c>
      <c r="F102" s="632"/>
      <c r="G102" s="630"/>
      <c r="H102" s="631" t="str">
        <f>IFERROR(INDEX(_Assessment_Full_View!$K:$K,MATCH($Z$46&amp;"|"&amp;ROWS($A$97:A102),_Assessment_Full_View!$Q:$Q,0))&amp;" / "&amp;INDEX(_Assessment_Full_View!$L:$L,MATCH($Z$46&amp;"|"&amp;ROWS($A$97:A102),_Assessment_Full_View!$Q:$Q,0)),"")</f>
        <v>Existing demarc / server transition point / 11</v>
      </c>
      <c r="I102" s="632"/>
      <c r="J102" s="630"/>
      <c r="K102" s="631" t="str">
        <f>IFERROR(INDEX(_Assessment_Full_View!$O:$O,MATCH($Z$46&amp;"|"&amp;ROWS($A$97:A102),_Assessment_Full_View!$Q:$Q,0)),"")</f>
        <v>61T-402 / 61T-606 / 61T-607 / 61R-900</v>
      </c>
      <c r="L102" s="632"/>
      <c r="M102" s="630"/>
      <c r="N102" s="631"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632"/>
      <c r="P102" s="630"/>
    </row>
    <row r="103" spans="1:16" ht="74.45" hidden="1" customHeight="1">
      <c r="A103" s="629" t="str">
        <f>IFERROR(INDEX(_Assessment_Full_View!$E:$E,MATCH($Z$46&amp;"|"&amp;ROWS($A$97:A103),_Assessment_Full_View!$Q:$Q,0)),"")</f>
        <v>1. ROOM INVENTORY</v>
      </c>
      <c r="B103" s="630"/>
      <c r="C103" s="629" t="str">
        <f>IFERROR(INDEX(_Assessment_Full_View!$G:$G,MATCH($Z$46&amp;"|"&amp;ROWS($A$97:A103),_Assessment_Full_View!$Q:$Q,0))&amp;" / "&amp;INDEX(_Assessment_Full_View!$H:$H,MATCH($Z$46&amp;"|"&amp;ROWS($A$97:A103),_Assessment_Full_View!$Q:$Q,0)),"")</f>
        <v>0 / 0</v>
      </c>
      <c r="D103" s="630"/>
      <c r="E103" s="629" t="str">
        <f>IFERROR(INDEX(_Assessment_Full_View!$I:$I,MATCH($Z$46&amp;"|"&amp;ROWS($A$97:A103),_Assessment_Full_View!$Q:$Q,0))&amp;" / "&amp;INDEX(_Assessment_Full_View!$J:$J,MATCH($Z$46&amp;"|"&amp;ROWS($A$97:A103),_Assessment_Full_View!$Q:$Q,0)),"")</f>
        <v>0 / 0</v>
      </c>
      <c r="F103" s="632"/>
      <c r="G103" s="630"/>
      <c r="H103" s="629" t="str">
        <f>IFERROR(INDEX(_Assessment_Full_View!$K:$K,MATCH($Z$46&amp;"|"&amp;ROWS($A$97:A103),_Assessment_Full_View!$Q:$Q,0))&amp;" / "&amp;INDEX(_Assessment_Full_View!$L:$L,MATCH($Z$46&amp;"|"&amp;ROWS($A$97:A103),_Assessment_Full_View!$Q:$Q,0)),"")</f>
        <v>0 / 0</v>
      </c>
      <c r="I103" s="632"/>
      <c r="J103" s="630"/>
      <c r="K103" s="629">
        <f>IFERROR(INDEX(_Assessment_Full_View!$O:$O,MATCH($Z$46&amp;"|"&amp;ROWS($A$97:A103),_Assessment_Full_View!$Q:$Q,0)),"")</f>
        <v>0</v>
      </c>
      <c r="L103" s="632"/>
      <c r="M103" s="630"/>
      <c r="N103" s="629">
        <f>IFERROR(INDEX(_Assessment_Full_View!$P:$P,MATCH($Z$46&amp;"|"&amp;ROWS($A$97:A103),_Assessment_Full_View!$Q:$Q,0)),"")</f>
        <v>0</v>
      </c>
      <c r="O103" s="632"/>
      <c r="P103" s="630"/>
    </row>
    <row r="104" spans="1:16" ht="74.45" hidden="1" customHeight="1">
      <c r="A104" s="631" t="str">
        <f>IFERROR(INDEX(_Assessment_Full_View!$E:$E,MATCH($Z$46&amp;"|"&amp;ROWS($A$97:A104),_Assessment_Full_View!$Q:$Q,0)),"")</f>
        <v>2. ROOM READINESS</v>
      </c>
      <c r="B104" s="630"/>
      <c r="C104" s="631" t="str">
        <f>IFERROR(INDEX(_Assessment_Full_View!$G:$G,MATCH($Z$46&amp;"|"&amp;ROWS($A$97:A104),_Assessment_Full_View!$Q:$Q,0))&amp;" / "&amp;INDEX(_Assessment_Full_View!$H:$H,MATCH($Z$46&amp;"|"&amp;ROWS($A$97:A104),_Assessment_Full_View!$Q:$Q,0)),"")</f>
        <v>2. ROOM READINESS / 0</v>
      </c>
      <c r="D104" s="630"/>
      <c r="E104" s="631" t="str">
        <f>IFERROR(INDEX(_Assessment_Full_View!$I:$I,MATCH($Z$46&amp;"|"&amp;ROWS($A$97:A104),_Assessment_Full_View!$Q:$Q,0))&amp;" / "&amp;INDEX(_Assessment_Full_View!$J:$J,MATCH($Z$46&amp;"|"&amp;ROWS($A$97:A104),_Assessment_Full_View!$Q:$Q,0)),"")</f>
        <v>0 / 0</v>
      </c>
      <c r="F104" s="632"/>
      <c r="G104" s="630"/>
      <c r="H104" s="631" t="str">
        <f>IFERROR(INDEX(_Assessment_Full_View!$K:$K,MATCH($Z$46&amp;"|"&amp;ROWS($A$97:A104),_Assessment_Full_View!$Q:$Q,0))&amp;" / "&amp;INDEX(_Assessment_Full_View!$L:$L,MATCH($Z$46&amp;"|"&amp;ROWS($A$97:A104),_Assessment_Full_View!$Q:$Q,0)),"")</f>
        <v>0 / 0</v>
      </c>
      <c r="I104" s="632"/>
      <c r="J104" s="630"/>
      <c r="K104" s="631">
        <f>IFERROR(INDEX(_Assessment_Full_View!$O:$O,MATCH($Z$46&amp;"|"&amp;ROWS($A$97:A104),_Assessment_Full_View!$Q:$Q,0)),"")</f>
        <v>0</v>
      </c>
      <c r="L104" s="632"/>
      <c r="M104" s="630"/>
      <c r="N104" s="631">
        <f>IFERROR(INDEX(_Assessment_Full_View!$P:$P,MATCH($Z$46&amp;"|"&amp;ROWS($A$97:A104),_Assessment_Full_View!$Q:$Q,0)),"")</f>
        <v>0</v>
      </c>
      <c r="O104" s="632"/>
      <c r="P104" s="630"/>
    </row>
    <row r="105" spans="1:16" ht="74.45" hidden="1" customHeight="1">
      <c r="A105" s="629" t="str">
        <f>IFERROR(INDEX(_Assessment_Full_View!$E:$E,MATCH($Z$46&amp;"|"&amp;ROWS($A$97:A105),_Assessment_Full_View!$Q:$Q,0)),"")</f>
        <v>2. ROOM READINESS</v>
      </c>
      <c r="B105" s="630"/>
      <c r="C105" s="629" t="str">
        <f>IFERROR(INDEX(_Assessment_Full_View!$G:$G,MATCH($Z$46&amp;"|"&amp;ROWS($A$97:A105),_Assessment_Full_View!$Q:$Q,0))&amp;" / "&amp;INDEX(_Assessment_Full_View!$H:$H,MATCH($Z$46&amp;"|"&amp;ROWS($A$97:A105),_Assessment_Full_View!$Q:$Q,0)),"")</f>
        <v>Room / Walls / 1-hr Rating</v>
      </c>
      <c r="D105" s="630"/>
      <c r="E105" s="629" t="str">
        <f>IFERROR(INDEX(_Assessment_Full_View!$I:$I,MATCH($Z$46&amp;"|"&amp;ROWS($A$97:A105),_Assessment_Full_View!$Q:$Q,0))&amp;" / "&amp;INDEX(_Assessment_Full_View!$J:$J,MATCH($Z$46&amp;"|"&amp;ROWS($A$97:A105),_Assessment_Full_View!$Q:$Q,0)),"")</f>
        <v>Ceiling / Floor / SDC</v>
      </c>
      <c r="F105" s="632"/>
      <c r="G105" s="630"/>
      <c r="H105" s="629" t="str">
        <f>IFERROR(INDEX(_Assessment_Full_View!$K:$K,MATCH($Z$46&amp;"|"&amp;ROWS($A$97:A105),_Assessment_Full_View!$Q:$Q,0))&amp;" / "&amp;INDEX(_Assessment_Full_View!$L:$L,MATCH($Z$46&amp;"|"&amp;ROWS($A$97:A105),_Assessment_Full_View!$Q:$Q,0)),"")</f>
        <v>Penetrations / Access Control</v>
      </c>
      <c r="I105" s="632"/>
      <c r="J105" s="630"/>
      <c r="K105" s="629" t="str">
        <f>IFERROR(INDEX(_Assessment_Full_View!$O:$O,MATCH($Z$46&amp;"|"&amp;ROWS($A$97:A105),_Assessment_Full_View!$Q:$Q,0)),"")</f>
        <v>Overall</v>
      </c>
      <c r="L105" s="632"/>
      <c r="M105" s="630"/>
      <c r="N105" s="629" t="str">
        <f>IFERROR(INDEX(_Assessment_Full_View!$P:$P,MATCH($Z$46&amp;"|"&amp;ROWS($A$97:A105),_Assessment_Full_View!$Q:$Q,0)),"")</f>
        <v>Comments</v>
      </c>
      <c r="O105" s="632"/>
      <c r="P105" s="630"/>
    </row>
    <row r="106" spans="1:16" ht="74.45" hidden="1" customHeight="1">
      <c r="A106" s="631" t="str">
        <f>IFERROR(INDEX(_Assessment_Full_View!$E:$E,MATCH($Z$46&amp;"|"&amp;ROWS($A$97:A106),_Assessment_Full_View!$Q:$Q,0)),"")</f>
        <v>2. ROOM READINESS</v>
      </c>
      <c r="B106" s="630"/>
      <c r="C106" s="631" t="str">
        <f>IFERROR(INDEX(_Assessment_Full_View!$G:$G,MATCH($Z$46&amp;"|"&amp;ROWS($A$97:A106),_Assessment_Full_View!$Q:$Q,0))&amp;" / "&amp;INDEX(_Assessment_Full_View!$H:$H,MATCH($Z$46&amp;"|"&amp;ROWS($A$97:A106),_Assessment_Full_View!$Q:$Q,0)),"")</f>
        <v>B13H-A / Verify</v>
      </c>
      <c r="D106" s="630"/>
      <c r="E106" s="631" t="str">
        <f>IFERROR(INDEX(_Assessment_Full_View!$I:$I,MATCH($Z$46&amp;"|"&amp;ROWS($A$97:A106),_Assessment_Full_View!$Q:$Q,0))&amp;" / "&amp;INDEX(_Assessment_Full_View!$J:$J,MATCH($Z$46&amp;"|"&amp;ROWS($A$97:A106),_Assessment_Full_View!$Q:$Q,0)),"")</f>
        <v>Verify / Verify</v>
      </c>
      <c r="F106" s="632"/>
      <c r="G106" s="630"/>
      <c r="H106" s="631" t="str">
        <f>IFERROR(INDEX(_Assessment_Full_View!$K:$K,MATCH($Z$46&amp;"|"&amp;ROWS($A$97:A106),_Assessment_Full_View!$Q:$Q,0))&amp;" / "&amp;INDEX(_Assessment_Full_View!$L:$L,MATCH($Z$46&amp;"|"&amp;ROWS($A$97:A106),_Assessment_Full_View!$Q:$Q,0)),"")</f>
        <v>Verify / Verify</v>
      </c>
      <c r="I106" s="632"/>
      <c r="J106" s="630"/>
      <c r="K106" s="631" t="str">
        <f>IFERROR(INDEX(_Assessment_Full_View!$O:$O,MATCH($Z$46&amp;"|"&amp;ROWS($A$97:A106),_Assessment_Full_View!$Q:$Q,0)),"")</f>
        <v>Verify</v>
      </c>
      <c r="L106" s="632"/>
      <c r="M106" s="630"/>
      <c r="N106" s="631" t="str">
        <f>IFERROR(INDEX(_Assessment_Full_View!$P:$P,MATCH($Z$46&amp;"|"&amp;ROWS($A$97:A106),_Assessment_Full_View!$Q:$Q,0)),"")</f>
        <v>Basement TR; verify rated walls/open-to-deck conditions, door/security, floor finish, ladder rack/cable tray, future rack clearance, wall backing, and pathway entries.</v>
      </c>
      <c r="O106" s="632"/>
      <c r="P106" s="630"/>
    </row>
    <row r="107" spans="1:16" ht="74.45" hidden="1" customHeight="1">
      <c r="A107" s="629" t="str">
        <f>IFERROR(INDEX(_Assessment_Full_View!$E:$E,MATCH($Z$46&amp;"|"&amp;ROWS($A$97:A107),_Assessment_Full_View!$Q:$Q,0)),"")</f>
        <v>2. ROOM READINESS</v>
      </c>
      <c r="B107" s="630"/>
      <c r="C107" s="629" t="str">
        <f>IFERROR(INDEX(_Assessment_Full_View!$G:$G,MATCH($Z$46&amp;"|"&amp;ROWS($A$97:A107),_Assessment_Full_View!$Q:$Q,0))&amp;" / "&amp;INDEX(_Assessment_Full_View!$H:$H,MATCH($Z$46&amp;"|"&amp;ROWS($A$97:A107),_Assessment_Full_View!$Q:$Q,0)),"")</f>
        <v>124 / Verify</v>
      </c>
      <c r="D107" s="630"/>
      <c r="E107" s="629" t="str">
        <f>IFERROR(INDEX(_Assessment_Full_View!$I:$I,MATCH($Z$46&amp;"|"&amp;ROWS($A$97:A107),_Assessment_Full_View!$Q:$Q,0))&amp;" / "&amp;INDEX(_Assessment_Full_View!$J:$J,MATCH($Z$46&amp;"|"&amp;ROWS($A$97:A107),_Assessment_Full_View!$Q:$Q,0)),"")</f>
        <v>Verify / Verify</v>
      </c>
      <c r="F107" s="632"/>
      <c r="G107" s="630"/>
      <c r="H107" s="629" t="str">
        <f>IFERROR(INDEX(_Assessment_Full_View!$K:$K,MATCH($Z$46&amp;"|"&amp;ROWS($A$97:A107),_Assessment_Full_View!$Q:$Q,0))&amp;" / "&amp;INDEX(_Assessment_Full_View!$L:$L,MATCH($Z$46&amp;"|"&amp;ROWS($A$97:A107),_Assessment_Full_View!$Q:$Q,0)),"")</f>
        <v>Verify / Verify</v>
      </c>
      <c r="I107" s="632"/>
      <c r="J107" s="630"/>
      <c r="K107" s="629" t="str">
        <f>IFERROR(INDEX(_Assessment_Full_View!$O:$O,MATCH($Z$46&amp;"|"&amp;ROWS($A$97:A107),_Assessment_Full_View!$Q:$Q,0)),"")</f>
        <v>Verify</v>
      </c>
      <c r="L107" s="632"/>
      <c r="M107" s="630"/>
      <c r="N107" s="629" t="str">
        <f>IFERROR(INDEX(_Assessment_Full_View!$P:$P,MATCH($Z$46&amp;"|"&amp;ROWS($A$97:A107),_Assessment_Full_View!$Q:$Q,0)),"")</f>
        <v>First-level TR; verify rated construction, door hardware, ceiling/deck, rack/future rack clearances, wall backing, and riser/pathway entries.</v>
      </c>
      <c r="O107" s="632"/>
      <c r="P107" s="630"/>
    </row>
    <row r="108" spans="1:16" ht="74.45" hidden="1" customHeight="1">
      <c r="A108" s="631" t="str">
        <f>IFERROR(INDEX(_Assessment_Full_View!$E:$E,MATCH($Z$46&amp;"|"&amp;ROWS($A$97:A108),_Assessment_Full_View!$Q:$Q,0)),"")</f>
        <v>2. ROOM READINESS</v>
      </c>
      <c r="B108" s="630"/>
      <c r="C108" s="631" t="str">
        <f>IFERROR(INDEX(_Assessment_Full_View!$G:$G,MATCH($Z$46&amp;"|"&amp;ROWS($A$97:A108),_Assessment_Full_View!$Q:$Q,0))&amp;" / "&amp;INDEX(_Assessment_Full_View!$H:$H,MATCH($Z$46&amp;"|"&amp;ROWS($A$97:A108),_Assessment_Full_View!$Q:$Q,0)),"")</f>
        <v>226 / Verify</v>
      </c>
      <c r="D108" s="630"/>
      <c r="E108" s="631" t="str">
        <f>IFERROR(INDEX(_Assessment_Full_View!$I:$I,MATCH($Z$46&amp;"|"&amp;ROWS($A$97:A108),_Assessment_Full_View!$Q:$Q,0))&amp;" / "&amp;INDEX(_Assessment_Full_View!$J:$J,MATCH($Z$46&amp;"|"&amp;ROWS($A$97:A108),_Assessment_Full_View!$Q:$Q,0)),"")</f>
        <v>Verify / Verify</v>
      </c>
      <c r="F108" s="632"/>
      <c r="G108" s="630"/>
      <c r="H108" s="631" t="str">
        <f>IFERROR(INDEX(_Assessment_Full_View!$K:$K,MATCH($Z$46&amp;"|"&amp;ROWS($A$97:A108),_Assessment_Full_View!$Q:$Q,0))&amp;" / "&amp;INDEX(_Assessment_Full_View!$L:$L,MATCH($Z$46&amp;"|"&amp;ROWS($A$97:A108),_Assessment_Full_View!$Q:$Q,0)),"")</f>
        <v>Verify / Verify</v>
      </c>
      <c r="I108" s="632"/>
      <c r="J108" s="630"/>
      <c r="K108" s="631" t="str">
        <f>IFERROR(INDEX(_Assessment_Full_View!$O:$O,MATCH($Z$46&amp;"|"&amp;ROWS($A$97:A108),_Assessment_Full_View!$Q:$Q,0)),"")</f>
        <v>Verify</v>
      </c>
      <c r="L108" s="632"/>
      <c r="M108" s="630"/>
      <c r="N108" s="631" t="str">
        <f>IFERROR(INDEX(_Assessment_Full_View!$P:$P,MATCH($Z$46&amp;"|"&amp;ROWS($A$97:A108),_Assessment_Full_View!$Q:$Q,0)),"")</f>
        <v>Second-level TR; verify rated construction, door hardware, ceiling/deck, rack/future rack clearances, wall backing, and riser/pathway entries.</v>
      </c>
      <c r="O108" s="632"/>
      <c r="P108" s="630"/>
    </row>
    <row r="109" spans="1:16" ht="74.45" hidden="1" customHeight="1">
      <c r="A109" s="629" t="str">
        <f>IFERROR(INDEX(_Assessment_Full_View!$E:$E,MATCH($Z$46&amp;"|"&amp;ROWS($A$97:A109),_Assessment_Full_View!$Q:$Q,0)),"")</f>
        <v>2. ROOM READINESS</v>
      </c>
      <c r="B109" s="630"/>
      <c r="C109" s="629" t="str">
        <f>IFERROR(INDEX(_Assessment_Full_View!$G:$G,MATCH($Z$46&amp;"|"&amp;ROWS($A$97:A109),_Assessment_Full_View!$Q:$Q,0))&amp;" / "&amp;INDEX(_Assessment_Full_View!$H:$H,MATCH($Z$46&amp;"|"&amp;ROWS($A$97:A109),_Assessment_Full_View!$Q:$Q,0)),"")</f>
        <v>137 / 137A / Existing / Verify</v>
      </c>
      <c r="D109" s="630"/>
      <c r="E109" s="629" t="str">
        <f>IFERROR(INDEX(_Assessment_Full_View!$I:$I,MATCH($Z$46&amp;"|"&amp;ROWS($A$97:A109),_Assessment_Full_View!$Q:$Q,0))&amp;" / "&amp;INDEX(_Assessment_Full_View!$J:$J,MATCH($Z$46&amp;"|"&amp;ROWS($A$97:A109),_Assessment_Full_View!$Q:$Q,0)),"")</f>
        <v>Existing / Verify / Existing / Verify</v>
      </c>
      <c r="F109" s="632"/>
      <c r="G109" s="630"/>
      <c r="H109" s="629" t="str">
        <f>IFERROR(INDEX(_Assessment_Full_View!$K:$K,MATCH($Z$46&amp;"|"&amp;ROWS($A$97:A109),_Assessment_Full_View!$Q:$Q,0))&amp;" / "&amp;INDEX(_Assessment_Full_View!$L:$L,MATCH($Z$46&amp;"|"&amp;ROWS($A$97:A109),_Assessment_Full_View!$Q:$Q,0)),"")</f>
        <v>Verify / Verify</v>
      </c>
      <c r="I109" s="632"/>
      <c r="J109" s="630"/>
      <c r="K109" s="629" t="str">
        <f>IFERROR(INDEX(_Assessment_Full_View!$O:$O,MATCH($Z$46&amp;"|"&amp;ROWS($A$97:A109),_Assessment_Full_View!$Q:$Q,0)),"")</f>
        <v>Verify</v>
      </c>
      <c r="L109" s="632"/>
      <c r="M109" s="630"/>
      <c r="N109" s="629" t="str">
        <f>IFERROR(INDEX(_Assessment_Full_View!$P:$P,MATCH($Z$46&amp;"|"&amp;ROWS($A$97:A109),_Assessment_Full_View!$Q:$Q,0)),"")</f>
        <v>Existing demarc/server rooms; verify existing rack inventory, operational continuity, active circuits, access control, airflow and protection-in-place.</v>
      </c>
      <c r="O109" s="632"/>
      <c r="P109" s="630"/>
    </row>
    <row r="110" spans="1:16" ht="74.45" hidden="1" customHeight="1">
      <c r="A110" s="631" t="str">
        <f>IFERROR(INDEX(_Assessment_Full_View!$E:$E,MATCH($Z$46&amp;"|"&amp;ROWS($A$97:A110),_Assessment_Full_View!$Q:$Q,0)),"")</f>
        <v>2. ROOM READINESS</v>
      </c>
      <c r="B110" s="630"/>
      <c r="C110" s="631" t="str">
        <f>IFERROR(INDEX(_Assessment_Full_View!$G:$G,MATCH($Z$46&amp;"|"&amp;ROWS($A$97:A110),_Assessment_Full_View!$Q:$Q,0))&amp;" / "&amp;INDEX(_Assessment_Full_View!$H:$H,MATCH($Z$46&amp;"|"&amp;ROWS($A$97:A110),_Assessment_Full_View!$Q:$Q,0)),"")</f>
        <v>0 / 0</v>
      </c>
      <c r="D110" s="630"/>
      <c r="E110" s="631" t="str">
        <f>IFERROR(INDEX(_Assessment_Full_View!$I:$I,MATCH($Z$46&amp;"|"&amp;ROWS($A$97:A110),_Assessment_Full_View!$Q:$Q,0))&amp;" / "&amp;INDEX(_Assessment_Full_View!$J:$J,MATCH($Z$46&amp;"|"&amp;ROWS($A$97:A110),_Assessment_Full_View!$Q:$Q,0)),"")</f>
        <v>0 / 0</v>
      </c>
      <c r="F110" s="632"/>
      <c r="G110" s="630"/>
      <c r="H110" s="631" t="str">
        <f>IFERROR(INDEX(_Assessment_Full_View!$K:$K,MATCH($Z$46&amp;"|"&amp;ROWS($A$97:A110),_Assessment_Full_View!$Q:$Q,0))&amp;" / "&amp;INDEX(_Assessment_Full_View!$L:$L,MATCH($Z$46&amp;"|"&amp;ROWS($A$97:A110),_Assessment_Full_View!$Q:$Q,0)),"")</f>
        <v>0 / 0</v>
      </c>
      <c r="I110" s="632"/>
      <c r="J110" s="630"/>
      <c r="K110" s="631">
        <f>IFERROR(INDEX(_Assessment_Full_View!$O:$O,MATCH($Z$46&amp;"|"&amp;ROWS($A$97:A110),_Assessment_Full_View!$Q:$Q,0)),"")</f>
        <v>0</v>
      </c>
      <c r="L110" s="632"/>
      <c r="M110" s="630"/>
      <c r="N110" s="631">
        <f>IFERROR(INDEX(_Assessment_Full_View!$P:$P,MATCH($Z$46&amp;"|"&amp;ROWS($A$97:A110),_Assessment_Full_View!$Q:$Q,0)),"")</f>
        <v>0</v>
      </c>
      <c r="O110" s="632"/>
      <c r="P110" s="630"/>
    </row>
    <row r="111" spans="1:16" ht="74.45" hidden="1" customHeight="1">
      <c r="A111" s="629" t="str">
        <f>IFERROR(INDEX(_Assessment_Full_View!$E:$E,MATCH($Z$46&amp;"|"&amp;ROWS($A$97:A111),_Assessment_Full_View!$Q:$Q,0)),"")</f>
        <v>3. FIRE PROTECTION</v>
      </c>
      <c r="B111" s="630"/>
      <c r="C111" s="629" t="str">
        <f>IFERROR(INDEX(_Assessment_Full_View!$G:$G,MATCH($Z$46&amp;"|"&amp;ROWS($A$97:A111),_Assessment_Full_View!$Q:$Q,0))&amp;" / "&amp;INDEX(_Assessment_Full_View!$H:$H,MATCH($Z$46&amp;"|"&amp;ROWS($A$97:A111),_Assessment_Full_View!$Q:$Q,0)),"")</f>
        <v>3. FIRE PROTECTION / 0</v>
      </c>
      <c r="D111" s="630"/>
      <c r="E111" s="629" t="str">
        <f>IFERROR(INDEX(_Assessment_Full_View!$I:$I,MATCH($Z$46&amp;"|"&amp;ROWS($A$97:A111),_Assessment_Full_View!$Q:$Q,0))&amp;" / "&amp;INDEX(_Assessment_Full_View!$J:$J,MATCH($Z$46&amp;"|"&amp;ROWS($A$97:A111),_Assessment_Full_View!$Q:$Q,0)),"")</f>
        <v>0 / 0</v>
      </c>
      <c r="F111" s="632"/>
      <c r="G111" s="630"/>
      <c r="H111" s="629" t="str">
        <f>IFERROR(INDEX(_Assessment_Full_View!$K:$K,MATCH($Z$46&amp;"|"&amp;ROWS($A$97:A111),_Assessment_Full_View!$Q:$Q,0))&amp;" / "&amp;INDEX(_Assessment_Full_View!$L:$L,MATCH($Z$46&amp;"|"&amp;ROWS($A$97:A111),_Assessment_Full_View!$Q:$Q,0)),"")</f>
        <v>0 / 0</v>
      </c>
      <c r="I111" s="632"/>
      <c r="J111" s="630"/>
      <c r="K111" s="629">
        <f>IFERROR(INDEX(_Assessment_Full_View!$O:$O,MATCH($Z$46&amp;"|"&amp;ROWS($A$97:A111),_Assessment_Full_View!$Q:$Q,0)),"")</f>
        <v>0</v>
      </c>
      <c r="L111" s="632"/>
      <c r="M111" s="630"/>
      <c r="N111" s="629">
        <f>IFERROR(INDEX(_Assessment_Full_View!$P:$P,MATCH($Z$46&amp;"|"&amp;ROWS($A$97:A111),_Assessment_Full_View!$Q:$Q,0)),"")</f>
        <v>0</v>
      </c>
      <c r="O111" s="632"/>
      <c r="P111" s="630"/>
    </row>
    <row r="112" spans="1:16" ht="74.45" hidden="1" customHeight="1">
      <c r="A112" s="631" t="str">
        <f>IFERROR(INDEX(_Assessment_Full_View!$E:$E,MATCH($Z$46&amp;"|"&amp;ROWS($A$97:A112),_Assessment_Full_View!$Q:$Q,0)),"")</f>
        <v>3. FIRE PROTECTION</v>
      </c>
      <c r="B112" s="630"/>
      <c r="C112" s="631" t="str">
        <f>IFERROR(INDEX(_Assessment_Full_View!$G:$G,MATCH($Z$46&amp;"|"&amp;ROWS($A$97:A112),_Assessment_Full_View!$Q:$Q,0))&amp;" / "&amp;INDEX(_Assessment_Full_View!$H:$H,MATCH($Z$46&amp;"|"&amp;ROWS($A$97:A112),_Assessment_Full_View!$Q:$Q,0)),"")</f>
        <v>Room / Sprinkler</v>
      </c>
      <c r="D112" s="630"/>
      <c r="E112" s="631" t="str">
        <f>IFERROR(INDEX(_Assessment_Full_View!$I:$I,MATCH($Z$46&amp;"|"&amp;ROWS($A$97:A112),_Assessment_Full_View!$Q:$Q,0))&amp;" / "&amp;INDEX(_Assessment_Full_View!$J:$J,MATCH($Z$46&amp;"|"&amp;ROWS($A$97:A112),_Assessment_Full_View!$Q:$Q,0)),"")</f>
        <v>Cage / Detector</v>
      </c>
      <c r="F112" s="632"/>
      <c r="G112" s="630"/>
      <c r="H112" s="631" t="str">
        <f>IFERROR(INDEX(_Assessment_Full_View!$K:$K,MATCH($Z$46&amp;"|"&amp;ROWS($A$97:A112),_Assessment_Full_View!$Q:$Q,0))&amp;" / "&amp;INDEX(_Assessment_Full_View!$L:$L,MATCH($Z$46&amp;"|"&amp;ROWS($A$97:A112),_Assessment_Full_View!$Q:$Q,0)),"")</f>
        <v>Horn/Strobe / Extinguisher &lt;75 ft</v>
      </c>
      <c r="I112" s="632"/>
      <c r="J112" s="630"/>
      <c r="K112" s="631" t="str">
        <f>IFERROR(INDEX(_Assessment_Full_View!$O:$O,MATCH($Z$46&amp;"|"&amp;ROWS($A$97:A112),_Assessment_Full_View!$Q:$Q,0)),"")</f>
        <v>Overall</v>
      </c>
      <c r="L112" s="632"/>
      <c r="M112" s="630"/>
      <c r="N112" s="631" t="str">
        <f>IFERROR(INDEX(_Assessment_Full_View!$P:$P,MATCH($Z$46&amp;"|"&amp;ROWS($A$97:A112),_Assessment_Full_View!$Q:$Q,0)),"")</f>
        <v>Risk / Notes</v>
      </c>
      <c r="O112" s="632"/>
      <c r="P112" s="630"/>
    </row>
    <row r="113" spans="1:16" ht="74.45" hidden="1" customHeight="1">
      <c r="A113" s="629" t="str">
        <f>IFERROR(INDEX(_Assessment_Full_View!$E:$E,MATCH($Z$46&amp;"|"&amp;ROWS($A$97:A113),_Assessment_Full_View!$Q:$Q,0)),"")</f>
        <v>3. FIRE PROTECTION</v>
      </c>
      <c r="B113" s="630"/>
      <c r="C113" s="629" t="str">
        <f>IFERROR(INDEX(_Assessment_Full_View!$G:$G,MATCH($Z$46&amp;"|"&amp;ROWS($A$97:A113),_Assessment_Full_View!$Q:$Q,0))&amp;" / "&amp;INDEX(_Assessment_Full_View!$H:$H,MATCH($Z$46&amp;"|"&amp;ROWS($A$97:A113),_Assessment_Full_View!$Q:$Q,0)),"")</f>
        <v>B13H-A / Verify</v>
      </c>
      <c r="D113" s="630"/>
      <c r="E113" s="629" t="str">
        <f>IFERROR(INDEX(_Assessment_Full_View!$I:$I,MATCH($Z$46&amp;"|"&amp;ROWS($A$97:A113),_Assessment_Full_View!$Q:$Q,0))&amp;" / "&amp;INDEX(_Assessment_Full_View!$J:$J,MATCH($Z$46&amp;"|"&amp;ROWS($A$97:A113),_Assessment_Full_View!$Q:$Q,0)),"")</f>
        <v>Verify / Verify</v>
      </c>
      <c r="F113" s="632"/>
      <c r="G113" s="630"/>
      <c r="H113" s="629" t="str">
        <f>IFERROR(INDEX(_Assessment_Full_View!$K:$K,MATCH($Z$46&amp;"|"&amp;ROWS($A$97:A113),_Assessment_Full_View!$Q:$Q,0))&amp;" / "&amp;INDEX(_Assessment_Full_View!$L:$L,MATCH($Z$46&amp;"|"&amp;ROWS($A$97:A113),_Assessment_Full_View!$Q:$Q,0)),"")</f>
        <v>Verify / Verify</v>
      </c>
      <c r="I113" s="632"/>
      <c r="J113" s="630"/>
      <c r="K113" s="629" t="str">
        <f>IFERROR(INDEX(_Assessment_Full_View!$O:$O,MATCH($Z$46&amp;"|"&amp;ROWS($A$97:A113),_Assessment_Full_View!$Q:$Q,0)),"")</f>
        <v>Verify</v>
      </c>
      <c r="L113" s="632"/>
      <c r="M113" s="630"/>
      <c r="N113" s="629"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632"/>
      <c r="P113" s="630"/>
    </row>
    <row r="114" spans="1:16" ht="74.45" hidden="1" customHeight="1">
      <c r="A114" s="631" t="str">
        <f>IFERROR(INDEX(_Assessment_Full_View!$E:$E,MATCH($Z$46&amp;"|"&amp;ROWS($A$97:A114),_Assessment_Full_View!$Q:$Q,0)),"")</f>
        <v>3. FIRE PROTECTION</v>
      </c>
      <c r="B114" s="630"/>
      <c r="C114" s="631" t="str">
        <f>IFERROR(INDEX(_Assessment_Full_View!$G:$G,MATCH($Z$46&amp;"|"&amp;ROWS($A$97:A114),_Assessment_Full_View!$Q:$Q,0))&amp;" / "&amp;INDEX(_Assessment_Full_View!$H:$H,MATCH($Z$46&amp;"|"&amp;ROWS($A$97:A114),_Assessment_Full_View!$Q:$Q,0)),"")</f>
        <v>124 / Verify</v>
      </c>
      <c r="D114" s="630"/>
      <c r="E114" s="631" t="str">
        <f>IFERROR(INDEX(_Assessment_Full_View!$I:$I,MATCH($Z$46&amp;"|"&amp;ROWS($A$97:A114),_Assessment_Full_View!$Q:$Q,0))&amp;" / "&amp;INDEX(_Assessment_Full_View!$J:$J,MATCH($Z$46&amp;"|"&amp;ROWS($A$97:A114),_Assessment_Full_View!$Q:$Q,0)),"")</f>
        <v>Verify / Verify</v>
      </c>
      <c r="F114" s="632"/>
      <c r="G114" s="630"/>
      <c r="H114" s="631" t="str">
        <f>IFERROR(INDEX(_Assessment_Full_View!$K:$K,MATCH($Z$46&amp;"|"&amp;ROWS($A$97:A114),_Assessment_Full_View!$Q:$Q,0))&amp;" / "&amp;INDEX(_Assessment_Full_View!$L:$L,MATCH($Z$46&amp;"|"&amp;ROWS($A$97:A114),_Assessment_Full_View!$Q:$Q,0)),"")</f>
        <v>Verify / Verify</v>
      </c>
      <c r="I114" s="632"/>
      <c r="J114" s="630"/>
      <c r="K114" s="631" t="str">
        <f>IFERROR(INDEX(_Assessment_Full_View!$O:$O,MATCH($Z$46&amp;"|"&amp;ROWS($A$97:A114),_Assessment_Full_View!$Q:$Q,0)),"")</f>
        <v>Verify</v>
      </c>
      <c r="L114" s="632"/>
      <c r="M114" s="630"/>
      <c r="N114" s="631" t="str">
        <f>IFERROR(INDEX(_Assessment_Full_View!$P:$P,MATCH($Z$46&amp;"|"&amp;ROWS($A$97:A114),_Assessment_Full_View!$Q:$Q,0)),"")</f>
        <v>Verify sprinkler/fire alarm modifications, clean-agent FEC location, penetrations, cable tray/riser openings, and final UL firestop systems.</v>
      </c>
      <c r="O114" s="632"/>
      <c r="P114" s="630"/>
    </row>
    <row r="115" spans="1:16" ht="74.45" hidden="1" customHeight="1">
      <c r="A115" s="629" t="str">
        <f>IFERROR(INDEX(_Assessment_Full_View!$E:$E,MATCH($Z$46&amp;"|"&amp;ROWS($A$97:A115),_Assessment_Full_View!$Q:$Q,0)),"")</f>
        <v>3. FIRE PROTECTION</v>
      </c>
      <c r="B115" s="630"/>
      <c r="C115" s="629" t="str">
        <f>IFERROR(INDEX(_Assessment_Full_View!$G:$G,MATCH($Z$46&amp;"|"&amp;ROWS($A$97:A115),_Assessment_Full_View!$Q:$Q,0))&amp;" / "&amp;INDEX(_Assessment_Full_View!$H:$H,MATCH($Z$46&amp;"|"&amp;ROWS($A$97:A115),_Assessment_Full_View!$Q:$Q,0)),"")</f>
        <v>226 / Verify</v>
      </c>
      <c r="D115" s="630"/>
      <c r="E115" s="629" t="str">
        <f>IFERROR(INDEX(_Assessment_Full_View!$I:$I,MATCH($Z$46&amp;"|"&amp;ROWS($A$97:A115),_Assessment_Full_View!$Q:$Q,0))&amp;" / "&amp;INDEX(_Assessment_Full_View!$J:$J,MATCH($Z$46&amp;"|"&amp;ROWS($A$97:A115),_Assessment_Full_View!$Q:$Q,0)),"")</f>
        <v>Verify / Verify</v>
      </c>
      <c r="F115" s="632"/>
      <c r="G115" s="630"/>
      <c r="H115" s="629" t="str">
        <f>IFERROR(INDEX(_Assessment_Full_View!$K:$K,MATCH($Z$46&amp;"|"&amp;ROWS($A$97:A115),_Assessment_Full_View!$Q:$Q,0))&amp;" / "&amp;INDEX(_Assessment_Full_View!$L:$L,MATCH($Z$46&amp;"|"&amp;ROWS($A$97:A115),_Assessment_Full_View!$Q:$Q,0)),"")</f>
        <v>Verify / Verify</v>
      </c>
      <c r="I115" s="632"/>
      <c r="J115" s="630"/>
      <c r="K115" s="629" t="str">
        <f>IFERROR(INDEX(_Assessment_Full_View!$O:$O,MATCH($Z$46&amp;"|"&amp;ROWS($A$97:A115),_Assessment_Full_View!$Q:$Q,0)),"")</f>
        <v>Verify</v>
      </c>
      <c r="L115" s="632"/>
      <c r="M115" s="630"/>
      <c r="N115" s="629" t="str">
        <f>IFERROR(INDEX(_Assessment_Full_View!$P:$P,MATCH($Z$46&amp;"|"&amp;ROWS($A$97:A115),_Assessment_Full_View!$Q:$Q,0)),"")</f>
        <v>Verify second-level TR sprinkler/fire alarm modifications, clean-agent FEC location, vertical riser penetrations, and firestopping.</v>
      </c>
      <c r="O115" s="632"/>
      <c r="P115" s="630"/>
    </row>
    <row r="116" spans="1:16" ht="74.45" hidden="1" customHeight="1">
      <c r="A116" s="631" t="str">
        <f>IFERROR(INDEX(_Assessment_Full_View!$E:$E,MATCH($Z$46&amp;"|"&amp;ROWS($A$97:A116),_Assessment_Full_View!$Q:$Q,0)),"")</f>
        <v>3. FIRE PROTECTION</v>
      </c>
      <c r="B116" s="630"/>
      <c r="C116" s="631" t="str">
        <f>IFERROR(INDEX(_Assessment_Full_View!$G:$G,MATCH($Z$46&amp;"|"&amp;ROWS($A$97:A116),_Assessment_Full_View!$Q:$Q,0))&amp;" / "&amp;INDEX(_Assessment_Full_View!$H:$H,MATCH($Z$46&amp;"|"&amp;ROWS($A$97:A116),_Assessment_Full_View!$Q:$Q,0)),"")</f>
        <v>137 / 137A / Verify</v>
      </c>
      <c r="D116" s="630"/>
      <c r="E116" s="631" t="str">
        <f>IFERROR(INDEX(_Assessment_Full_View!$I:$I,MATCH($Z$46&amp;"|"&amp;ROWS($A$97:A116),_Assessment_Full_View!$Q:$Q,0))&amp;" / "&amp;INDEX(_Assessment_Full_View!$J:$J,MATCH($Z$46&amp;"|"&amp;ROWS($A$97:A116),_Assessment_Full_View!$Q:$Q,0)),"")</f>
        <v>N/A / Verify</v>
      </c>
      <c r="F116" s="632"/>
      <c r="G116" s="630"/>
      <c r="H116" s="631" t="str">
        <f>IFERROR(INDEX(_Assessment_Full_View!$K:$K,MATCH($Z$46&amp;"|"&amp;ROWS($A$97:A116),_Assessment_Full_View!$Q:$Q,0))&amp;" / "&amp;INDEX(_Assessment_Full_View!$L:$L,MATCH($Z$46&amp;"|"&amp;ROWS($A$97:A116),_Assessment_Full_View!$Q:$Q,0)),"")</f>
        <v>Verify / Verify</v>
      </c>
      <c r="I116" s="632"/>
      <c r="J116" s="630"/>
      <c r="K116" s="631" t="str">
        <f>IFERROR(INDEX(_Assessment_Full_View!$O:$O,MATCH($Z$46&amp;"|"&amp;ROWS($A$97:A116),_Assessment_Full_View!$Q:$Q,0)),"")</f>
        <v>Verify</v>
      </c>
      <c r="L116" s="632"/>
      <c r="M116" s="630"/>
      <c r="N116" s="631" t="str">
        <f>IFERROR(INDEX(_Assessment_Full_View!$P:$P,MATCH($Z$46&amp;"|"&amp;ROWS($A$97:A116),_Assessment_Full_View!$Q:$Q,0)),"")</f>
        <v>Existing demarc/server rooms may remain active; verify protection-in-place, FA/FP continuity, and no unsealed penetrations after cabling work.</v>
      </c>
      <c r="O116" s="632"/>
      <c r="P116" s="630"/>
    </row>
    <row r="117" spans="1:16" ht="74.45" hidden="1" customHeight="1">
      <c r="A117" s="629" t="str">
        <f>IFERROR(INDEX(_Assessment_Full_View!$E:$E,MATCH($Z$46&amp;"|"&amp;ROWS($A$97:A117),_Assessment_Full_View!$Q:$Q,0)),"")</f>
        <v>3. FIRE PROTECTION</v>
      </c>
      <c r="B117" s="630"/>
      <c r="C117" s="629" t="str">
        <f>IFERROR(INDEX(_Assessment_Full_View!$G:$G,MATCH($Z$46&amp;"|"&amp;ROWS($A$97:A117),_Assessment_Full_View!$Q:$Q,0))&amp;" / "&amp;INDEX(_Assessment_Full_View!$H:$H,MATCH($Z$46&amp;"|"&amp;ROWS($A$97:A117),_Assessment_Full_View!$Q:$Q,0)),"")</f>
        <v>0 / 0</v>
      </c>
      <c r="D117" s="630"/>
      <c r="E117" s="629" t="str">
        <f>IFERROR(INDEX(_Assessment_Full_View!$I:$I,MATCH($Z$46&amp;"|"&amp;ROWS($A$97:A117),_Assessment_Full_View!$Q:$Q,0))&amp;" / "&amp;INDEX(_Assessment_Full_View!$J:$J,MATCH($Z$46&amp;"|"&amp;ROWS($A$97:A117),_Assessment_Full_View!$Q:$Q,0)),"")</f>
        <v>0 / 0</v>
      </c>
      <c r="F117" s="632"/>
      <c r="G117" s="630"/>
      <c r="H117" s="629" t="str">
        <f>IFERROR(INDEX(_Assessment_Full_View!$K:$K,MATCH($Z$46&amp;"|"&amp;ROWS($A$97:A117),_Assessment_Full_View!$Q:$Q,0))&amp;" / "&amp;INDEX(_Assessment_Full_View!$L:$L,MATCH($Z$46&amp;"|"&amp;ROWS($A$97:A117),_Assessment_Full_View!$Q:$Q,0)),"")</f>
        <v>0 / 0</v>
      </c>
      <c r="I117" s="632"/>
      <c r="J117" s="630"/>
      <c r="K117" s="629">
        <f>IFERROR(INDEX(_Assessment_Full_View!$O:$O,MATCH($Z$46&amp;"|"&amp;ROWS($A$97:A117),_Assessment_Full_View!$Q:$Q,0)),"")</f>
        <v>0</v>
      </c>
      <c r="L117" s="632"/>
      <c r="M117" s="630"/>
      <c r="N117" s="629">
        <f>IFERROR(INDEX(_Assessment_Full_View!$P:$P,MATCH($Z$46&amp;"|"&amp;ROWS($A$97:A117),_Assessment_Full_View!$Q:$Q,0)),"")</f>
        <v>0</v>
      </c>
      <c r="O117" s="632"/>
      <c r="P117" s="630"/>
    </row>
    <row r="118" spans="1:16" ht="74.45" hidden="1" customHeight="1">
      <c r="A118" s="631" t="str">
        <f>IFERROR(INDEX(_Assessment_Full_View!$E:$E,MATCH($Z$46&amp;"|"&amp;ROWS($A$97:A118),_Assessment_Full_View!$Q:$Q,0)),"")</f>
        <v>4. HVAC / COOLING</v>
      </c>
      <c r="B118" s="630"/>
      <c r="C118" s="631" t="str">
        <f>IFERROR(INDEX(_Assessment_Full_View!$G:$G,MATCH($Z$46&amp;"|"&amp;ROWS($A$97:A118),_Assessment_Full_View!$Q:$Q,0))&amp;" / "&amp;INDEX(_Assessment_Full_View!$H:$H,MATCH($Z$46&amp;"|"&amp;ROWS($A$97:A118),_Assessment_Full_View!$Q:$Q,0)),"")</f>
        <v>4. HVAC / COOLING / 0</v>
      </c>
      <c r="D118" s="630"/>
      <c r="E118" s="631" t="str">
        <f>IFERROR(INDEX(_Assessment_Full_View!$I:$I,MATCH($Z$46&amp;"|"&amp;ROWS($A$97:A118),_Assessment_Full_View!$Q:$Q,0))&amp;" / "&amp;INDEX(_Assessment_Full_View!$J:$J,MATCH($Z$46&amp;"|"&amp;ROWS($A$97:A118),_Assessment_Full_View!$Q:$Q,0)),"")</f>
        <v>0 / 0</v>
      </c>
      <c r="F118" s="632"/>
      <c r="G118" s="630"/>
      <c r="H118" s="631" t="str">
        <f>IFERROR(INDEX(_Assessment_Full_View!$K:$K,MATCH($Z$46&amp;"|"&amp;ROWS($A$97:A118),_Assessment_Full_View!$Q:$Q,0))&amp;" / "&amp;INDEX(_Assessment_Full_View!$L:$L,MATCH($Z$46&amp;"|"&amp;ROWS($A$97:A118),_Assessment_Full_View!$Q:$Q,0)),"")</f>
        <v>0 / 0</v>
      </c>
      <c r="I118" s="632"/>
      <c r="J118" s="630"/>
      <c r="K118" s="631">
        <f>IFERROR(INDEX(_Assessment_Full_View!$O:$O,MATCH($Z$46&amp;"|"&amp;ROWS($A$97:A118),_Assessment_Full_View!$Q:$Q,0)),"")</f>
        <v>0</v>
      </c>
      <c r="L118" s="632"/>
      <c r="M118" s="630"/>
      <c r="N118" s="631">
        <f>IFERROR(INDEX(_Assessment_Full_View!$P:$P,MATCH($Z$46&amp;"|"&amp;ROWS($A$97:A118),_Assessment_Full_View!$Q:$Q,0)),"")</f>
        <v>0</v>
      </c>
      <c r="O118" s="632"/>
      <c r="P118" s="630"/>
    </row>
    <row r="119" spans="1:16" ht="74.45" hidden="1" customHeight="1">
      <c r="A119" s="629" t="str">
        <f>IFERROR(INDEX(_Assessment_Full_View!$E:$E,MATCH($Z$46&amp;"|"&amp;ROWS($A$97:A119),_Assessment_Full_View!$Q:$Q,0)),"")</f>
        <v>4. HVAC / COOLING</v>
      </c>
      <c r="B119" s="630"/>
      <c r="C119" s="629" t="str">
        <f>IFERROR(INDEX(_Assessment_Full_View!$G:$G,MATCH($Z$46&amp;"|"&amp;ROWS($A$97:A119),_Assessment_Full_View!$Q:$Q,0))&amp;" / "&amp;INDEX(_Assessment_Full_View!$H:$H,MATCH($Z$46&amp;"|"&amp;ROWS($A$97:A119),_Assessment_Full_View!$Q:$Q,0)),"")</f>
        <v>Room / Dedicated Unit</v>
      </c>
      <c r="D119" s="630"/>
      <c r="E119" s="629" t="str">
        <f>IFERROR(INDEX(_Assessment_Full_View!$I:$I,MATCH($Z$46&amp;"|"&amp;ROWS($A$97:A119),_Assessment_Full_View!$Q:$Q,0))&amp;" / "&amp;INDEX(_Assessment_Full_View!$J:$J,MATCH($Z$46&amp;"|"&amp;ROWS($A$97:A119),_Assessment_Full_View!$Q:$Q,0)),"")</f>
        <v>Capacity Verified / Emergency Power</v>
      </c>
      <c r="F119" s="632"/>
      <c r="G119" s="630"/>
      <c r="H119" s="629" t="str">
        <f>IFERROR(INDEX(_Assessment_Full_View!$K:$K,MATCH($Z$46&amp;"|"&amp;ROWS($A$97:A119),_Assessment_Full_View!$Q:$Q,0))&amp;" / "&amp;INDEX(_Assessment_Full_View!$L:$L,MATCH($Z$46&amp;"|"&amp;ROWS($A$97:A119),_Assessment_Full_View!$Q:$Q,0)),"")</f>
        <v>Controls / BACnet / Condensate Routed</v>
      </c>
      <c r="I119" s="632"/>
      <c r="J119" s="630"/>
      <c r="K119" s="629" t="str">
        <f>IFERROR(INDEX(_Assessment_Full_View!$O:$O,MATCH($Z$46&amp;"|"&amp;ROWS($A$97:A119),_Assessment_Full_View!$Q:$Q,0)),"")</f>
        <v>Overall</v>
      </c>
      <c r="L119" s="632"/>
      <c r="M119" s="630"/>
      <c r="N119" s="629" t="str">
        <f>IFERROR(INDEX(_Assessment_Full_View!$P:$P,MATCH($Z$46&amp;"|"&amp;ROWS($A$97:A119),_Assessment_Full_View!$Q:$Q,0)),"")</f>
        <v>Risk / Notes</v>
      </c>
      <c r="O119" s="632"/>
      <c r="P119" s="630"/>
    </row>
    <row r="120" spans="1:16" ht="13.15" hidden="1" customHeight="1">
      <c r="A120" s="631" t="str">
        <f>IFERROR(INDEX(_Assessment_Full_View!$E:$E,MATCH($Z$46&amp;"|"&amp;ROWS($A$97:A120),_Assessment_Full_View!$Q:$Q,0)),"")</f>
        <v>4. HVAC / COOLING</v>
      </c>
      <c r="B120" s="630"/>
      <c r="C120" s="631" t="str">
        <f>IFERROR(INDEX(_Assessment_Full_View!$G:$G,MATCH($Z$46&amp;"|"&amp;ROWS($A$97:A120),_Assessment_Full_View!$Q:$Q,0))&amp;" / "&amp;INDEX(_Assessment_Full_View!$H:$H,MATCH($Z$46&amp;"|"&amp;ROWS($A$97:A120),_Assessment_Full_View!$Q:$Q,0)),"")</f>
        <v>B13H-A / IU-0-01 / CU-0-01</v>
      </c>
      <c r="D120" s="630"/>
      <c r="E120" s="631" t="str">
        <f>IFERROR(INDEX(_Assessment_Full_View!$I:$I,MATCH($Z$46&amp;"|"&amp;ROWS($A$97:A120),_Assessment_Full_View!$Q:$Q,0))&amp;" / "&amp;INDEX(_Assessment_Full_View!$J:$J,MATCH($Z$46&amp;"|"&amp;ROWS($A$97:A120),_Assessment_Full_View!$Q:$Q,0)),"")</f>
        <v>Pass / Pass</v>
      </c>
      <c r="F120" s="632"/>
      <c r="G120" s="630"/>
      <c r="H120" s="631" t="str">
        <f>IFERROR(INDEX(_Assessment_Full_View!$K:$K,MATCH($Z$46&amp;"|"&amp;ROWS($A$97:A120),_Assessment_Full_View!$Q:$Q,0))&amp;" / "&amp;INDEX(_Assessment_Full_View!$L:$L,MATCH($Z$46&amp;"|"&amp;ROWS($A$97:A120),_Assessment_Full_View!$Q:$Q,0)),"")</f>
        <v>Pass / Verify</v>
      </c>
      <c r="I120" s="632"/>
      <c r="J120" s="630"/>
      <c r="K120" s="631" t="str">
        <f>IFERROR(INDEX(_Assessment_Full_View!$O:$O,MATCH($Z$46&amp;"|"&amp;ROWS($A$97:A120),_Assessment_Full_View!$Q:$Q,0)),"")</f>
        <v>Verify</v>
      </c>
      <c r="L120" s="632"/>
      <c r="M120" s="630"/>
      <c r="N120" s="631"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632"/>
      <c r="P120" s="630"/>
    </row>
    <row r="121" spans="1:16" ht="13.15" hidden="1" customHeight="1">
      <c r="A121" s="629" t="str">
        <f>IFERROR(INDEX(_Assessment_Full_View!$E:$E,MATCH($Z$46&amp;"|"&amp;ROWS($A$97:A121),_Assessment_Full_View!$Q:$Q,0)),"")</f>
        <v>4. HVAC / COOLING</v>
      </c>
      <c r="B121" s="630"/>
      <c r="C121" s="629" t="str">
        <f>IFERROR(INDEX(_Assessment_Full_View!$G:$G,MATCH($Z$46&amp;"|"&amp;ROWS($A$97:A121),_Assessment_Full_View!$Q:$Q,0))&amp;" / "&amp;INDEX(_Assessment_Full_View!$H:$H,MATCH($Z$46&amp;"|"&amp;ROWS($A$97:A121),_Assessment_Full_View!$Q:$Q,0)),"")</f>
        <v>124 / IU-1-01 / CU-1-01</v>
      </c>
      <c r="D121" s="630"/>
      <c r="E121" s="629" t="str">
        <f>IFERROR(INDEX(_Assessment_Full_View!$I:$I,MATCH($Z$46&amp;"|"&amp;ROWS($A$97:A121),_Assessment_Full_View!$Q:$Q,0))&amp;" / "&amp;INDEX(_Assessment_Full_View!$J:$J,MATCH($Z$46&amp;"|"&amp;ROWS($A$97:A121),_Assessment_Full_View!$Q:$Q,0)),"")</f>
        <v>Verify / Verify</v>
      </c>
      <c r="F121" s="632"/>
      <c r="G121" s="630"/>
      <c r="H121" s="629" t="str">
        <f>IFERROR(INDEX(_Assessment_Full_View!$K:$K,MATCH($Z$46&amp;"|"&amp;ROWS($A$97:A121),_Assessment_Full_View!$Q:$Q,0))&amp;" / "&amp;INDEX(_Assessment_Full_View!$L:$L,MATCH($Z$46&amp;"|"&amp;ROWS($A$97:A121),_Assessment_Full_View!$Q:$Q,0)),"")</f>
        <v>Verify / Verify</v>
      </c>
      <c r="I121" s="632"/>
      <c r="J121" s="630"/>
      <c r="K121" s="629" t="str">
        <f>IFERROR(INDEX(_Assessment_Full_View!$O:$O,MATCH($Z$46&amp;"|"&amp;ROWS($A$97:A121),_Assessment_Full_View!$Q:$Q,0)),"")</f>
        <v>Verify</v>
      </c>
      <c r="L121" s="632"/>
      <c r="M121" s="630"/>
      <c r="N121" s="629" t="str">
        <f>IFERROR(INDEX(_Assessment_Full_View!$P:$P,MATCH($Z$46&amp;"|"&amp;ROWS($A$97:A121),_Assessment_Full_View!$Q:$Q,0)),"")</f>
        <v>Mechanical/electrical plans identify IU-1-01/CU-1-01 for first-level TR. Confirm 24/7 operation, emergency/standby source and high-temp alarm.</v>
      </c>
      <c r="O121" s="632"/>
      <c r="P121" s="630"/>
    </row>
    <row r="122" spans="1:16" ht="13.15" hidden="1" customHeight="1">
      <c r="A122" s="660"/>
      <c r="B122" s="632"/>
      <c r="C122" s="632"/>
      <c r="D122" s="632"/>
      <c r="E122" s="632"/>
      <c r="F122" s="632"/>
      <c r="G122" s="632"/>
      <c r="H122" s="632"/>
      <c r="I122" s="632"/>
      <c r="J122" s="632"/>
      <c r="K122" s="632"/>
      <c r="L122" s="632"/>
      <c r="M122" s="632"/>
      <c r="N122" s="632"/>
      <c r="O122" s="632"/>
      <c r="P122" s="630"/>
    </row>
    <row r="123" spans="1:16" ht="13.15" hidden="1" customHeight="1">
      <c r="A123" s="54"/>
      <c r="B123" s="54"/>
      <c r="C123" s="54"/>
      <c r="D123" s="54"/>
      <c r="E123" s="54"/>
      <c r="F123" s="54"/>
      <c r="G123" s="54"/>
      <c r="H123" s="54"/>
      <c r="I123" s="54"/>
      <c r="J123" s="54"/>
      <c r="K123" s="54"/>
      <c r="L123" s="54"/>
      <c r="M123" s="54"/>
      <c r="N123" s="54"/>
      <c r="O123" s="54"/>
      <c r="P123" s="54"/>
    </row>
    <row r="124" spans="1:16" ht="13.15" hidden="1" customHeight="1">
      <c r="A124" s="54"/>
      <c r="B124" s="54"/>
      <c r="C124" s="54"/>
      <c r="D124" s="54"/>
      <c r="E124" s="54"/>
      <c r="F124" s="54"/>
      <c r="G124" s="54"/>
      <c r="H124" s="54"/>
      <c r="I124" s="54"/>
      <c r="J124" s="54"/>
      <c r="K124" s="54"/>
      <c r="L124" s="54"/>
      <c r="M124" s="54"/>
      <c r="N124" s="54"/>
      <c r="O124" s="54"/>
      <c r="P124" s="54"/>
    </row>
    <row r="125" spans="1:16" ht="13.15" hidden="1" customHeight="1">
      <c r="A125" s="54"/>
      <c r="B125" s="54"/>
      <c r="C125" s="54"/>
      <c r="D125" s="54"/>
      <c r="E125" s="54"/>
      <c r="F125" s="54"/>
      <c r="G125" s="54"/>
      <c r="H125" s="54"/>
      <c r="I125" s="54"/>
      <c r="J125" s="54"/>
      <c r="K125" s="54"/>
      <c r="L125" s="54"/>
      <c r="M125" s="54"/>
      <c r="N125" s="54"/>
      <c r="O125" s="54"/>
      <c r="P125" s="54"/>
    </row>
    <row r="126" spans="1:16" ht="13.15" hidden="1" customHeight="1">
      <c r="A126" s="54"/>
      <c r="B126" s="54"/>
      <c r="C126" s="54"/>
      <c r="D126" s="54"/>
      <c r="E126" s="54"/>
      <c r="F126" s="54"/>
      <c r="G126" s="54"/>
      <c r="H126" s="54"/>
      <c r="I126" s="54"/>
      <c r="J126" s="54"/>
      <c r="K126" s="54"/>
      <c r="L126" s="54"/>
      <c r="M126" s="54"/>
      <c r="N126" s="54"/>
      <c r="O126" s="54"/>
      <c r="P126" s="54"/>
    </row>
    <row r="127" spans="1:16" ht="13.15" hidden="1" customHeight="1">
      <c r="A127" s="54"/>
      <c r="B127" s="54"/>
      <c r="C127" s="54"/>
      <c r="D127" s="54"/>
      <c r="E127" s="54"/>
      <c r="F127" s="54"/>
      <c r="G127" s="54"/>
      <c r="H127" s="54"/>
      <c r="I127" s="54"/>
      <c r="J127" s="54"/>
      <c r="K127" s="54"/>
      <c r="L127" s="54"/>
      <c r="M127" s="54"/>
      <c r="N127" s="54"/>
      <c r="O127" s="54"/>
      <c r="P127" s="54"/>
    </row>
    <row r="128" spans="1:16" ht="13.15" hidden="1" customHeight="1">
      <c r="A128" s="54"/>
      <c r="B128" s="54"/>
      <c r="C128" s="54"/>
      <c r="D128" s="54"/>
      <c r="E128" s="54"/>
      <c r="F128" s="54"/>
      <c r="G128" s="54"/>
      <c r="H128" s="54"/>
      <c r="I128" s="54"/>
      <c r="J128" s="54"/>
      <c r="K128" s="54"/>
      <c r="L128" s="54"/>
      <c r="M128" s="54"/>
      <c r="N128" s="54"/>
      <c r="O128" s="54"/>
      <c r="P128" s="54"/>
    </row>
    <row r="129" spans="1:16" ht="13.15" hidden="1" customHeight="1">
      <c r="A129" s="54"/>
      <c r="B129" s="54"/>
      <c r="C129" s="54"/>
      <c r="D129" s="54"/>
      <c r="E129" s="54"/>
      <c r="F129" s="54"/>
      <c r="G129" s="54"/>
      <c r="H129" s="54"/>
      <c r="I129" s="54"/>
      <c r="J129" s="54"/>
      <c r="K129" s="54"/>
      <c r="L129" s="54"/>
      <c r="M129" s="54"/>
      <c r="N129" s="54"/>
      <c r="O129" s="54"/>
      <c r="P129" s="54"/>
    </row>
    <row r="130" spans="1:16" ht="13.15" hidden="1" customHeight="1">
      <c r="A130" s="54"/>
      <c r="B130" s="54"/>
      <c r="C130" s="54"/>
      <c r="D130" s="54"/>
      <c r="E130" s="54"/>
      <c r="F130" s="54"/>
      <c r="G130" s="54"/>
      <c r="H130" s="54"/>
      <c r="I130" s="54"/>
      <c r="J130" s="54"/>
      <c r="K130" s="54"/>
      <c r="L130" s="54"/>
      <c r="M130" s="54"/>
      <c r="N130" s="54"/>
      <c r="O130" s="54"/>
      <c r="P130" s="54"/>
    </row>
    <row r="131" spans="1:16" ht="13.15" hidden="1" customHeight="1">
      <c r="A131" s="54"/>
      <c r="B131" s="54"/>
      <c r="C131" s="54"/>
      <c r="D131" s="54"/>
      <c r="E131" s="54"/>
      <c r="F131" s="54"/>
      <c r="G131" s="54"/>
      <c r="H131" s="54"/>
      <c r="I131" s="54"/>
      <c r="J131" s="54"/>
      <c r="K131" s="54"/>
      <c r="L131" s="54"/>
      <c r="M131" s="54"/>
      <c r="N131" s="54"/>
      <c r="O131" s="54"/>
      <c r="P131" s="54"/>
    </row>
    <row r="132" spans="1:16" ht="13.15" hidden="1" customHeight="1">
      <c r="A132" s="54"/>
      <c r="B132" s="54"/>
      <c r="C132" s="54"/>
      <c r="D132" s="54"/>
      <c r="E132" s="54"/>
      <c r="F132" s="54"/>
      <c r="G132" s="54"/>
      <c r="H132" s="54"/>
      <c r="I132" s="54"/>
      <c r="J132" s="54"/>
      <c r="K132" s="54"/>
      <c r="L132" s="54"/>
      <c r="M132" s="54"/>
      <c r="N132" s="54"/>
      <c r="O132" s="54"/>
      <c r="P132" s="54"/>
    </row>
    <row r="133" spans="1:16" ht="13.15" hidden="1" customHeight="1">
      <c r="A133" s="54"/>
      <c r="B133" s="54"/>
      <c r="C133" s="54"/>
      <c r="D133" s="54"/>
      <c r="E133" s="54"/>
      <c r="F133" s="54"/>
      <c r="G133" s="54"/>
      <c r="H133" s="54"/>
      <c r="I133" s="54"/>
      <c r="J133" s="54"/>
      <c r="K133" s="54"/>
      <c r="L133" s="54"/>
      <c r="M133" s="54"/>
      <c r="N133" s="54"/>
      <c r="O133" s="54"/>
      <c r="P133" s="54"/>
    </row>
    <row r="134" spans="1:16" ht="13.15" hidden="1" customHeight="1">
      <c r="A134" s="54"/>
      <c r="B134" s="54"/>
      <c r="C134" s="54"/>
      <c r="D134" s="54"/>
      <c r="E134" s="54"/>
      <c r="F134" s="54"/>
      <c r="G134" s="54"/>
      <c r="H134" s="54"/>
      <c r="I134" s="54"/>
      <c r="J134" s="54"/>
      <c r="K134" s="54"/>
      <c r="L134" s="54"/>
      <c r="M134" s="54"/>
      <c r="N134" s="54"/>
      <c r="O134" s="54"/>
      <c r="P134" s="54"/>
    </row>
    <row r="135" spans="1:16" ht="13.15" hidden="1" customHeight="1">
      <c r="A135" s="54"/>
      <c r="B135" s="54"/>
      <c r="C135" s="54"/>
      <c r="D135" s="54"/>
      <c r="E135" s="54"/>
      <c r="F135" s="54"/>
      <c r="G135" s="54"/>
      <c r="H135" s="54"/>
      <c r="I135" s="54"/>
      <c r="J135" s="54"/>
      <c r="K135" s="54"/>
      <c r="L135" s="54"/>
      <c r="M135" s="54"/>
      <c r="N135" s="54"/>
      <c r="O135" s="54"/>
      <c r="P135" s="54"/>
    </row>
    <row r="136" spans="1:16" ht="13.15" hidden="1" customHeight="1">
      <c r="A136" s="54"/>
      <c r="B136" s="54"/>
      <c r="C136" s="54"/>
      <c r="D136" s="54"/>
      <c r="E136" s="54"/>
      <c r="F136" s="54"/>
      <c r="G136" s="54"/>
      <c r="H136" s="54"/>
      <c r="I136" s="54"/>
      <c r="J136" s="54"/>
      <c r="K136" s="54"/>
      <c r="L136" s="54"/>
      <c r="M136" s="54"/>
      <c r="N136" s="54"/>
      <c r="O136" s="54"/>
      <c r="P136" s="54"/>
    </row>
    <row r="137" spans="1:16" ht="13.15" hidden="1" customHeight="1">
      <c r="A137" s="54"/>
      <c r="B137" s="54"/>
      <c r="C137" s="54"/>
      <c r="D137" s="54"/>
      <c r="E137" s="54"/>
      <c r="F137" s="54"/>
      <c r="G137" s="54"/>
      <c r="H137" s="54"/>
      <c r="I137" s="54"/>
      <c r="J137" s="54"/>
      <c r="K137" s="54"/>
      <c r="L137" s="54"/>
      <c r="M137" s="54"/>
      <c r="N137" s="54"/>
      <c r="O137" s="54"/>
      <c r="P137" s="54"/>
    </row>
    <row r="138" spans="1:16" ht="13.15" hidden="1" customHeight="1">
      <c r="A138" s="54"/>
      <c r="B138" s="54"/>
      <c r="C138" s="54"/>
      <c r="D138" s="54"/>
      <c r="E138" s="54"/>
      <c r="F138" s="54"/>
      <c r="G138" s="54"/>
      <c r="H138" s="54"/>
      <c r="I138" s="54"/>
      <c r="J138" s="54"/>
      <c r="K138" s="54"/>
      <c r="L138" s="54"/>
      <c r="M138" s="54"/>
      <c r="N138" s="54"/>
      <c r="O138" s="54"/>
      <c r="P138" s="54"/>
    </row>
    <row r="139" spans="1:16" ht="13.15" hidden="1" customHeight="1">
      <c r="A139" s="54"/>
      <c r="B139" s="54"/>
      <c r="C139" s="54"/>
      <c r="D139" s="54"/>
      <c r="E139" s="54"/>
      <c r="F139" s="54"/>
      <c r="G139" s="54"/>
      <c r="H139" s="54"/>
      <c r="I139" s="54"/>
      <c r="J139" s="54"/>
      <c r="K139" s="54"/>
      <c r="L139" s="54"/>
      <c r="M139" s="54"/>
      <c r="N139" s="54"/>
      <c r="O139" s="54"/>
      <c r="P139" s="54"/>
    </row>
    <row r="140" spans="1:16" ht="13.15" hidden="1" customHeight="1">
      <c r="A140" s="54"/>
      <c r="B140" s="54"/>
      <c r="C140" s="54"/>
      <c r="D140" s="54"/>
      <c r="E140" s="54"/>
      <c r="F140" s="54"/>
      <c r="G140" s="54"/>
      <c r="H140" s="54"/>
      <c r="I140" s="54"/>
      <c r="J140" s="54"/>
      <c r="K140" s="54"/>
      <c r="L140" s="54"/>
      <c r="M140" s="54"/>
      <c r="N140" s="54"/>
      <c r="O140" s="54"/>
      <c r="P140" s="54"/>
    </row>
    <row r="141" spans="1:16" ht="13.15" hidden="1" customHeight="1">
      <c r="A141" s="54"/>
      <c r="B141" s="54"/>
      <c r="C141" s="54"/>
      <c r="D141" s="54"/>
      <c r="E141" s="54"/>
      <c r="F141" s="54"/>
      <c r="G141" s="54"/>
      <c r="H141" s="54"/>
      <c r="I141" s="54"/>
      <c r="J141" s="54"/>
      <c r="K141" s="54"/>
      <c r="L141" s="54"/>
      <c r="M141" s="54"/>
      <c r="N141" s="54"/>
      <c r="O141" s="54"/>
      <c r="P141" s="54"/>
    </row>
    <row r="142" spans="1:16" ht="13.15" hidden="1" customHeight="1">
      <c r="A142" s="54"/>
      <c r="B142" s="54"/>
      <c r="C142" s="54"/>
      <c r="D142" s="54"/>
      <c r="E142" s="54"/>
      <c r="F142" s="54"/>
      <c r="G142" s="54"/>
      <c r="H142" s="54"/>
      <c r="I142" s="54"/>
      <c r="J142" s="54"/>
      <c r="K142" s="54"/>
      <c r="L142" s="54"/>
      <c r="M142" s="54"/>
      <c r="N142" s="54"/>
      <c r="O142" s="54"/>
      <c r="P142" s="54"/>
    </row>
    <row r="143" spans="1:16" ht="13.15" hidden="1" customHeight="1">
      <c r="A143" s="54"/>
      <c r="B143" s="54"/>
      <c r="C143" s="54"/>
      <c r="D143" s="54"/>
      <c r="E143" s="54"/>
      <c r="F143" s="54"/>
      <c r="G143" s="54"/>
      <c r="H143" s="54"/>
      <c r="I143" s="54"/>
      <c r="J143" s="54"/>
      <c r="K143" s="54"/>
      <c r="L143" s="54"/>
      <c r="M143" s="54"/>
      <c r="N143" s="54"/>
      <c r="O143" s="54"/>
      <c r="P143" s="54"/>
    </row>
    <row r="144" spans="1:16" ht="13.15" hidden="1" customHeight="1">
      <c r="A144" s="54"/>
      <c r="B144" s="54"/>
      <c r="C144" s="54"/>
      <c r="D144" s="54"/>
      <c r="E144" s="54"/>
      <c r="F144" s="54"/>
      <c r="G144" s="54"/>
      <c r="H144" s="54"/>
      <c r="I144" s="54"/>
      <c r="J144" s="54"/>
      <c r="K144" s="54"/>
      <c r="L144" s="54"/>
      <c r="M144" s="54"/>
      <c r="N144" s="54"/>
      <c r="O144" s="54"/>
      <c r="P144" s="54"/>
    </row>
    <row r="145" spans="1:16" ht="13.15" hidden="1" customHeight="1">
      <c r="A145" s="54"/>
      <c r="B145" s="54"/>
      <c r="C145" s="54"/>
      <c r="D145" s="54"/>
      <c r="E145" s="54"/>
      <c r="F145" s="54"/>
      <c r="G145" s="54"/>
      <c r="H145" s="54"/>
      <c r="I145" s="54"/>
      <c r="J145" s="54"/>
      <c r="K145" s="54"/>
      <c r="L145" s="54"/>
      <c r="M145" s="54"/>
      <c r="N145" s="54"/>
      <c r="O145" s="54"/>
      <c r="P145" s="54"/>
    </row>
    <row r="146" spans="1:16" ht="13.15" hidden="1" customHeight="1">
      <c r="A146" s="54"/>
      <c r="B146" s="54"/>
      <c r="C146" s="54"/>
      <c r="D146" s="54"/>
      <c r="E146" s="54"/>
      <c r="F146" s="54"/>
      <c r="G146" s="54"/>
      <c r="H146" s="54"/>
      <c r="I146" s="54"/>
      <c r="J146" s="54"/>
      <c r="K146" s="54"/>
      <c r="L146" s="54"/>
      <c r="M146" s="54"/>
      <c r="N146" s="54"/>
      <c r="O146" s="54"/>
      <c r="P146" s="54"/>
    </row>
    <row r="147" spans="1:16" ht="13.15" hidden="1" customHeight="1">
      <c r="A147" s="54"/>
      <c r="B147" s="54"/>
      <c r="C147" s="54"/>
      <c r="D147" s="54"/>
      <c r="E147" s="54"/>
      <c r="F147" s="54"/>
      <c r="G147" s="54"/>
      <c r="H147" s="54"/>
      <c r="I147" s="54"/>
      <c r="J147" s="54"/>
      <c r="K147" s="54"/>
      <c r="L147" s="54"/>
      <c r="M147" s="54"/>
      <c r="N147" s="54"/>
      <c r="O147" s="54"/>
      <c r="P147" s="54"/>
    </row>
    <row r="148" spans="1:16" ht="13.15" hidden="1" customHeight="1">
      <c r="A148" s="55"/>
      <c r="B148" s="55"/>
      <c r="C148" s="55"/>
      <c r="D148" s="55"/>
      <c r="E148" s="55"/>
      <c r="F148" s="55"/>
      <c r="G148" s="55"/>
      <c r="H148" s="55"/>
      <c r="I148" s="55"/>
      <c r="J148" s="55"/>
      <c r="K148" s="55"/>
      <c r="L148" s="55"/>
      <c r="M148" s="55"/>
      <c r="N148" s="55"/>
      <c r="O148" s="55"/>
      <c r="P148" s="55"/>
    </row>
    <row r="149" spans="1:16" ht="13.15" hidden="1" customHeight="1">
      <c r="A149" s="55"/>
      <c r="B149" s="55"/>
      <c r="C149" s="55"/>
      <c r="D149" s="55"/>
      <c r="E149" s="55"/>
      <c r="F149" s="55"/>
      <c r="G149" s="55"/>
      <c r="H149" s="55"/>
      <c r="I149" s="55"/>
      <c r="J149" s="55"/>
      <c r="K149" s="55"/>
      <c r="L149" s="55"/>
      <c r="M149" s="55"/>
      <c r="N149" s="55"/>
      <c r="O149" s="55"/>
      <c r="P149" s="55"/>
    </row>
    <row r="150" spans="1:16" ht="13.15" customHeight="1">
      <c r="A150" s="55"/>
      <c r="B150" s="55"/>
      <c r="C150" s="55"/>
      <c r="D150" s="55"/>
      <c r="E150" s="55"/>
      <c r="F150" s="55"/>
      <c r="G150" s="55"/>
      <c r="H150" s="55"/>
      <c r="I150" s="55"/>
      <c r="J150" s="55"/>
      <c r="K150" s="55"/>
      <c r="L150" s="55"/>
      <c r="M150" s="55"/>
      <c r="N150" s="55"/>
      <c r="O150" s="55"/>
      <c r="P150" s="55"/>
    </row>
    <row r="151" spans="1:16" ht="13.15" customHeight="1">
      <c r="A151" s="55"/>
      <c r="B151" s="55"/>
      <c r="C151" s="55"/>
      <c r="D151" s="55"/>
      <c r="E151" s="55"/>
      <c r="F151" s="55"/>
      <c r="G151" s="55"/>
      <c r="H151" s="55"/>
      <c r="I151" s="55"/>
      <c r="J151" s="55"/>
      <c r="K151" s="55"/>
      <c r="L151" s="55"/>
      <c r="M151" s="55"/>
      <c r="N151" s="55"/>
      <c r="O151" s="55"/>
      <c r="P151" s="55"/>
    </row>
    <row r="152" spans="1:16" ht="13.15" customHeight="1">
      <c r="A152" s="55"/>
      <c r="B152" s="55"/>
      <c r="C152" s="55"/>
      <c r="D152" s="55"/>
      <c r="E152" s="55"/>
      <c r="F152" s="55"/>
      <c r="G152" s="55"/>
      <c r="H152" s="55"/>
      <c r="I152" s="55"/>
      <c r="J152" s="55"/>
      <c r="K152" s="55"/>
      <c r="L152" s="55"/>
      <c r="M152" s="55"/>
      <c r="N152" s="55"/>
      <c r="O152" s="55"/>
      <c r="P152" s="55"/>
    </row>
    <row r="153" spans="1:16" ht="13.15" customHeight="1">
      <c r="A153" s="55"/>
      <c r="B153" s="55"/>
      <c r="C153" s="55"/>
      <c r="D153" s="55"/>
      <c r="E153" s="55"/>
      <c r="F153" s="55"/>
      <c r="G153" s="55"/>
      <c r="H153" s="55"/>
      <c r="I153" s="55"/>
      <c r="J153" s="55"/>
      <c r="K153" s="55"/>
      <c r="L153" s="55"/>
      <c r="M153" s="55"/>
      <c r="N153" s="55"/>
      <c r="O153" s="55"/>
      <c r="P153" s="55"/>
    </row>
  </sheetData>
  <mergeCells count="239">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s>
  <conditionalFormatting sqref="C24:E24">
    <cfRule type="expression" dxfId="1775" priority="235">
      <formula>OR(ISNUMBER(SEARCH("Yellow",C24)),ISNUMBER(SEARCH("Question",C24)))</formula>
    </cfRule>
    <cfRule type="expression" dxfId="1774" priority="233">
      <formula>OR(ISNUMBER(SEARCH("Red",C24)),ISNUMBER(SEARCH("Critical",C24)),ISNUMBER(SEARCH("SHUTDOWN",C24)))</formula>
    </cfRule>
    <cfRule type="expression" dxfId="1773" priority="234">
      <formula>OR(ISNUMBER(SEARCH("Green",C24)),ISNUMBER(SEARCH("Ready",C24)))</formula>
    </cfRule>
  </conditionalFormatting>
  <conditionalFormatting sqref="F19">
    <cfRule type="dataBar" priority="232">
      <dataBar>
        <cfvo type="num" val="0"/>
        <cfvo type="num" val="1"/>
        <color rgb="FF6DD85E"/>
      </dataBar>
    </cfRule>
  </conditionalFormatting>
  <conditionalFormatting sqref="F19:I20">
    <cfRule type="expression" dxfId="1767" priority="229">
      <formula>OR(ISNUMBER(SEARCH("Yellow",F19)),ISNUMBER(SEARCH("Question",F19)))</formula>
    </cfRule>
    <cfRule type="expression" dxfId="1766" priority="229">
      <formula>OR(ISNUMBER(SEARCH("Green",F19)),ISNUMBER(SEARCH("Ready",F19)))</formula>
    </cfRule>
    <cfRule type="expression" dxfId="1765" priority="229">
      <formula>OR(ISNUMBER(SEARCH("Red",F19)),ISNUMBER(SEARCH("Critical",F19)),ISNUMBER(SEARCH("SHUTDOWN",F19)))</formula>
    </cfRule>
  </conditionalFormatting>
  <conditionalFormatting sqref="P19 C22:E22">
    <cfRule type="expression" dxfId="1754" priority="302">
      <formula>OR(ISNUMBER(SEARCH("Red",C19)),ISNUMBER(SEARCH("Critical",C19)),ISNUMBER(SEARCH("SHUTDOWN",C19)))</formula>
    </cfRule>
  </conditionalFormatting>
  <conditionalFormatting sqref="Q16:T16">
    <cfRule type="expression" dxfId="1753" priority="238">
      <formula>OR(ISNUMBER(SEARCH("Yellow",Q16)),ISNUMBER(SEARCH("Question",Q16)))</formula>
    </cfRule>
  </conditionalFormatting>
  <conditionalFormatting sqref="Q16:T17 P19 C22:E22">
    <cfRule type="expression" dxfId="1752" priority="236">
      <formula>OR(ISNUMBER(SEARCH("Green",C16)),ISNUMBER(SEARCH("Ready",C16)))</formula>
    </cfRule>
  </conditionalFormatting>
  <conditionalFormatting sqref="Q16:T17">
    <cfRule type="expression" dxfId="1751" priority="300">
      <formula>OR(ISNUMBER(SEARCH("Red",Q16)),ISNUMBER(SEARCH("Critical",Q16)),ISNUMBER(SEARCH("SHUTDOWN",Q16)))</formula>
    </cfRule>
  </conditionalFormatting>
  <conditionalFormatting sqref="Q17:T17 P19 C22:E22">
    <cfRule type="expression" dxfId="1750"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60" zoomScaleNormal="60" workbookViewId="0">
      <selection activeCell="AL4" sqref="AL4"/>
    </sheetView>
  </sheetViews>
  <sheetFormatPr defaultColWidth="8.7109375" defaultRowHeight="12.75"/>
  <cols>
    <col min="1" max="1" width="23.5703125" style="192" customWidth="1"/>
    <col min="2" max="2" width="28" style="192" customWidth="1"/>
    <col min="3" max="3" width="17.42578125" style="192" customWidth="1"/>
    <col min="4" max="4" width="13.7109375" style="192" customWidth="1"/>
    <col min="5" max="5" width="14" style="192" customWidth="1"/>
    <col min="6" max="6" width="14.5703125" style="192" customWidth="1"/>
    <col min="7" max="7" width="18.140625" style="192" customWidth="1"/>
    <col min="8" max="8" width="17" style="192" customWidth="1"/>
    <col min="9" max="9" width="15.85546875" style="192" customWidth="1"/>
    <col min="10" max="10" width="15.7109375" style="192" customWidth="1"/>
    <col min="11" max="11" width="13.140625" style="192" customWidth="1"/>
    <col min="12" max="12" width="20.7109375" style="192" customWidth="1"/>
    <col min="13" max="13" width="14" style="192" customWidth="1"/>
    <col min="14" max="15" width="15.7109375" style="192" customWidth="1"/>
    <col min="16" max="16" width="21.42578125" style="192" customWidth="1"/>
    <col min="17" max="33" width="13" style="192" hidden="1" customWidth="1"/>
    <col min="34" max="34" width="3.85546875" style="192" hidden="1" customWidth="1"/>
    <col min="35" max="35" width="5.28515625" style="192" customWidth="1"/>
    <col min="36" max="16384" width="8.7109375" style="192"/>
  </cols>
  <sheetData>
    <row r="1" spans="1:28" s="286" customFormat="1" ht="78" customHeight="1" thickBot="1">
      <c r="A1" s="626" t="s">
        <v>5559</v>
      </c>
      <c r="B1" s="627"/>
      <c r="C1" s="627"/>
      <c r="D1" s="627"/>
      <c r="E1" s="627"/>
      <c r="F1" s="627"/>
      <c r="G1" s="627"/>
      <c r="H1" s="627"/>
      <c r="I1" s="627"/>
      <c r="J1" s="627"/>
      <c r="K1" s="627"/>
      <c r="L1" s="627"/>
      <c r="M1" s="627"/>
      <c r="N1" s="627"/>
      <c r="O1" s="627"/>
      <c r="P1" s="628"/>
      <c r="Q1" s="283"/>
      <c r="R1" s="283"/>
      <c r="S1" s="284" t="s">
        <v>125</v>
      </c>
      <c r="T1" s="285">
        <f ca="1">NOW()</f>
        <v>46251.417467245374</v>
      </c>
      <c r="U1" s="284"/>
      <c r="V1" s="284"/>
      <c r="W1" s="284"/>
      <c r="X1" s="284"/>
      <c r="Y1" s="284"/>
      <c r="Z1" s="284" t="s">
        <v>126</v>
      </c>
      <c r="AA1" s="284" t="s">
        <v>127</v>
      </c>
      <c r="AB1" s="284" t="s">
        <v>128</v>
      </c>
    </row>
    <row r="2" spans="1:28" ht="54.6" customHeight="1" thickBot="1">
      <c r="A2" s="195"/>
      <c r="B2" s="650" t="str">
        <f>IF($B$14&gt;=0.9,"MISSION STATUS: OPERATIONAL  ",IF($B$14&gt;=0.75,"MISSION STATUS: WATCH  ",IF($B$14&gt;=0.5,"MISSION STATUS: AT RISK  ","MISSION STATUS: CRITICAL  ")))&amp;REPT("█",ROUND($B$14*20,0))&amp;REPT("░",20-ROUND($B$14*20,0))&amp;"  "&amp;TEXT($B$14,"0%")</f>
        <v>MISSION STATUS: CRITICAL  ██████████░░░░░░░░░░  48%</v>
      </c>
      <c r="C2" s="650"/>
      <c r="D2" s="650"/>
      <c r="E2" s="650"/>
      <c r="F2" s="650"/>
      <c r="G2" s="650"/>
      <c r="H2" s="650"/>
      <c r="I2" s="650"/>
      <c r="J2" s="650"/>
      <c r="K2" s="650"/>
      <c r="L2" s="650"/>
      <c r="M2" s="650"/>
      <c r="N2" s="650"/>
      <c r="O2" s="650"/>
      <c r="P2" s="650"/>
      <c r="Q2" s="651"/>
      <c r="R2" s="651"/>
      <c r="S2" s="194"/>
      <c r="T2" s="194"/>
      <c r="U2" s="194"/>
      <c r="V2" s="194"/>
      <c r="W2" s="194"/>
      <c r="X2" s="194"/>
      <c r="Y2" s="194"/>
      <c r="Z2" s="194">
        <f>IFERROR(MATCH($C$17,PMIS_Data!$A$3:$A$32,0),1)</f>
        <v>22</v>
      </c>
      <c r="AA2" s="194" t="str">
        <f>IFERROR(INDEX(PMIS_Data!$B$3:$B$32,$Z$2),"")</f>
        <v>B61_Assessment</v>
      </c>
      <c r="AB2" s="194" t="str">
        <f>$C$17&amp;""</f>
        <v>61</v>
      </c>
    </row>
    <row r="3" spans="1:28" ht="51.6" customHeight="1" thickBot="1">
      <c r="A3" s="704" t="s">
        <v>5467</v>
      </c>
      <c r="B3" s="705"/>
      <c r="C3" s="705"/>
      <c r="D3" s="705"/>
      <c r="E3" s="705"/>
      <c r="F3" s="705"/>
      <c r="G3" s="705"/>
      <c r="H3" s="705"/>
      <c r="I3" s="705"/>
      <c r="J3" s="705"/>
      <c r="K3" s="705"/>
      <c r="L3" s="705"/>
      <c r="M3" s="705"/>
      <c r="N3" s="705"/>
      <c r="O3" s="705"/>
      <c r="P3" s="706"/>
    </row>
    <row r="4" spans="1:28" ht="51.6" customHeight="1">
      <c r="A4" s="652"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50%  █████░░░░░
⚠ 0   ❓ 0
 </v>
      </c>
      <c r="B4" s="653"/>
      <c r="C4" s="653"/>
      <c r="D4" s="654"/>
      <c r="E4" s="652"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50%  █████░░░░░
⚠ 0   ❓ 0
 </v>
      </c>
      <c r="F4" s="653"/>
      <c r="G4" s="653"/>
      <c r="H4" s="654"/>
      <c r="I4" s="652"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50%  █████░░░░░
⚠ 0   ❓ 0
 </v>
      </c>
      <c r="J4" s="653"/>
      <c r="K4" s="653"/>
      <c r="L4" s="654"/>
      <c r="M4" s="652"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50%  █████░░░░░
⚠ 0   ❓ 0
 </v>
      </c>
      <c r="N4" s="653"/>
      <c r="O4" s="653"/>
      <c r="P4" s="654"/>
    </row>
    <row r="5" spans="1:28" ht="51.6" customHeight="1">
      <c r="A5" s="633"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50%  █████░░░░░
⚠ 0   ❓ 0
 </v>
      </c>
      <c r="B5" s="634"/>
      <c r="C5" s="634"/>
      <c r="D5" s="635"/>
      <c r="E5" s="633"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50%  █████░░░░░
⚠ 0   ❓ 0
 </v>
      </c>
      <c r="F5" s="634"/>
      <c r="G5" s="634"/>
      <c r="H5" s="635"/>
      <c r="I5" s="633"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50%  █████░░░░░
⚠ 0   ❓ 0
 </v>
      </c>
      <c r="J5" s="634"/>
      <c r="K5" s="634"/>
      <c r="L5" s="635"/>
      <c r="M5" s="633"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50%  █████░░░░░
⚠ 0   ❓ 0
 </v>
      </c>
      <c r="N5" s="634"/>
      <c r="O5" s="634"/>
      <c r="P5" s="635"/>
    </row>
    <row r="6" spans="1:28" ht="51.6" customHeight="1">
      <c r="A6" s="633"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50%  █████░░░░░
⚠ 0   ❓ 0
 </v>
      </c>
      <c r="B6" s="634"/>
      <c r="C6" s="634"/>
      <c r="D6" s="635"/>
      <c r="E6" s="633"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50%  █████░░░░░
⚠ 0   ❓ 0
 </v>
      </c>
      <c r="F6" s="634"/>
      <c r="G6" s="634"/>
      <c r="H6" s="635"/>
      <c r="I6" s="633"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50%  █████░░░░░
⚠ 0   ❓ 0
 </v>
      </c>
      <c r="J6" s="634"/>
      <c r="K6" s="634"/>
      <c r="L6" s="635"/>
      <c r="M6" s="633"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50%  █████░░░░░
⚠ 0   ❓ 0
 </v>
      </c>
      <c r="N6" s="634"/>
      <c r="O6" s="634"/>
      <c r="P6" s="635"/>
    </row>
    <row r="7" spans="1:28" ht="51.6" customHeight="1">
      <c r="A7" s="633"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50%  █████░░░░░
⚠ 0   ❓ 0
 </v>
      </c>
      <c r="B7" s="634"/>
      <c r="C7" s="634"/>
      <c r="D7" s="635"/>
      <c r="E7" s="633"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50%  █████░░░░░
⚠ 0   ❓ 0
 </v>
      </c>
      <c r="F7" s="634"/>
      <c r="G7" s="634"/>
      <c r="H7" s="635"/>
      <c r="I7" s="633"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50%  █████░░░░░
⚠ 0   ❓ 0
 </v>
      </c>
      <c r="J7" s="634"/>
      <c r="K7" s="634"/>
      <c r="L7" s="635"/>
      <c r="M7" s="633"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50%  █████░░░░░
⚠ 0   ❓ 0
 </v>
      </c>
      <c r="N7" s="634"/>
      <c r="O7" s="634"/>
      <c r="P7" s="635"/>
    </row>
    <row r="8" spans="1:28" ht="51.6" customHeight="1">
      <c r="A8" s="633"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50%  █████░░░░░
⚠ 0   ❓ 0
 </v>
      </c>
      <c r="B8" s="634"/>
      <c r="C8" s="634"/>
      <c r="D8" s="635"/>
      <c r="E8" s="633"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50%  █████░░░░░
⚠ 0   ❓ 0
 </v>
      </c>
      <c r="F8" s="634"/>
      <c r="G8" s="634"/>
      <c r="H8" s="635"/>
      <c r="I8" s="633"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50%  █████░░░░░
⚠ 0   ❓ 0
 </v>
      </c>
      <c r="J8" s="634"/>
      <c r="K8" s="634"/>
      <c r="L8" s="635"/>
      <c r="M8" s="633"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50%  █████░░░░░
⚠ 0   ❓ 0
 </v>
      </c>
      <c r="N8" s="634"/>
      <c r="O8" s="634"/>
      <c r="P8" s="635"/>
    </row>
    <row r="9" spans="1:28" ht="51.6" customHeight="1">
      <c r="A9" s="633"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50%  █████░░░░░
⚠ 0   ❓ 0
 </v>
      </c>
      <c r="B9" s="634"/>
      <c r="C9" s="634"/>
      <c r="D9" s="635"/>
      <c r="E9" s="633"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34"/>
      <c r="G9" s="634"/>
      <c r="H9" s="635"/>
      <c r="I9" s="633"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50%  █████░░░░░
⚠ 0   ❓ 0
 </v>
      </c>
      <c r="J9" s="634"/>
      <c r="K9" s="634"/>
      <c r="L9" s="635"/>
      <c r="M9" s="633"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50%  █████░░░░░
⚠ 0   ❓ 0
 </v>
      </c>
      <c r="N9" s="634"/>
      <c r="O9" s="634"/>
      <c r="P9" s="635"/>
    </row>
    <row r="10" spans="1:28" ht="52.5" customHeight="1">
      <c r="A10" s="633"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50%  █████░░░░░
⚠ 0   ❓ 0
 </v>
      </c>
      <c r="B10" s="634"/>
      <c r="C10" s="634"/>
      <c r="D10" s="635"/>
      <c r="E10" s="633"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50%  █████░░░░░
⚠ 0   ❓ 0
 </v>
      </c>
      <c r="F10" s="634"/>
      <c r="G10" s="634"/>
      <c r="H10" s="635"/>
      <c r="I10" s="633"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50%  █████░░░░░
⚠ 0   ❓ 0
 </v>
      </c>
      <c r="J10" s="634"/>
      <c r="K10" s="634"/>
      <c r="L10" s="635"/>
      <c r="M10" s="633"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50%  █████░░░░░
⚠ 0   ❓ 0
 </v>
      </c>
      <c r="N10" s="634"/>
      <c r="O10" s="634"/>
      <c r="P10" s="635"/>
    </row>
    <row r="11" spans="1:28" s="198" customFormat="1" ht="54.75" customHeight="1">
      <c r="A11" s="633"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50%  █████░░░░░
⚠ 0   ❓ 0
 </v>
      </c>
      <c r="B11" s="634"/>
      <c r="C11" s="634"/>
      <c r="D11" s="635"/>
      <c r="E11" s="633"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50%  █████░░░░░
⚠ 0   ❓ 0
 </v>
      </c>
      <c r="F11" s="634"/>
      <c r="G11" s="634"/>
      <c r="H11" s="635"/>
      <c r="I11" s="633"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34"/>
      <c r="K11" s="634"/>
      <c r="L11" s="635"/>
      <c r="M11" s="633"/>
      <c r="N11" s="634"/>
      <c r="O11" s="634"/>
      <c r="P11" s="635"/>
      <c r="Q11" s="196"/>
      <c r="R11" s="197" t="s">
        <v>319</v>
      </c>
      <c r="S11" s="182" t="str">
        <f>HYPERLINK("#'Data_Health'!A1","Data Health")</f>
        <v>Data Health</v>
      </c>
      <c r="T11" s="196"/>
      <c r="U11" s="196"/>
      <c r="V11" s="196"/>
      <c r="W11" s="196"/>
      <c r="X11" s="196"/>
      <c r="Y11" s="196"/>
      <c r="Z11" s="196"/>
      <c r="AA11" s="196"/>
      <c r="AB11" s="196"/>
    </row>
    <row r="12" spans="1:28" ht="37.5" customHeight="1">
      <c r="A12" s="773"/>
      <c r="B12" s="773"/>
      <c r="C12" s="773"/>
      <c r="D12" s="773"/>
      <c r="E12" s="773"/>
      <c r="F12" s="773"/>
      <c r="G12" s="773"/>
      <c r="H12" s="773"/>
      <c r="I12" s="773"/>
      <c r="J12" s="773"/>
      <c r="K12" s="773"/>
      <c r="L12" s="773"/>
      <c r="M12" s="773"/>
      <c r="N12" s="773"/>
      <c r="O12" s="773"/>
      <c r="P12" s="773"/>
      <c r="Q12" s="194"/>
      <c r="R12" s="197" t="s">
        <v>320</v>
      </c>
      <c r="S12" s="182" t="str">
        <f>HYPERLINK("#'README_ARCHITECTURE'!A1","Architecture")</f>
        <v>Architecture</v>
      </c>
      <c r="T12" s="194"/>
      <c r="U12" s="194"/>
      <c r="V12" s="194"/>
      <c r="W12" s="194"/>
      <c r="X12" s="194"/>
      <c r="Y12" s="194"/>
      <c r="Z12" s="194"/>
      <c r="AA12" s="194"/>
      <c r="AB12" s="194"/>
    </row>
    <row r="13" spans="1:28" ht="24" customHeight="1">
      <c r="A13" s="265"/>
      <c r="B13" s="663" t="s">
        <v>318</v>
      </c>
      <c r="C13" s="664"/>
      <c r="D13" s="663" t="s">
        <v>131</v>
      </c>
      <c r="E13" s="664"/>
      <c r="F13" s="663" t="s">
        <v>132</v>
      </c>
      <c r="G13" s="664"/>
      <c r="H13" s="663" t="s">
        <v>133</v>
      </c>
      <c r="I13" s="664"/>
      <c r="J13" s="663" t="s">
        <v>134</v>
      </c>
      <c r="K13" s="664"/>
      <c r="L13" s="663" t="s">
        <v>135</v>
      </c>
      <c r="M13" s="664"/>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15" customHeight="1">
      <c r="A14" s="194"/>
      <c r="B14" s="702">
        <f>IFERROR(AVERAGE(PMIS_Data!$E$3:$E$32),0)</f>
        <v>0.48333333333333334</v>
      </c>
      <c r="C14" s="703"/>
      <c r="D14" s="707">
        <f>COUNTA(PMIS_Data!$A$3:$A$32)</f>
        <v>30</v>
      </c>
      <c r="E14" s="708"/>
      <c r="F14" s="707">
        <f>SUM(PMIS_Data!$H$3:$H$32)</f>
        <v>0</v>
      </c>
      <c r="G14" s="708"/>
      <c r="H14" s="707">
        <f>SUM(PMIS_Data!$I$3:$I$32)</f>
        <v>0</v>
      </c>
      <c r="I14" s="708"/>
      <c r="J14" s="707">
        <f>SUM(PMIS_Data!$J$3:$J$32)</f>
        <v>0</v>
      </c>
      <c r="K14" s="708"/>
      <c r="L14" s="707">
        <f>SUM(PMIS_Data!$X$3:$X$32)</f>
        <v>0</v>
      </c>
      <c r="M14" s="708"/>
      <c r="N14" s="199">
        <f>COUNTIF(PMIS_Data!$F$3:$F$32,"No")</f>
        <v>29</v>
      </c>
      <c r="O14" s="194"/>
      <c r="P14" s="194"/>
      <c r="Q14" s="202"/>
      <c r="R14" s="202"/>
      <c r="S14" s="202"/>
      <c r="T14" s="202"/>
      <c r="U14" s="202"/>
      <c r="V14" s="202"/>
      <c r="W14" s="202"/>
      <c r="X14" s="202"/>
      <c r="Y14" s="202"/>
      <c r="Z14" s="202"/>
      <c r="AA14" s="202"/>
      <c r="AB14" s="202"/>
    </row>
    <row r="15" spans="1:28" ht="22.1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ht="27.6" customHeight="1">
      <c r="A16" s="202"/>
      <c r="B16" s="694" t="s">
        <v>322</v>
      </c>
      <c r="C16" s="695"/>
      <c r="D16" s="695"/>
      <c r="E16" s="695"/>
      <c r="F16" s="695"/>
      <c r="G16" s="695"/>
      <c r="H16" s="696"/>
      <c r="I16" s="202"/>
      <c r="J16" s="774" t="s">
        <v>140</v>
      </c>
      <c r="K16" s="775"/>
      <c r="L16" s="776"/>
      <c r="M16" s="202"/>
      <c r="N16" s="194"/>
      <c r="O16" s="202"/>
      <c r="P16" s="202"/>
      <c r="Q16" s="194"/>
      <c r="R16" s="194"/>
      <c r="S16" s="194"/>
      <c r="T16" s="194"/>
      <c r="U16" s="194"/>
      <c r="V16" s="194"/>
      <c r="W16" s="194"/>
      <c r="X16" s="194"/>
      <c r="Y16" s="194"/>
      <c r="Z16" s="194"/>
      <c r="AA16" s="194"/>
      <c r="AB16" s="194"/>
    </row>
    <row r="17" spans="1:28" ht="27" customHeight="1">
      <c r="A17" s="194"/>
      <c r="B17" s="204" t="s">
        <v>323</v>
      </c>
      <c r="C17" s="218" t="s">
        <v>374</v>
      </c>
      <c r="D17" s="268"/>
      <c r="E17" s="268"/>
      <c r="F17" s="697" t="s">
        <v>324</v>
      </c>
      <c r="G17" s="698"/>
      <c r="H17" s="699"/>
      <c r="I17" s="194"/>
      <c r="J17" s="777"/>
      <c r="K17" s="769"/>
      <c r="L17" s="778"/>
      <c r="M17" s="194"/>
      <c r="N17" s="194"/>
      <c r="O17" s="194"/>
      <c r="P17" s="194"/>
      <c r="Q17" s="194"/>
      <c r="R17" s="194"/>
      <c r="S17" s="194"/>
      <c r="T17" s="194"/>
      <c r="U17" s="194"/>
      <c r="V17" s="194"/>
      <c r="W17" s="194"/>
      <c r="X17" s="194"/>
      <c r="Y17" s="194"/>
      <c r="Z17" s="194"/>
      <c r="AA17" s="194"/>
      <c r="AB17" s="194"/>
    </row>
    <row r="18" spans="1:28" s="198" customFormat="1" ht="22.15" customHeight="1" thickBot="1">
      <c r="A18" s="194"/>
      <c r="B18" s="205"/>
      <c r="C18" s="269"/>
      <c r="D18" s="268"/>
      <c r="E18" s="268"/>
      <c r="F18" s="206" t="s">
        <v>326</v>
      </c>
      <c r="G18" s="700" t="str">
        <f>REPT("█",ROUND($F$19*12,0))&amp;REPT("░",12-ROUND($F$19*12,0))</f>
        <v>░░░░░░░░░░░░</v>
      </c>
      <c r="H18" s="701"/>
      <c r="I18" s="194"/>
      <c r="J18" s="779" t="str">
        <f>"ROOMS"&amp;CHAR(10)&amp;IFERROR(INDEX(PMIS_Data!$G$3:$G$100,$Z$2),0)</f>
        <v>ROOMS
29</v>
      </c>
      <c r="K18" s="264"/>
      <c r="L18" s="781"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ht="21.75" customHeight="1">
      <c r="A19" s="194"/>
      <c r="B19" s="205" t="s">
        <v>139</v>
      </c>
      <c r="C19" s="204" t="str">
        <f>IF($F$19&gt;=0.9,"OPERATIONAL",IF($F$19&gt;=0.75,"WATCH",IF($F$19&gt;=0.5,"AT RISK","CRITICAL")))</f>
        <v>CRITICAL</v>
      </c>
      <c r="D19" s="268"/>
      <c r="E19" s="268"/>
      <c r="F19" s="208">
        <f>IFERROR(INDEX(PMIS_Data!$E$3:$E$94,$Z$2),0)</f>
        <v>0</v>
      </c>
      <c r="G19" s="271"/>
      <c r="H19" s="209"/>
      <c r="I19" s="194"/>
      <c r="J19" s="780"/>
      <c r="K19" s="264"/>
      <c r="L19" s="782"/>
      <c r="M19" s="194"/>
      <c r="N19" s="194"/>
      <c r="O19" s="194"/>
      <c r="P19" s="194"/>
      <c r="Q19" s="194"/>
      <c r="R19" s="194"/>
      <c r="S19" s="194"/>
      <c r="T19" s="194"/>
      <c r="U19" s="194"/>
      <c r="V19" s="194"/>
      <c r="W19" s="194"/>
      <c r="X19" s="194"/>
      <c r="Y19" s="194"/>
      <c r="Z19" s="194"/>
      <c r="AA19" s="194"/>
      <c r="AB19" s="194"/>
    </row>
    <row r="20" spans="1:28" ht="22.15" customHeight="1">
      <c r="A20" s="196"/>
      <c r="B20" s="204"/>
      <c r="C20" s="239"/>
      <c r="D20" s="268"/>
      <c r="E20" s="268"/>
      <c r="F20" s="271"/>
      <c r="G20" s="271"/>
      <c r="H20" s="209"/>
      <c r="I20" s="196"/>
      <c r="J20" s="370"/>
      <c r="K20" s="264"/>
      <c r="L20" s="371"/>
      <c r="M20" s="194"/>
      <c r="N20" s="194"/>
      <c r="O20" s="196"/>
      <c r="P20" s="196"/>
      <c r="Q20" s="194"/>
      <c r="R20" s="194"/>
      <c r="S20" s="194"/>
      <c r="T20" s="194"/>
      <c r="U20" s="194"/>
      <c r="V20" s="194"/>
      <c r="W20" s="194"/>
      <c r="X20" s="194"/>
      <c r="Y20" s="194"/>
      <c r="Z20" s="194"/>
      <c r="AA20" s="194"/>
      <c r="AB20" s="194"/>
    </row>
    <row r="21" spans="1:28" ht="29.25" customHeight="1" thickBot="1">
      <c r="A21" s="194"/>
      <c r="B21" s="205"/>
      <c r="C21" s="268"/>
      <c r="D21" s="268"/>
      <c r="E21" s="268"/>
      <c r="F21" s="271"/>
      <c r="G21" s="271"/>
      <c r="H21" s="209"/>
      <c r="I21" s="194"/>
      <c r="J21" s="784" t="str">
        <f>"HVAC"&amp;CHAR(10)&amp;IF(IFERROR(INDEX(PMIS_Data!$K$3:$K$100,$Z$2),"")="Pass","✓ PASS",IFERROR(INDEX(PMIS_Data!$K$3:$K$100,$Z$2),"REVIEW"))</f>
        <v>HVAC
Verify</v>
      </c>
      <c r="K21" s="264"/>
      <c r="L21" s="786"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ht="22.15" customHeight="1">
      <c r="A22" s="194"/>
      <c r="B22" s="380" t="s">
        <v>328</v>
      </c>
      <c r="C22" s="204" t="str">
        <f>IFERROR(INDEX(PMIS_Data!$C$3:$C$94,$Z$2),"")</f>
        <v>PILOT PHASE</v>
      </c>
      <c r="D22" s="268"/>
      <c r="E22" s="268"/>
      <c r="F22" s="271"/>
      <c r="G22" s="271"/>
      <c r="H22" s="209"/>
      <c r="I22" s="194"/>
      <c r="J22" s="785"/>
      <c r="K22" s="264"/>
      <c r="L22" s="787"/>
      <c r="M22" s="194"/>
      <c r="N22" s="194"/>
      <c r="O22" s="194"/>
      <c r="P22" s="194"/>
      <c r="Q22" s="194"/>
      <c r="R22" s="194"/>
      <c r="S22" s="194"/>
      <c r="T22" s="194"/>
      <c r="U22" s="194"/>
      <c r="V22" s="194"/>
      <c r="W22" s="194"/>
      <c r="X22" s="194"/>
      <c r="Y22" s="194"/>
      <c r="Z22" s="194"/>
      <c r="AA22" s="194"/>
      <c r="AB22" s="194"/>
    </row>
    <row r="23" spans="1:28" ht="19.899999999999999" customHeight="1">
      <c r="A23" s="194"/>
      <c r="B23" s="381"/>
      <c r="C23" s="268"/>
      <c r="D23" s="268"/>
      <c r="E23" s="268"/>
      <c r="F23" s="271"/>
      <c r="G23" s="271"/>
      <c r="H23" s="209"/>
      <c r="I23" s="194"/>
      <c r="J23" s="370"/>
      <c r="K23" s="264"/>
      <c r="L23" s="371"/>
      <c r="M23" s="194"/>
      <c r="N23" s="194"/>
      <c r="O23" s="194"/>
      <c r="P23" s="194"/>
      <c r="Q23" s="194"/>
      <c r="R23" s="194"/>
      <c r="S23" s="194"/>
      <c r="T23" s="194"/>
      <c r="U23" s="194"/>
      <c r="V23" s="194"/>
      <c r="W23" s="194"/>
      <c r="X23" s="194"/>
      <c r="Y23" s="194"/>
      <c r="Z23" s="194"/>
      <c r="AA23" s="194"/>
      <c r="AB23" s="194"/>
    </row>
    <row r="24" spans="1:28" ht="27.6" customHeight="1" thickBot="1">
      <c r="A24" s="194"/>
      <c r="B24" s="204" t="s">
        <v>329</v>
      </c>
      <c r="C24" s="204" t="str">
        <f>IFERROR(INDEX(PMIS_Data!$F$3:$F$94,$Z$2),"")</f>
        <v>YES</v>
      </c>
      <c r="D24" s="268"/>
      <c r="E24" s="268"/>
      <c r="F24" s="271"/>
      <c r="G24" s="271"/>
      <c r="H24" s="209"/>
      <c r="I24" s="194"/>
      <c r="J24" s="788" t="str">
        <f>"TELECOM"&amp;CHAR(10)&amp;IF(IFERROR(INDEX(PMIS_Data!$M$3:$M$100,$Z$2),"")="Pass","✓ PASS",IFERROR(INDEX(PMIS_Data!$M$3:$M$100,$Z$2),"REVIEW"))</f>
        <v>TELECOM
Verify</v>
      </c>
      <c r="K24" s="264"/>
      <c r="L24" s="790"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ht="21.75" customHeight="1">
      <c r="A25" s="194"/>
      <c r="B25" s="268"/>
      <c r="C25" s="268"/>
      <c r="D25" s="268"/>
      <c r="E25" s="268"/>
      <c r="F25" s="271"/>
      <c r="G25" s="271"/>
      <c r="H25" s="209"/>
      <c r="I25" s="194"/>
      <c r="J25" s="789"/>
      <c r="K25" s="372"/>
      <c r="L25" s="791"/>
      <c r="M25" s="194"/>
      <c r="N25" s="194"/>
      <c r="O25" s="194"/>
      <c r="P25" s="194"/>
      <c r="Q25" s="194"/>
      <c r="R25" s="194"/>
      <c r="S25" s="194"/>
      <c r="T25" s="194"/>
      <c r="U25" s="194"/>
      <c r="V25" s="194"/>
      <c r="W25" s="194"/>
      <c r="X25" s="194"/>
      <c r="Y25" s="194"/>
      <c r="Z25" s="194"/>
      <c r="AA25" s="194"/>
      <c r="AB25" s="194"/>
    </row>
    <row r="26" spans="1:28"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4"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4" ht="21.75" hidden="1" customHeight="1">
      <c r="A34" s="194"/>
      <c r="B34" s="207" t="s">
        <v>165</v>
      </c>
      <c r="C34" s="194"/>
      <c r="D34" s="216">
        <f>SUM(PMIS_Data!$H$3:$H$32)</f>
        <v>0</v>
      </c>
      <c r="E34" s="194"/>
      <c r="F34" s="207" t="s">
        <v>165</v>
      </c>
      <c r="G34" s="194"/>
      <c r="H34" s="216">
        <f>SUM(PMIS_Data!$I$3:$I$32)</f>
        <v>0</v>
      </c>
      <c r="I34" s="194"/>
      <c r="J34" s="207" t="s">
        <v>166</v>
      </c>
      <c r="K34" s="194"/>
      <c r="L34" s="216">
        <v>40</v>
      </c>
      <c r="M34" s="194"/>
      <c r="N34" s="207" t="s">
        <v>167</v>
      </c>
      <c r="O34" s="194"/>
      <c r="P34" s="216">
        <f>SUM(PMIS_Data!$X$3:$X$32)</f>
        <v>0</v>
      </c>
      <c r="Q34" s="194"/>
      <c r="R34" s="194"/>
      <c r="S34" s="194"/>
      <c r="T34" s="194"/>
      <c r="U34" s="194"/>
      <c r="V34" s="194"/>
      <c r="W34" s="194"/>
      <c r="X34" s="194"/>
      <c r="Y34" s="194"/>
      <c r="Z34" s="194"/>
      <c r="AA34" s="194"/>
      <c r="AB34" s="194"/>
    </row>
    <row r="35" spans="1:34"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4" ht="21.75" hidden="1" customHeight="1">
      <c r="A36" s="194"/>
      <c r="B36" s="207" t="s">
        <v>168</v>
      </c>
      <c r="C36" s="194"/>
      <c r="D36" s="216">
        <v>29</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4" ht="4.9000000000000004"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4" ht="85.1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4" ht="13.5">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4" ht="40.9" customHeight="1">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4" s="198" customFormat="1" ht="21.75" customHeight="1">
      <c r="A41" s="194"/>
      <c r="B41" s="792" t="str">
        <f>HYPERLINK("#'"&amp;$AA$2&amp;"'!A1","Open selected Building Assessment")</f>
        <v>Open selected Building Assessment</v>
      </c>
      <c r="C41" s="793"/>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4" s="198" customFormat="1" ht="69" customHeight="1">
      <c r="A42" s="266" t="s">
        <v>142</v>
      </c>
      <c r="B42" s="266" t="s">
        <v>173</v>
      </c>
      <c r="C42" s="266" t="s">
        <v>77</v>
      </c>
      <c r="D42" s="266" t="s">
        <v>174</v>
      </c>
      <c r="E42" s="266" t="s">
        <v>175</v>
      </c>
      <c r="F42" s="266" t="s">
        <v>145</v>
      </c>
      <c r="G42" s="266" t="s">
        <v>176</v>
      </c>
      <c r="H42" s="266" t="s">
        <v>177</v>
      </c>
      <c r="I42" s="266" t="s">
        <v>178</v>
      </c>
      <c r="J42" s="266" t="s">
        <v>179</v>
      </c>
      <c r="K42" s="194"/>
      <c r="L42" s="194"/>
      <c r="M42" s="194"/>
      <c r="N42" s="194"/>
      <c r="O42" s="194"/>
      <c r="P42" s="194"/>
      <c r="Q42" s="196"/>
      <c r="R42" s="196"/>
      <c r="S42" s="196"/>
      <c r="T42" s="196"/>
      <c r="U42" s="196"/>
      <c r="V42" s="196"/>
      <c r="W42" s="196"/>
      <c r="X42" s="196"/>
      <c r="Y42" s="196"/>
      <c r="Z42" s="196"/>
      <c r="AA42" s="196"/>
      <c r="AB42" s="196"/>
    </row>
    <row r="43" spans="1:34"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194"/>
      <c r="L43" s="194"/>
      <c r="M43" s="196"/>
      <c r="N43" s="196"/>
      <c r="O43" s="196"/>
      <c r="P43" s="196"/>
      <c r="AA43" s="192" t="s">
        <v>330</v>
      </c>
      <c r="AB43" s="192" t="s">
        <v>5988</v>
      </c>
      <c r="AC43" s="192" t="s">
        <v>5989</v>
      </c>
      <c r="AD43" s="192" t="s">
        <v>5990</v>
      </c>
      <c r="AE43" s="192" t="s">
        <v>5991</v>
      </c>
      <c r="AF43" s="192">
        <v>0</v>
      </c>
      <c r="AG43" s="192" t="s">
        <v>5992</v>
      </c>
      <c r="AH43" s="192" t="s">
        <v>5993</v>
      </c>
    </row>
    <row r="44" spans="1:34" ht="18" customHeight="1">
      <c r="A44" s="373"/>
      <c r="B44" s="373"/>
      <c r="C44" s="374"/>
      <c r="D44" s="375"/>
      <c r="E44" s="376"/>
      <c r="F44" s="376"/>
      <c r="G44" s="376"/>
      <c r="H44" s="376"/>
      <c r="I44" s="376"/>
      <c r="J44" s="376"/>
      <c r="K44" s="377"/>
      <c r="L44" s="217"/>
      <c r="M44" s="217"/>
      <c r="N44" s="217"/>
      <c r="O44" s="217"/>
      <c r="P44" s="217"/>
    </row>
    <row r="45" spans="1:34" s="332" customFormat="1" ht="69" customHeight="1">
      <c r="A45" s="266" t="s">
        <v>5715</v>
      </c>
      <c r="B45" s="340" t="s">
        <v>5716</v>
      </c>
      <c r="C45" s="341" t="s">
        <v>5636</v>
      </c>
      <c r="D45" s="363" t="s">
        <v>5717</v>
      </c>
      <c r="E45" s="363" t="s">
        <v>5641</v>
      </c>
      <c r="F45" s="363" t="s">
        <v>5699</v>
      </c>
      <c r="G45" s="363" t="s">
        <v>5718</v>
      </c>
      <c r="H45" s="363" t="s">
        <v>5701</v>
      </c>
      <c r="I45" s="363" t="s">
        <v>5630</v>
      </c>
      <c r="J45" s="363" t="s">
        <v>5651</v>
      </c>
      <c r="K45" s="363" t="s">
        <v>5721</v>
      </c>
      <c r="L45" s="363" t="s">
        <v>5722</v>
      </c>
      <c r="M45" s="194"/>
      <c r="N45" s="194"/>
      <c r="O45" s="194"/>
      <c r="P45" s="196"/>
      <c r="Z45" s="332" t="s">
        <v>331</v>
      </c>
    </row>
    <row r="46" spans="1:34"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No blocker documented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s="192" t="s">
        <v>374</v>
      </c>
    </row>
    <row r="47" spans="1:34" ht="18" customHeight="1">
      <c r="A47" s="194"/>
      <c r="B47" s="194"/>
      <c r="C47" s="194"/>
      <c r="D47" s="194"/>
      <c r="E47" s="194"/>
      <c r="F47" s="194"/>
      <c r="G47" s="194"/>
      <c r="H47" s="194"/>
      <c r="I47" s="194"/>
      <c r="J47" s="194"/>
      <c r="K47" s="194"/>
      <c r="L47" s="194"/>
      <c r="M47" s="194"/>
      <c r="N47" s="194"/>
      <c r="O47" s="194"/>
      <c r="P47" s="194"/>
      <c r="AA47" s="192" t="s">
        <v>55</v>
      </c>
    </row>
    <row r="48" spans="1:34" ht="27.75" customHeight="1">
      <c r="A48" s="674" t="s">
        <v>332</v>
      </c>
      <c r="B48" s="632"/>
      <c r="C48" s="632"/>
      <c r="D48" s="632"/>
      <c r="E48" s="632"/>
      <c r="F48" s="630"/>
      <c r="G48" s="719" t="s">
        <v>54</v>
      </c>
      <c r="H48" s="720"/>
      <c r="I48" s="721" t="s">
        <v>333</v>
      </c>
      <c r="J48" s="632"/>
      <c r="K48" s="632"/>
      <c r="L48" s="632"/>
      <c r="M48" s="632"/>
      <c r="N48" s="632"/>
      <c r="O48" s="632"/>
      <c r="P48" s="630"/>
    </row>
    <row r="49" spans="1:16" ht="24.75" customHeight="1">
      <c r="A49" s="367"/>
      <c r="B49" s="367"/>
      <c r="C49" s="367"/>
      <c r="D49" s="367"/>
      <c r="E49" s="367"/>
      <c r="F49" s="367"/>
      <c r="G49" s="367"/>
      <c r="H49" s="367"/>
      <c r="I49" s="367"/>
      <c r="J49" s="367"/>
      <c r="K49" s="367"/>
      <c r="L49" s="367"/>
      <c r="M49" s="367"/>
      <c r="N49" s="367"/>
      <c r="O49" s="367"/>
      <c r="P49" s="367"/>
    </row>
    <row r="50" spans="1:16" ht="24.75" customHeight="1" thickBot="1">
      <c r="A50" s="722" t="str">
        <f>"SELECTED BUILDING WORKSPACE — "&amp;$G$48&amp;" OPERATIONAL PICTURE"</f>
        <v>SELECTED BUILDING WORKSPACE — B61 OPERATIONAL PICTURE</v>
      </c>
      <c r="B50" s="632"/>
      <c r="C50" s="632"/>
      <c r="D50" s="632"/>
      <c r="E50" s="632"/>
      <c r="F50" s="632"/>
      <c r="G50" s="632"/>
      <c r="H50" s="632"/>
      <c r="I50" s="632"/>
      <c r="J50" s="632"/>
      <c r="K50" s="632"/>
      <c r="L50" s="632"/>
      <c r="M50" s="632"/>
      <c r="N50" s="632"/>
      <c r="O50" s="632"/>
      <c r="P50" s="630"/>
    </row>
    <row r="51" spans="1:16" ht="24.75" customHeight="1">
      <c r="A51" s="729"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730"/>
      <c r="C51" s="730"/>
      <c r="D51" s="731"/>
      <c r="E51" s="738"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39"/>
      <c r="G51" s="739"/>
      <c r="H51" s="740"/>
      <c r="I51" s="750"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51"/>
      <c r="K51" s="751"/>
      <c r="L51" s="752"/>
      <c r="M51" s="666"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67"/>
      <c r="O51" s="667"/>
      <c r="P51" s="668"/>
    </row>
    <row r="52" spans="1:16" ht="24.75" customHeight="1">
      <c r="A52" s="732"/>
      <c r="B52" s="586"/>
      <c r="C52" s="586"/>
      <c r="D52" s="670"/>
      <c r="E52" s="741"/>
      <c r="F52" s="586"/>
      <c r="G52" s="586"/>
      <c r="H52" s="670"/>
      <c r="I52" s="753"/>
      <c r="J52" s="586"/>
      <c r="K52" s="586"/>
      <c r="L52" s="670"/>
      <c r="M52" s="669"/>
      <c r="N52" s="586"/>
      <c r="O52" s="586"/>
      <c r="P52" s="670"/>
    </row>
    <row r="53" spans="1:16" ht="24.75" customHeight="1">
      <c r="A53" s="732"/>
      <c r="B53" s="586"/>
      <c r="C53" s="586"/>
      <c r="D53" s="670"/>
      <c r="E53" s="741"/>
      <c r="F53" s="586"/>
      <c r="G53" s="586"/>
      <c r="H53" s="670"/>
      <c r="I53" s="753"/>
      <c r="J53" s="586"/>
      <c r="K53" s="586"/>
      <c r="L53" s="670"/>
      <c r="M53" s="669"/>
      <c r="N53" s="586"/>
      <c r="O53" s="586"/>
      <c r="P53" s="670"/>
    </row>
    <row r="54" spans="1:16" ht="24.75" customHeight="1">
      <c r="A54" s="732"/>
      <c r="B54" s="586"/>
      <c r="C54" s="586"/>
      <c r="D54" s="670"/>
      <c r="E54" s="741"/>
      <c r="F54" s="586"/>
      <c r="G54" s="586"/>
      <c r="H54" s="670"/>
      <c r="I54" s="753"/>
      <c r="J54" s="586"/>
      <c r="K54" s="586"/>
      <c r="L54" s="670"/>
      <c r="M54" s="669"/>
      <c r="N54" s="586"/>
      <c r="O54" s="586"/>
      <c r="P54" s="670"/>
    </row>
    <row r="55" spans="1:16" ht="24.75" customHeight="1">
      <c r="A55" s="732"/>
      <c r="B55" s="586"/>
      <c r="C55" s="586"/>
      <c r="D55" s="670"/>
      <c r="E55" s="741"/>
      <c r="F55" s="586"/>
      <c r="G55" s="586"/>
      <c r="H55" s="670"/>
      <c r="I55" s="753"/>
      <c r="J55" s="586"/>
      <c r="K55" s="586"/>
      <c r="L55" s="670"/>
      <c r="M55" s="669"/>
      <c r="N55" s="586"/>
      <c r="O55" s="586"/>
      <c r="P55" s="670"/>
    </row>
    <row r="56" spans="1:16" ht="24.75" customHeight="1">
      <c r="A56" s="732"/>
      <c r="B56" s="586"/>
      <c r="C56" s="586"/>
      <c r="D56" s="670"/>
      <c r="E56" s="741"/>
      <c r="F56" s="586"/>
      <c r="G56" s="586"/>
      <c r="H56" s="670"/>
      <c r="I56" s="753"/>
      <c r="J56" s="586"/>
      <c r="K56" s="586"/>
      <c r="L56" s="670"/>
      <c r="M56" s="669"/>
      <c r="N56" s="586"/>
      <c r="O56" s="586"/>
      <c r="P56" s="670"/>
    </row>
    <row r="57" spans="1:16" ht="18" customHeight="1">
      <c r="A57" s="732"/>
      <c r="B57" s="586"/>
      <c r="C57" s="586"/>
      <c r="D57" s="670"/>
      <c r="E57" s="741"/>
      <c r="F57" s="586"/>
      <c r="G57" s="586"/>
      <c r="H57" s="670"/>
      <c r="I57" s="753"/>
      <c r="J57" s="586"/>
      <c r="K57" s="586"/>
      <c r="L57" s="670"/>
      <c r="M57" s="669"/>
      <c r="N57" s="586"/>
      <c r="O57" s="586"/>
      <c r="P57" s="670"/>
    </row>
    <row r="58" spans="1:16" ht="27.75" customHeight="1">
      <c r="A58" s="733"/>
      <c r="B58" s="672"/>
      <c r="C58" s="672"/>
      <c r="D58" s="673"/>
      <c r="E58" s="742"/>
      <c r="F58" s="672"/>
      <c r="G58" s="672"/>
      <c r="H58" s="673"/>
      <c r="I58" s="754"/>
      <c r="J58" s="672"/>
      <c r="K58" s="672"/>
      <c r="L58" s="673"/>
      <c r="M58" s="671"/>
      <c r="N58" s="672"/>
      <c r="O58" s="672"/>
      <c r="P58" s="673"/>
    </row>
    <row r="59" spans="1:16" ht="25.5" customHeight="1">
      <c r="A59" s="783"/>
      <c r="B59" s="632"/>
      <c r="C59" s="632"/>
      <c r="D59" s="632"/>
      <c r="E59" s="632"/>
      <c r="F59" s="632"/>
      <c r="G59" s="632"/>
      <c r="H59" s="632"/>
      <c r="I59" s="632"/>
      <c r="J59" s="632"/>
      <c r="K59" s="632"/>
      <c r="L59" s="632"/>
      <c r="M59" s="632"/>
      <c r="N59" s="632"/>
      <c r="O59" s="632"/>
      <c r="P59" s="630"/>
    </row>
    <row r="60" spans="1:16" ht="25.5" customHeight="1" thickBot="1">
      <c r="A60" s="693" t="s">
        <v>334</v>
      </c>
      <c r="B60" s="632"/>
      <c r="C60" s="632"/>
      <c r="D60" s="632"/>
      <c r="E60" s="632"/>
      <c r="F60" s="632"/>
      <c r="G60" s="632"/>
      <c r="H60" s="630"/>
      <c r="I60" s="693"/>
      <c r="J60" s="632"/>
      <c r="K60" s="632"/>
      <c r="L60" s="632"/>
      <c r="M60" s="632"/>
      <c r="N60" s="632"/>
      <c r="O60" s="632"/>
      <c r="P60" s="630"/>
    </row>
    <row r="61" spans="1:16" ht="25.5" customHeight="1">
      <c r="A61" s="709"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710"/>
      <c r="C61" s="710"/>
      <c r="D61" s="710"/>
      <c r="E61" s="710"/>
      <c r="F61" s="710"/>
      <c r="G61" s="710"/>
      <c r="H61" s="710"/>
      <c r="I61" s="710"/>
      <c r="J61" s="710"/>
      <c r="K61" s="710"/>
      <c r="L61" s="710"/>
      <c r="M61" s="710"/>
      <c r="N61" s="710"/>
      <c r="O61" s="710"/>
      <c r="P61" s="711"/>
    </row>
    <row r="62" spans="1:16" ht="39.6" customHeight="1">
      <c r="A62" s="712"/>
      <c r="B62" s="795"/>
      <c r="C62" s="795"/>
      <c r="D62" s="795"/>
      <c r="E62" s="795"/>
      <c r="F62" s="795"/>
      <c r="G62" s="795"/>
      <c r="H62" s="795"/>
      <c r="I62" s="795"/>
      <c r="J62" s="795"/>
      <c r="K62" s="795"/>
      <c r="L62" s="795"/>
      <c r="M62" s="795"/>
      <c r="N62" s="795"/>
      <c r="O62" s="795"/>
      <c r="P62" s="714"/>
    </row>
    <row r="63" spans="1:16" ht="25.15" hidden="1" customHeight="1">
      <c r="A63" s="712"/>
      <c r="B63" s="795"/>
      <c r="C63" s="795"/>
      <c r="D63" s="795"/>
      <c r="E63" s="795"/>
      <c r="F63" s="795"/>
      <c r="G63" s="795"/>
      <c r="H63" s="795"/>
      <c r="I63" s="795"/>
      <c r="J63" s="795"/>
      <c r="K63" s="795"/>
      <c r="L63" s="795"/>
      <c r="M63" s="795"/>
      <c r="N63" s="795"/>
      <c r="O63" s="795"/>
      <c r="P63" s="714"/>
    </row>
    <row r="64" spans="1:16" ht="25.15" hidden="1" customHeight="1">
      <c r="A64" s="712"/>
      <c r="B64" s="795"/>
      <c r="C64" s="795"/>
      <c r="D64" s="795"/>
      <c r="E64" s="795"/>
      <c r="F64" s="795"/>
      <c r="G64" s="795"/>
      <c r="H64" s="795"/>
      <c r="I64" s="795"/>
      <c r="J64" s="795"/>
      <c r="K64" s="795"/>
      <c r="L64" s="795"/>
      <c r="M64" s="795"/>
      <c r="N64" s="795"/>
      <c r="O64" s="795"/>
      <c r="P64" s="714"/>
    </row>
    <row r="65" spans="1:16" ht="25.15" hidden="1" customHeight="1">
      <c r="A65" s="712"/>
      <c r="B65" s="795"/>
      <c r="C65" s="795"/>
      <c r="D65" s="795"/>
      <c r="E65" s="795"/>
      <c r="F65" s="795"/>
      <c r="G65" s="795"/>
      <c r="H65" s="795"/>
      <c r="I65" s="795"/>
      <c r="J65" s="795"/>
      <c r="K65" s="795"/>
      <c r="L65" s="795"/>
      <c r="M65" s="795"/>
      <c r="N65" s="795"/>
      <c r="O65" s="795"/>
      <c r="P65" s="714"/>
    </row>
    <row r="66" spans="1:16" ht="220.15" hidden="1" customHeight="1">
      <c r="A66" s="712"/>
      <c r="B66" s="795"/>
      <c r="C66" s="795"/>
      <c r="D66" s="795"/>
      <c r="E66" s="795"/>
      <c r="F66" s="795"/>
      <c r="G66" s="795"/>
      <c r="H66" s="795"/>
      <c r="I66" s="795"/>
      <c r="J66" s="795"/>
      <c r="K66" s="795"/>
      <c r="L66" s="795"/>
      <c r="M66" s="795"/>
      <c r="N66" s="795"/>
      <c r="O66" s="795"/>
      <c r="P66" s="714"/>
    </row>
    <row r="67" spans="1:16" ht="18" customHeight="1">
      <c r="A67" s="712"/>
      <c r="B67" s="795"/>
      <c r="C67" s="795"/>
      <c r="D67" s="795"/>
      <c r="E67" s="795"/>
      <c r="F67" s="795"/>
      <c r="G67" s="795"/>
      <c r="H67" s="795"/>
      <c r="I67" s="795"/>
      <c r="J67" s="795"/>
      <c r="K67" s="795"/>
      <c r="L67" s="795"/>
      <c r="M67" s="795"/>
      <c r="N67" s="795"/>
      <c r="O67" s="795"/>
      <c r="P67" s="714"/>
    </row>
    <row r="68" spans="1:16" ht="58.5" customHeight="1">
      <c r="A68" s="715"/>
      <c r="B68" s="716"/>
      <c r="C68" s="716"/>
      <c r="D68" s="716"/>
      <c r="E68" s="716"/>
      <c r="F68" s="716"/>
      <c r="G68" s="716"/>
      <c r="H68" s="716"/>
      <c r="I68" s="716"/>
      <c r="J68" s="716"/>
      <c r="K68" s="716"/>
      <c r="L68" s="716"/>
      <c r="M68" s="716"/>
      <c r="N68" s="716"/>
      <c r="O68" s="716"/>
      <c r="P68" s="717"/>
    </row>
    <row r="69" spans="1:16" ht="19.5" customHeight="1">
      <c r="A69" s="794"/>
      <c r="B69" s="632"/>
      <c r="C69" s="632"/>
      <c r="D69" s="632"/>
      <c r="E69" s="632"/>
      <c r="F69" s="632"/>
      <c r="G69" s="632"/>
      <c r="H69" s="632"/>
      <c r="I69" s="632"/>
      <c r="J69" s="632"/>
      <c r="K69" s="632"/>
      <c r="L69" s="632"/>
      <c r="M69" s="632"/>
      <c r="N69" s="632"/>
      <c r="O69" s="632"/>
      <c r="P69" s="630"/>
    </row>
    <row r="70" spans="1:16" ht="19.5" customHeight="1" thickBot="1">
      <c r="A70" s="661" t="s">
        <v>335</v>
      </c>
      <c r="B70" s="632"/>
      <c r="C70" s="632"/>
      <c r="D70" s="632"/>
      <c r="E70" s="632"/>
      <c r="F70" s="632"/>
      <c r="G70" s="632"/>
      <c r="H70" s="632"/>
      <c r="I70" s="632"/>
      <c r="J70" s="632"/>
      <c r="K70" s="632"/>
      <c r="L70" s="632"/>
      <c r="M70" s="632"/>
      <c r="N70" s="632"/>
      <c r="O70" s="632"/>
      <c r="P70" s="630"/>
    </row>
    <row r="71" spans="1:16" ht="19.5" customHeight="1" thickBot="1">
      <c r="A71" s="743"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44"/>
      <c r="C71" s="744"/>
      <c r="D71" s="744"/>
      <c r="E71" s="744"/>
      <c r="F71" s="744"/>
      <c r="G71" s="745"/>
      <c r="H71" s="745"/>
      <c r="I71" s="637"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38"/>
      <c r="K71" s="638"/>
      <c r="L71" s="638"/>
      <c r="M71" s="638"/>
      <c r="N71" s="639"/>
      <c r="O71" s="640"/>
      <c r="P71" s="641"/>
    </row>
    <row r="72" spans="1:16" ht="19.5" customHeight="1">
      <c r="A72" s="746"/>
      <c r="B72" s="746"/>
      <c r="C72" s="746"/>
      <c r="D72" s="746"/>
      <c r="E72" s="746"/>
      <c r="F72" s="746"/>
      <c r="G72" s="644"/>
      <c r="H72" s="644"/>
      <c r="I72" s="642"/>
      <c r="J72" s="642"/>
      <c r="K72" s="642"/>
      <c r="L72" s="642"/>
      <c r="M72" s="642"/>
      <c r="N72" s="643"/>
      <c r="O72" s="644"/>
      <c r="P72" s="645"/>
    </row>
    <row r="73" spans="1:16" ht="19.5" customHeight="1">
      <c r="A73" s="746"/>
      <c r="B73" s="746"/>
      <c r="C73" s="746"/>
      <c r="D73" s="746"/>
      <c r="E73" s="746"/>
      <c r="F73" s="746"/>
      <c r="G73" s="644"/>
      <c r="H73" s="644"/>
      <c r="I73" s="642"/>
      <c r="J73" s="642"/>
      <c r="K73" s="642"/>
      <c r="L73" s="642"/>
      <c r="M73" s="642"/>
      <c r="N73" s="643"/>
      <c r="O73" s="644"/>
      <c r="P73" s="645"/>
    </row>
    <row r="74" spans="1:16" ht="103.9" customHeight="1">
      <c r="A74" s="746"/>
      <c r="B74" s="746"/>
      <c r="C74" s="746"/>
      <c r="D74" s="746"/>
      <c r="E74" s="746"/>
      <c r="F74" s="746"/>
      <c r="G74" s="644"/>
      <c r="H74" s="644"/>
      <c r="I74" s="642"/>
      <c r="J74" s="642"/>
      <c r="K74" s="642"/>
      <c r="L74" s="642"/>
      <c r="M74" s="642"/>
      <c r="N74" s="643"/>
      <c r="O74" s="644"/>
      <c r="P74" s="645"/>
    </row>
    <row r="75" spans="1:16" ht="99.6" hidden="1" customHeight="1">
      <c r="A75" s="746"/>
      <c r="B75" s="746"/>
      <c r="C75" s="746"/>
      <c r="D75" s="746"/>
      <c r="E75" s="746"/>
      <c r="F75" s="746"/>
      <c r="G75" s="644"/>
      <c r="H75" s="644"/>
      <c r="I75" s="642"/>
      <c r="J75" s="642"/>
      <c r="K75" s="642"/>
      <c r="L75" s="642"/>
      <c r="M75" s="642"/>
      <c r="N75" s="643"/>
      <c r="O75" s="644"/>
      <c r="P75" s="645"/>
    </row>
    <row r="76" spans="1:16" ht="19.5" customHeight="1" thickBot="1">
      <c r="A76" s="747"/>
      <c r="B76" s="747"/>
      <c r="C76" s="747"/>
      <c r="D76" s="747"/>
      <c r="E76" s="747"/>
      <c r="F76" s="747"/>
      <c r="G76" s="644"/>
      <c r="H76" s="644"/>
      <c r="I76" s="646"/>
      <c r="J76" s="646"/>
      <c r="K76" s="646"/>
      <c r="L76" s="646"/>
      <c r="M76" s="646"/>
      <c r="N76" s="647"/>
      <c r="O76" s="644"/>
      <c r="P76" s="645"/>
    </row>
    <row r="77" spans="1:16" ht="19.5" customHeight="1" thickBot="1">
      <c r="A77" s="748"/>
      <c r="B77" s="749"/>
      <c r="C77" s="749"/>
      <c r="D77" s="749"/>
      <c r="E77" s="749"/>
      <c r="F77" s="749"/>
      <c r="G77" s="749"/>
      <c r="H77" s="749"/>
      <c r="I77" s="648"/>
      <c r="J77" s="648"/>
      <c r="K77" s="648"/>
      <c r="L77" s="648"/>
      <c r="M77" s="648"/>
      <c r="N77" s="648"/>
      <c r="O77" s="648"/>
      <c r="P77" s="649"/>
    </row>
    <row r="78" spans="1:16" ht="19.5" customHeight="1" thickBot="1">
      <c r="A78" s="655"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56"/>
      <c r="C78" s="656"/>
      <c r="D78" s="656"/>
      <c r="E78" s="656"/>
      <c r="F78" s="656"/>
      <c r="G78" s="640"/>
      <c r="H78" s="640"/>
      <c r="I78" s="683"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84"/>
      <c r="K78" s="684"/>
      <c r="L78" s="684"/>
      <c r="M78" s="684"/>
      <c r="N78" s="685"/>
      <c r="O78" s="679"/>
      <c r="P78" s="686"/>
    </row>
    <row r="79" spans="1:16" ht="19.5" customHeight="1">
      <c r="A79" s="657"/>
      <c r="B79" s="657"/>
      <c r="C79" s="657"/>
      <c r="D79" s="657"/>
      <c r="E79" s="657"/>
      <c r="F79" s="657"/>
      <c r="G79" s="644"/>
      <c r="H79" s="644"/>
      <c r="I79" s="687"/>
      <c r="J79" s="687"/>
      <c r="K79" s="687"/>
      <c r="L79" s="687"/>
      <c r="M79" s="687"/>
      <c r="N79" s="688"/>
      <c r="O79" s="644"/>
      <c r="P79" s="645"/>
    </row>
    <row r="80" spans="1:16" ht="19.5" customHeight="1">
      <c r="A80" s="657"/>
      <c r="B80" s="657"/>
      <c r="C80" s="657"/>
      <c r="D80" s="657"/>
      <c r="E80" s="657"/>
      <c r="F80" s="657"/>
      <c r="G80" s="644"/>
      <c r="H80" s="644"/>
      <c r="I80" s="687"/>
      <c r="J80" s="687"/>
      <c r="K80" s="687"/>
      <c r="L80" s="687"/>
      <c r="M80" s="687"/>
      <c r="N80" s="688"/>
      <c r="O80" s="644"/>
      <c r="P80" s="645"/>
    </row>
    <row r="81" spans="1:16" ht="104.45" customHeight="1">
      <c r="A81" s="657"/>
      <c r="B81" s="657"/>
      <c r="C81" s="657"/>
      <c r="D81" s="657"/>
      <c r="E81" s="657"/>
      <c r="F81" s="657"/>
      <c r="G81" s="644"/>
      <c r="H81" s="644"/>
      <c r="I81" s="687"/>
      <c r="J81" s="687"/>
      <c r="K81" s="687"/>
      <c r="L81" s="687"/>
      <c r="M81" s="687"/>
      <c r="N81" s="688"/>
      <c r="O81" s="644"/>
      <c r="P81" s="645"/>
    </row>
    <row r="82" spans="1:16" ht="88.15" hidden="1" customHeight="1">
      <c r="A82" s="657"/>
      <c r="B82" s="657"/>
      <c r="C82" s="657"/>
      <c r="D82" s="657"/>
      <c r="E82" s="657"/>
      <c r="F82" s="657"/>
      <c r="G82" s="644"/>
      <c r="H82" s="644"/>
      <c r="I82" s="687"/>
      <c r="J82" s="687"/>
      <c r="K82" s="687"/>
      <c r="L82" s="687"/>
      <c r="M82" s="687"/>
      <c r="N82" s="688"/>
      <c r="O82" s="644"/>
      <c r="P82" s="645"/>
    </row>
    <row r="83" spans="1:16" ht="19.5" customHeight="1" thickBot="1">
      <c r="A83" s="658"/>
      <c r="B83" s="658"/>
      <c r="C83" s="658"/>
      <c r="D83" s="658"/>
      <c r="E83" s="658"/>
      <c r="F83" s="658"/>
      <c r="G83" s="644"/>
      <c r="H83" s="644"/>
      <c r="I83" s="689"/>
      <c r="J83" s="689"/>
      <c r="K83" s="689"/>
      <c r="L83" s="689"/>
      <c r="M83" s="689"/>
      <c r="N83" s="690"/>
      <c r="O83" s="644"/>
      <c r="P83" s="645"/>
    </row>
    <row r="84" spans="1:16" ht="19.5" customHeight="1" thickBot="1">
      <c r="A84" s="659"/>
      <c r="B84" s="648"/>
      <c r="C84" s="648"/>
      <c r="D84" s="648"/>
      <c r="E84" s="648"/>
      <c r="F84" s="648"/>
      <c r="G84" s="648"/>
      <c r="H84" s="648"/>
      <c r="I84" s="691"/>
      <c r="J84" s="691"/>
      <c r="K84" s="691"/>
      <c r="L84" s="691"/>
      <c r="M84" s="691"/>
      <c r="N84" s="691"/>
      <c r="O84" s="691"/>
      <c r="P84" s="692"/>
    </row>
    <row r="85" spans="1:16" ht="19.5" customHeight="1">
      <c r="A85" s="677" t="s">
        <v>5732</v>
      </c>
      <c r="B85" s="678"/>
      <c r="C85" s="678"/>
      <c r="D85" s="678"/>
      <c r="E85" s="678"/>
      <c r="F85" s="678"/>
      <c r="G85" s="679"/>
      <c r="H85" s="679"/>
      <c r="I85" s="723"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723"/>
      <c r="K85" s="723"/>
      <c r="L85" s="723"/>
      <c r="M85" s="723"/>
      <c r="N85" s="723"/>
      <c r="O85" s="723"/>
      <c r="P85" s="724"/>
    </row>
    <row r="86" spans="1:16" ht="19.5" customHeight="1">
      <c r="A86" s="680"/>
      <c r="B86" s="680"/>
      <c r="C86" s="680"/>
      <c r="D86" s="680"/>
      <c r="E86" s="680"/>
      <c r="F86" s="680"/>
      <c r="G86" s="644"/>
      <c r="H86" s="644"/>
      <c r="I86" s="725"/>
      <c r="J86" s="725"/>
      <c r="K86" s="725"/>
      <c r="L86" s="725"/>
      <c r="M86" s="725"/>
      <c r="N86" s="725"/>
      <c r="O86" s="725"/>
      <c r="P86" s="726"/>
    </row>
    <row r="87" spans="1:16" ht="19.5" customHeight="1">
      <c r="A87" s="680"/>
      <c r="B87" s="680"/>
      <c r="C87" s="680"/>
      <c r="D87" s="680"/>
      <c r="E87" s="680"/>
      <c r="F87" s="680"/>
      <c r="G87" s="644"/>
      <c r="H87" s="644"/>
      <c r="I87" s="725"/>
      <c r="J87" s="725"/>
      <c r="K87" s="725"/>
      <c r="L87" s="725"/>
      <c r="M87" s="725"/>
      <c r="N87" s="725"/>
      <c r="O87" s="725"/>
      <c r="P87" s="726"/>
    </row>
    <row r="88" spans="1:16" ht="178.5" customHeight="1">
      <c r="A88" s="680"/>
      <c r="B88" s="680"/>
      <c r="C88" s="680"/>
      <c r="D88" s="680"/>
      <c r="E88" s="680"/>
      <c r="F88" s="680"/>
      <c r="G88" s="644"/>
      <c r="H88" s="644"/>
      <c r="I88" s="725"/>
      <c r="J88" s="725"/>
      <c r="K88" s="725"/>
      <c r="L88" s="725"/>
      <c r="M88" s="725"/>
      <c r="N88" s="725"/>
      <c r="O88" s="725"/>
      <c r="P88" s="726"/>
    </row>
    <row r="89" spans="1:16" ht="219" hidden="1" customHeight="1">
      <c r="A89" s="680"/>
      <c r="B89" s="680"/>
      <c r="C89" s="680"/>
      <c r="D89" s="680"/>
      <c r="E89" s="680"/>
      <c r="F89" s="680"/>
      <c r="G89" s="644"/>
      <c r="H89" s="644"/>
      <c r="I89" s="725"/>
      <c r="J89" s="725"/>
      <c r="K89" s="725"/>
      <c r="L89" s="725"/>
      <c r="M89" s="725"/>
      <c r="N89" s="725"/>
      <c r="O89" s="725"/>
      <c r="P89" s="726"/>
    </row>
    <row r="90" spans="1:16" ht="25.5" hidden="1" customHeight="1">
      <c r="A90" s="681"/>
      <c r="B90" s="681"/>
      <c r="C90" s="681"/>
      <c r="D90" s="681"/>
      <c r="E90" s="681"/>
      <c r="F90" s="681"/>
      <c r="G90" s="644"/>
      <c r="H90" s="644"/>
      <c r="I90" s="725"/>
      <c r="J90" s="725"/>
      <c r="K90" s="725"/>
      <c r="L90" s="725"/>
      <c r="M90" s="725"/>
      <c r="N90" s="725"/>
      <c r="O90" s="725"/>
      <c r="P90" s="726"/>
    </row>
    <row r="91" spans="1:16" ht="177" customHeight="1">
      <c r="A91" s="682"/>
      <c r="B91" s="682"/>
      <c r="C91" s="682"/>
      <c r="D91" s="682"/>
      <c r="E91" s="682"/>
      <c r="F91" s="682"/>
      <c r="G91" s="682"/>
      <c r="H91" s="682"/>
      <c r="I91" s="727"/>
      <c r="J91" s="727"/>
      <c r="K91" s="727"/>
      <c r="L91" s="727"/>
      <c r="M91" s="727"/>
      <c r="N91" s="727"/>
      <c r="O91" s="727"/>
      <c r="P91" s="728"/>
    </row>
    <row r="92" spans="1:16" ht="18" customHeight="1">
      <c r="A92" s="734" t="s">
        <v>336</v>
      </c>
      <c r="B92" s="735"/>
      <c r="C92" s="735"/>
      <c r="D92" s="735"/>
      <c r="E92" s="735"/>
      <c r="F92" s="735"/>
      <c r="G92" s="735"/>
      <c r="H92" s="735"/>
      <c r="I92" s="735"/>
      <c r="J92" s="735"/>
      <c r="K92" s="735"/>
      <c r="L92" s="735"/>
      <c r="M92" s="735"/>
      <c r="N92" s="735"/>
      <c r="O92" s="735"/>
      <c r="P92" s="736"/>
    </row>
    <row r="93" spans="1:16" ht="27.75" customHeight="1">
      <c r="A93" s="737"/>
      <c r="B93" s="672"/>
      <c r="C93" s="672"/>
      <c r="D93" s="672"/>
      <c r="E93" s="672"/>
      <c r="F93" s="672"/>
      <c r="G93" s="672"/>
      <c r="H93" s="672"/>
      <c r="I93" s="672"/>
      <c r="J93" s="672"/>
      <c r="K93" s="672"/>
      <c r="L93" s="672"/>
      <c r="M93" s="672"/>
      <c r="N93" s="672"/>
      <c r="O93" s="672"/>
      <c r="P93" s="673"/>
    </row>
    <row r="94" spans="1:16" ht="18" customHeight="1">
      <c r="A94" s="794"/>
      <c r="B94" s="632"/>
      <c r="C94" s="632"/>
      <c r="D94" s="632"/>
      <c r="E94" s="632"/>
      <c r="F94" s="632"/>
      <c r="G94" s="632"/>
      <c r="H94" s="632"/>
      <c r="I94" s="632"/>
      <c r="J94" s="632"/>
      <c r="K94" s="632"/>
      <c r="L94" s="632"/>
      <c r="M94" s="632"/>
      <c r="N94" s="632"/>
      <c r="O94" s="632"/>
      <c r="P94" s="630"/>
    </row>
    <row r="95" spans="1:16" ht="74.45" hidden="1" customHeight="1">
      <c r="A95" s="662" t="s">
        <v>337</v>
      </c>
      <c r="B95" s="632"/>
      <c r="C95" s="632"/>
      <c r="D95" s="632"/>
      <c r="E95" s="632"/>
      <c r="F95" s="632"/>
      <c r="G95" s="632"/>
      <c r="H95" s="632"/>
      <c r="I95" s="632"/>
      <c r="J95" s="632"/>
      <c r="K95" s="632"/>
      <c r="L95" s="632"/>
      <c r="M95" s="632"/>
      <c r="N95" s="632"/>
      <c r="O95" s="632"/>
      <c r="P95" s="630"/>
    </row>
    <row r="96" spans="1:16" ht="74.45" hidden="1" customHeight="1">
      <c r="A96" s="636" t="s">
        <v>338</v>
      </c>
      <c r="B96" s="630"/>
      <c r="C96" s="636" t="s">
        <v>268</v>
      </c>
      <c r="D96" s="630"/>
      <c r="E96" s="636" t="s">
        <v>339</v>
      </c>
      <c r="F96" s="632"/>
      <c r="G96" s="630"/>
      <c r="H96" s="636" t="s">
        <v>340</v>
      </c>
      <c r="I96" s="632"/>
      <c r="J96" s="630"/>
      <c r="K96" s="636" t="s">
        <v>341</v>
      </c>
      <c r="L96" s="632"/>
      <c r="M96" s="630"/>
      <c r="N96" s="636" t="s">
        <v>11</v>
      </c>
      <c r="O96" s="632"/>
      <c r="P96" s="630"/>
    </row>
    <row r="97" spans="1:16" ht="74.45" hidden="1" customHeight="1">
      <c r="A97" s="629" t="s">
        <v>918</v>
      </c>
      <c r="B97" s="630"/>
      <c r="C97" s="629" t="s">
        <v>5994</v>
      </c>
      <c r="D97" s="630"/>
      <c r="E97" s="629" t="s">
        <v>5966</v>
      </c>
      <c r="F97" s="632"/>
      <c r="G97" s="630"/>
      <c r="H97" s="629" t="s">
        <v>5966</v>
      </c>
      <c r="I97" s="632"/>
      <c r="J97" s="630"/>
      <c r="K97" s="629">
        <v>0</v>
      </c>
      <c r="L97" s="632"/>
      <c r="M97" s="630"/>
      <c r="N97" s="629">
        <v>0</v>
      </c>
      <c r="O97" s="632"/>
      <c r="P97" s="630"/>
    </row>
    <row r="98" spans="1:16" ht="74.45" hidden="1" customHeight="1">
      <c r="A98" s="631" t="s">
        <v>918</v>
      </c>
      <c r="B98" s="630"/>
      <c r="C98" s="631" t="s">
        <v>5953</v>
      </c>
      <c r="D98" s="630"/>
      <c r="E98" s="631" t="s">
        <v>5954</v>
      </c>
      <c r="F98" s="632"/>
      <c r="G98" s="630"/>
      <c r="H98" s="631" t="s">
        <v>5955</v>
      </c>
      <c r="I98" s="632"/>
      <c r="J98" s="630"/>
      <c r="K98" s="631" t="s">
        <v>889</v>
      </c>
      <c r="L98" s="632"/>
      <c r="M98" s="630"/>
      <c r="N98" s="631" t="s">
        <v>11</v>
      </c>
      <c r="O98" s="632"/>
      <c r="P98" s="630"/>
    </row>
    <row r="99" spans="1:16" ht="74.45" hidden="1" customHeight="1">
      <c r="A99" s="629" t="s">
        <v>918</v>
      </c>
      <c r="B99" s="630"/>
      <c r="C99" s="629" t="s">
        <v>5956</v>
      </c>
      <c r="D99" s="630"/>
      <c r="E99" s="629" t="s">
        <v>5957</v>
      </c>
      <c r="F99" s="632"/>
      <c r="G99" s="630"/>
      <c r="H99" s="629" t="s">
        <v>5958</v>
      </c>
      <c r="I99" s="632"/>
      <c r="J99" s="630"/>
      <c r="K99" s="629" t="s">
        <v>3179</v>
      </c>
      <c r="L99" s="632"/>
      <c r="M99" s="630"/>
      <c r="N99" s="629" t="s">
        <v>3180</v>
      </c>
      <c r="O99" s="632"/>
      <c r="P99" s="630"/>
    </row>
    <row r="100" spans="1:16" ht="74.45" hidden="1" customHeight="1">
      <c r="A100" s="631" t="s">
        <v>918</v>
      </c>
      <c r="B100" s="630"/>
      <c r="C100" s="631" t="s">
        <v>5959</v>
      </c>
      <c r="D100" s="630"/>
      <c r="E100" s="631" t="s">
        <v>5960</v>
      </c>
      <c r="F100" s="632"/>
      <c r="G100" s="630"/>
      <c r="H100" s="631" t="s">
        <v>5958</v>
      </c>
      <c r="I100" s="632"/>
      <c r="J100" s="630"/>
      <c r="K100" s="631" t="s">
        <v>3182</v>
      </c>
      <c r="L100" s="632"/>
      <c r="M100" s="630"/>
      <c r="N100" s="631" t="s">
        <v>3183</v>
      </c>
      <c r="O100" s="632"/>
      <c r="P100" s="630"/>
    </row>
    <row r="101" spans="1:16" ht="74.45" hidden="1" customHeight="1">
      <c r="A101" s="629" t="s">
        <v>918</v>
      </c>
      <c r="B101" s="630"/>
      <c r="C101" s="629" t="s">
        <v>5961</v>
      </c>
      <c r="D101" s="630"/>
      <c r="E101" s="629" t="s">
        <v>5962</v>
      </c>
      <c r="F101" s="632"/>
      <c r="G101" s="630"/>
      <c r="H101" s="629" t="s">
        <v>5958</v>
      </c>
      <c r="I101" s="632"/>
      <c r="J101" s="630"/>
      <c r="K101" s="629" t="s">
        <v>3185</v>
      </c>
      <c r="L101" s="632"/>
      <c r="M101" s="630"/>
      <c r="N101" s="629" t="s">
        <v>3186</v>
      </c>
      <c r="O101" s="632"/>
      <c r="P101" s="630"/>
    </row>
    <row r="102" spans="1:16" ht="74.45" hidden="1" customHeight="1">
      <c r="A102" s="631" t="s">
        <v>918</v>
      </c>
      <c r="B102" s="630"/>
      <c r="C102" s="631" t="s">
        <v>5963</v>
      </c>
      <c r="D102" s="630"/>
      <c r="E102" s="631" t="s">
        <v>5964</v>
      </c>
      <c r="F102" s="632"/>
      <c r="G102" s="630"/>
      <c r="H102" s="631" t="s">
        <v>5965</v>
      </c>
      <c r="I102" s="632"/>
      <c r="J102" s="630"/>
      <c r="K102" s="631" t="s">
        <v>3190</v>
      </c>
      <c r="L102" s="632"/>
      <c r="M102" s="630"/>
      <c r="N102" s="631" t="s">
        <v>3191</v>
      </c>
      <c r="O102" s="632"/>
      <c r="P102" s="630"/>
    </row>
    <row r="103" spans="1:16" ht="74.45" hidden="1" customHeight="1">
      <c r="A103" s="629" t="s">
        <v>918</v>
      </c>
      <c r="B103" s="630"/>
      <c r="C103" s="629" t="s">
        <v>5966</v>
      </c>
      <c r="D103" s="630"/>
      <c r="E103" s="629" t="s">
        <v>5966</v>
      </c>
      <c r="F103" s="632"/>
      <c r="G103" s="630"/>
      <c r="H103" s="629" t="s">
        <v>5966</v>
      </c>
      <c r="I103" s="632"/>
      <c r="J103" s="630"/>
      <c r="K103" s="629">
        <v>0</v>
      </c>
      <c r="L103" s="632"/>
      <c r="M103" s="630"/>
      <c r="N103" s="629">
        <v>0</v>
      </c>
      <c r="O103" s="632"/>
      <c r="P103" s="630"/>
    </row>
    <row r="104" spans="1:16" ht="74.45" hidden="1" customHeight="1">
      <c r="A104" s="631" t="s">
        <v>936</v>
      </c>
      <c r="B104" s="630"/>
      <c r="C104" s="631" t="s">
        <v>5967</v>
      </c>
      <c r="D104" s="630"/>
      <c r="E104" s="631" t="s">
        <v>5966</v>
      </c>
      <c r="F104" s="632"/>
      <c r="G104" s="630"/>
      <c r="H104" s="631" t="s">
        <v>5966</v>
      </c>
      <c r="I104" s="632"/>
      <c r="J104" s="630"/>
      <c r="K104" s="631">
        <v>0</v>
      </c>
      <c r="L104" s="632"/>
      <c r="M104" s="630"/>
      <c r="N104" s="631">
        <v>0</v>
      </c>
      <c r="O104" s="632"/>
      <c r="P104" s="630"/>
    </row>
    <row r="105" spans="1:16" ht="74.45" hidden="1" customHeight="1">
      <c r="A105" s="629" t="s">
        <v>936</v>
      </c>
      <c r="B105" s="630"/>
      <c r="C105" s="629" t="s">
        <v>5968</v>
      </c>
      <c r="D105" s="630"/>
      <c r="E105" s="629" t="s">
        <v>5969</v>
      </c>
      <c r="F105" s="632"/>
      <c r="G105" s="630"/>
      <c r="H105" s="629" t="s">
        <v>5970</v>
      </c>
      <c r="I105" s="632"/>
      <c r="J105" s="630"/>
      <c r="K105" s="629" t="s">
        <v>899</v>
      </c>
      <c r="L105" s="632"/>
      <c r="M105" s="630"/>
      <c r="N105" s="629" t="s">
        <v>944</v>
      </c>
      <c r="O105" s="632"/>
      <c r="P105" s="630"/>
    </row>
    <row r="106" spans="1:16" ht="74.45" hidden="1" customHeight="1">
      <c r="A106" s="631" t="s">
        <v>936</v>
      </c>
      <c r="B106" s="630"/>
      <c r="C106" s="631" t="s">
        <v>5971</v>
      </c>
      <c r="D106" s="630"/>
      <c r="E106" s="631" t="s">
        <v>5972</v>
      </c>
      <c r="F106" s="632"/>
      <c r="G106" s="630"/>
      <c r="H106" s="631" t="s">
        <v>5972</v>
      </c>
      <c r="I106" s="632"/>
      <c r="J106" s="630"/>
      <c r="K106" s="631" t="s">
        <v>677</v>
      </c>
      <c r="L106" s="632"/>
      <c r="M106" s="630"/>
      <c r="N106" s="631" t="s">
        <v>3192</v>
      </c>
      <c r="O106" s="632"/>
      <c r="P106" s="630"/>
    </row>
    <row r="107" spans="1:16" ht="74.45" hidden="1" customHeight="1">
      <c r="A107" s="629" t="s">
        <v>936</v>
      </c>
      <c r="B107" s="630"/>
      <c r="C107" s="629" t="s">
        <v>5973</v>
      </c>
      <c r="D107" s="630"/>
      <c r="E107" s="629" t="s">
        <v>5972</v>
      </c>
      <c r="F107" s="632"/>
      <c r="G107" s="630"/>
      <c r="H107" s="629" t="s">
        <v>5972</v>
      </c>
      <c r="I107" s="632"/>
      <c r="J107" s="630"/>
      <c r="K107" s="629" t="s">
        <v>677</v>
      </c>
      <c r="L107" s="632"/>
      <c r="M107" s="630"/>
      <c r="N107" s="629" t="s">
        <v>3193</v>
      </c>
      <c r="O107" s="632"/>
      <c r="P107" s="630"/>
    </row>
    <row r="108" spans="1:16" ht="74.45" hidden="1" customHeight="1">
      <c r="A108" s="631" t="s">
        <v>936</v>
      </c>
      <c r="B108" s="630"/>
      <c r="C108" s="631" t="s">
        <v>5974</v>
      </c>
      <c r="D108" s="630"/>
      <c r="E108" s="631" t="s">
        <v>5972</v>
      </c>
      <c r="F108" s="632"/>
      <c r="G108" s="630"/>
      <c r="H108" s="631" t="s">
        <v>5972</v>
      </c>
      <c r="I108" s="632"/>
      <c r="J108" s="630"/>
      <c r="K108" s="631" t="s">
        <v>677</v>
      </c>
      <c r="L108" s="632"/>
      <c r="M108" s="630"/>
      <c r="N108" s="631" t="s">
        <v>3194</v>
      </c>
      <c r="O108" s="632"/>
      <c r="P108" s="630"/>
    </row>
    <row r="109" spans="1:16" ht="74.45" hidden="1" customHeight="1">
      <c r="A109" s="629" t="s">
        <v>936</v>
      </c>
      <c r="B109" s="630"/>
      <c r="C109" s="629" t="s">
        <v>5975</v>
      </c>
      <c r="D109" s="630"/>
      <c r="E109" s="629" t="s">
        <v>5976</v>
      </c>
      <c r="F109" s="632"/>
      <c r="G109" s="630"/>
      <c r="H109" s="629" t="s">
        <v>5972</v>
      </c>
      <c r="I109" s="632"/>
      <c r="J109" s="630"/>
      <c r="K109" s="629" t="s">
        <v>677</v>
      </c>
      <c r="L109" s="632"/>
      <c r="M109" s="630"/>
      <c r="N109" s="629" t="s">
        <v>3195</v>
      </c>
      <c r="O109" s="632"/>
      <c r="P109" s="630"/>
    </row>
    <row r="110" spans="1:16" ht="74.45" hidden="1" customHeight="1">
      <c r="A110" s="631" t="s">
        <v>936</v>
      </c>
      <c r="B110" s="630"/>
      <c r="C110" s="631" t="s">
        <v>5966</v>
      </c>
      <c r="D110" s="630"/>
      <c r="E110" s="631" t="s">
        <v>5966</v>
      </c>
      <c r="F110" s="632"/>
      <c r="G110" s="630"/>
      <c r="H110" s="631" t="s">
        <v>5966</v>
      </c>
      <c r="I110" s="632"/>
      <c r="J110" s="630"/>
      <c r="K110" s="631">
        <v>0</v>
      </c>
      <c r="L110" s="632"/>
      <c r="M110" s="630"/>
      <c r="N110" s="631">
        <v>0</v>
      </c>
      <c r="O110" s="632"/>
      <c r="P110" s="630"/>
    </row>
    <row r="111" spans="1:16" ht="74.45" hidden="1" customHeight="1">
      <c r="A111" s="629" t="s">
        <v>951</v>
      </c>
      <c r="B111" s="630"/>
      <c r="C111" s="629" t="s">
        <v>5977</v>
      </c>
      <c r="D111" s="630"/>
      <c r="E111" s="629" t="s">
        <v>5966</v>
      </c>
      <c r="F111" s="632"/>
      <c r="G111" s="630"/>
      <c r="H111" s="629" t="s">
        <v>5966</v>
      </c>
      <c r="I111" s="632"/>
      <c r="J111" s="630"/>
      <c r="K111" s="629">
        <v>0</v>
      </c>
      <c r="L111" s="632"/>
      <c r="M111" s="630"/>
      <c r="N111" s="629">
        <v>0</v>
      </c>
      <c r="O111" s="632"/>
      <c r="P111" s="630"/>
    </row>
    <row r="112" spans="1:16" ht="74.45" hidden="1" customHeight="1">
      <c r="A112" s="631" t="s">
        <v>951</v>
      </c>
      <c r="B112" s="630"/>
      <c r="C112" s="631" t="s">
        <v>5978</v>
      </c>
      <c r="D112" s="630"/>
      <c r="E112" s="631" t="s">
        <v>5979</v>
      </c>
      <c r="F112" s="632"/>
      <c r="G112" s="630"/>
      <c r="H112" s="631" t="s">
        <v>5980</v>
      </c>
      <c r="I112" s="632"/>
      <c r="J112" s="630"/>
      <c r="K112" s="631" t="s">
        <v>899</v>
      </c>
      <c r="L112" s="632"/>
      <c r="M112" s="630"/>
      <c r="N112" s="631" t="s">
        <v>959</v>
      </c>
      <c r="O112" s="632"/>
      <c r="P112" s="630"/>
    </row>
    <row r="113" spans="1:16" ht="74.45" hidden="1" customHeight="1">
      <c r="A113" s="629" t="s">
        <v>951</v>
      </c>
      <c r="B113" s="630"/>
      <c r="C113" s="629" t="s">
        <v>5971</v>
      </c>
      <c r="D113" s="630"/>
      <c r="E113" s="629" t="s">
        <v>5972</v>
      </c>
      <c r="F113" s="632"/>
      <c r="G113" s="630"/>
      <c r="H113" s="629" t="s">
        <v>5972</v>
      </c>
      <c r="I113" s="632"/>
      <c r="J113" s="630"/>
      <c r="K113" s="629" t="s">
        <v>677</v>
      </c>
      <c r="L113" s="632"/>
      <c r="M113" s="630"/>
      <c r="N113" s="629" t="s">
        <v>3196</v>
      </c>
      <c r="O113" s="632"/>
      <c r="P113" s="630"/>
    </row>
    <row r="114" spans="1:16" ht="74.45" hidden="1" customHeight="1">
      <c r="A114" s="631" t="s">
        <v>951</v>
      </c>
      <c r="B114" s="630"/>
      <c r="C114" s="631" t="s">
        <v>5973</v>
      </c>
      <c r="D114" s="630"/>
      <c r="E114" s="631" t="s">
        <v>5972</v>
      </c>
      <c r="F114" s="632"/>
      <c r="G114" s="630"/>
      <c r="H114" s="631" t="s">
        <v>5972</v>
      </c>
      <c r="I114" s="632"/>
      <c r="J114" s="630"/>
      <c r="K114" s="631" t="s">
        <v>677</v>
      </c>
      <c r="L114" s="632"/>
      <c r="M114" s="630"/>
      <c r="N114" s="631" t="s">
        <v>3197</v>
      </c>
      <c r="O114" s="632"/>
      <c r="P114" s="630"/>
    </row>
    <row r="115" spans="1:16" ht="74.45" hidden="1" customHeight="1">
      <c r="A115" s="629" t="s">
        <v>951</v>
      </c>
      <c r="B115" s="630"/>
      <c r="C115" s="629" t="s">
        <v>5974</v>
      </c>
      <c r="D115" s="630"/>
      <c r="E115" s="629" t="s">
        <v>5972</v>
      </c>
      <c r="F115" s="632"/>
      <c r="G115" s="630"/>
      <c r="H115" s="629" t="s">
        <v>5972</v>
      </c>
      <c r="I115" s="632"/>
      <c r="J115" s="630"/>
      <c r="K115" s="629" t="s">
        <v>677</v>
      </c>
      <c r="L115" s="632"/>
      <c r="M115" s="630"/>
      <c r="N115" s="629" t="s">
        <v>3198</v>
      </c>
      <c r="O115" s="632"/>
      <c r="P115" s="630"/>
    </row>
    <row r="116" spans="1:16" ht="74.45" hidden="1" customHeight="1">
      <c r="A116" s="631" t="s">
        <v>951</v>
      </c>
      <c r="B116" s="630"/>
      <c r="C116" s="631" t="s">
        <v>5981</v>
      </c>
      <c r="D116" s="630"/>
      <c r="E116" s="631" t="s">
        <v>1238</v>
      </c>
      <c r="F116" s="632"/>
      <c r="G116" s="630"/>
      <c r="H116" s="631" t="s">
        <v>5972</v>
      </c>
      <c r="I116" s="632"/>
      <c r="J116" s="630"/>
      <c r="K116" s="631" t="s">
        <v>677</v>
      </c>
      <c r="L116" s="632"/>
      <c r="M116" s="630"/>
      <c r="N116" s="631" t="s">
        <v>3199</v>
      </c>
      <c r="O116" s="632"/>
      <c r="P116" s="630"/>
    </row>
    <row r="117" spans="1:16" ht="74.45" hidden="1" customHeight="1">
      <c r="A117" s="629" t="s">
        <v>951</v>
      </c>
      <c r="B117" s="630"/>
      <c r="C117" s="629" t="s">
        <v>5966</v>
      </c>
      <c r="D117" s="630"/>
      <c r="E117" s="629" t="s">
        <v>5966</v>
      </c>
      <c r="F117" s="632"/>
      <c r="G117" s="630"/>
      <c r="H117" s="629" t="s">
        <v>5966</v>
      </c>
      <c r="I117" s="632"/>
      <c r="J117" s="630"/>
      <c r="K117" s="629">
        <v>0</v>
      </c>
      <c r="L117" s="632"/>
      <c r="M117" s="630"/>
      <c r="N117" s="629">
        <v>0</v>
      </c>
      <c r="O117" s="632"/>
      <c r="P117" s="630"/>
    </row>
    <row r="118" spans="1:16" ht="74.45" hidden="1" customHeight="1">
      <c r="A118" s="631" t="s">
        <v>964</v>
      </c>
      <c r="B118" s="630"/>
      <c r="C118" s="631" t="s">
        <v>5982</v>
      </c>
      <c r="D118" s="630"/>
      <c r="E118" s="631" t="s">
        <v>5966</v>
      </c>
      <c r="F118" s="632"/>
      <c r="G118" s="630"/>
      <c r="H118" s="631" t="s">
        <v>5966</v>
      </c>
      <c r="I118" s="632"/>
      <c r="J118" s="630"/>
      <c r="K118" s="631">
        <v>0</v>
      </c>
      <c r="L118" s="632"/>
      <c r="M118" s="630"/>
      <c r="N118" s="631">
        <v>0</v>
      </c>
      <c r="O118" s="632"/>
      <c r="P118" s="630"/>
    </row>
    <row r="119" spans="1:16" ht="74.45" hidden="1" customHeight="1">
      <c r="A119" s="629" t="s">
        <v>964</v>
      </c>
      <c r="B119" s="630"/>
      <c r="C119" s="629" t="s">
        <v>5983</v>
      </c>
      <c r="D119" s="630"/>
      <c r="E119" s="629" t="s">
        <v>5984</v>
      </c>
      <c r="F119" s="632"/>
      <c r="G119" s="630"/>
      <c r="H119" s="629" t="s">
        <v>5985</v>
      </c>
      <c r="I119" s="632"/>
      <c r="J119" s="630"/>
      <c r="K119" s="629" t="s">
        <v>899</v>
      </c>
      <c r="L119" s="632"/>
      <c r="M119" s="630"/>
      <c r="N119" s="629" t="s">
        <v>959</v>
      </c>
      <c r="O119" s="632"/>
      <c r="P119" s="630"/>
    </row>
    <row r="120" spans="1:16" ht="13.15" hidden="1" customHeight="1">
      <c r="A120" s="631" t="s">
        <v>964</v>
      </c>
      <c r="B120" s="630"/>
      <c r="C120" s="631" t="s">
        <v>5986</v>
      </c>
      <c r="D120" s="630"/>
      <c r="E120" s="631" t="s">
        <v>5972</v>
      </c>
      <c r="F120" s="632"/>
      <c r="G120" s="630"/>
      <c r="H120" s="631" t="s">
        <v>5972</v>
      </c>
      <c r="I120" s="632"/>
      <c r="J120" s="630"/>
      <c r="K120" s="631" t="s">
        <v>677</v>
      </c>
      <c r="L120" s="632"/>
      <c r="M120" s="630"/>
      <c r="N120" s="631" t="s">
        <v>3200</v>
      </c>
      <c r="O120" s="632"/>
      <c r="P120" s="630"/>
    </row>
    <row r="121" spans="1:16" ht="13.15" hidden="1" customHeight="1">
      <c r="A121" s="629" t="s">
        <v>964</v>
      </c>
      <c r="B121" s="630"/>
      <c r="C121" s="629" t="s">
        <v>5987</v>
      </c>
      <c r="D121" s="630"/>
      <c r="E121" s="629" t="s">
        <v>5972</v>
      </c>
      <c r="F121" s="632"/>
      <c r="G121" s="630"/>
      <c r="H121" s="629" t="s">
        <v>5972</v>
      </c>
      <c r="I121" s="632"/>
      <c r="J121" s="630"/>
      <c r="K121" s="629" t="s">
        <v>677</v>
      </c>
      <c r="L121" s="632"/>
      <c r="M121" s="630"/>
      <c r="N121" s="629" t="s">
        <v>3201</v>
      </c>
      <c r="O121" s="632"/>
      <c r="P121" s="630"/>
    </row>
    <row r="122" spans="1:16" ht="13.15" hidden="1" customHeight="1">
      <c r="A122" s="794"/>
      <c r="B122" s="632"/>
      <c r="C122" s="632"/>
      <c r="D122" s="632"/>
      <c r="E122" s="632"/>
      <c r="F122" s="632"/>
      <c r="G122" s="632"/>
      <c r="H122" s="632"/>
      <c r="I122" s="632"/>
      <c r="J122" s="632"/>
      <c r="K122" s="632"/>
      <c r="L122" s="632"/>
      <c r="M122" s="632"/>
      <c r="N122" s="632"/>
      <c r="O122" s="632"/>
      <c r="P122" s="630"/>
    </row>
    <row r="123" spans="1:16" ht="13.15" hidden="1" customHeight="1">
      <c r="A123" s="367"/>
      <c r="B123" s="367"/>
      <c r="C123" s="367"/>
      <c r="D123" s="367"/>
      <c r="E123" s="367"/>
      <c r="F123" s="367"/>
      <c r="G123" s="367"/>
      <c r="H123" s="367"/>
      <c r="I123" s="367"/>
      <c r="J123" s="367"/>
      <c r="K123" s="367"/>
      <c r="L123" s="367"/>
      <c r="M123" s="367"/>
      <c r="N123" s="367"/>
      <c r="O123" s="367"/>
      <c r="P123" s="367"/>
    </row>
    <row r="124" spans="1:16" ht="13.15" hidden="1" customHeight="1">
      <c r="A124" s="367"/>
      <c r="B124" s="367"/>
      <c r="C124" s="367"/>
      <c r="D124" s="367"/>
      <c r="E124" s="367"/>
      <c r="F124" s="367"/>
      <c r="G124" s="367"/>
      <c r="H124" s="367"/>
      <c r="I124" s="367"/>
      <c r="J124" s="367"/>
      <c r="K124" s="367"/>
      <c r="L124" s="367"/>
      <c r="M124" s="367"/>
      <c r="N124" s="367"/>
      <c r="O124" s="367"/>
      <c r="P124" s="367"/>
    </row>
    <row r="125" spans="1:16" ht="13.15" hidden="1" customHeight="1">
      <c r="A125" s="367"/>
      <c r="B125" s="367"/>
      <c r="C125" s="367"/>
      <c r="D125" s="367"/>
      <c r="E125" s="367"/>
      <c r="F125" s="367"/>
      <c r="G125" s="367"/>
      <c r="H125" s="367"/>
      <c r="I125" s="367"/>
      <c r="J125" s="367"/>
      <c r="K125" s="367"/>
      <c r="L125" s="367"/>
      <c r="M125" s="367"/>
      <c r="N125" s="367"/>
      <c r="O125" s="367"/>
      <c r="P125" s="367"/>
    </row>
    <row r="126" spans="1:16" ht="13.15" hidden="1" customHeight="1">
      <c r="A126" s="367"/>
      <c r="B126" s="367"/>
      <c r="C126" s="367"/>
      <c r="D126" s="367"/>
      <c r="E126" s="367"/>
      <c r="F126" s="367"/>
      <c r="G126" s="367"/>
      <c r="H126" s="367"/>
      <c r="I126" s="367"/>
      <c r="J126" s="367"/>
      <c r="K126" s="367"/>
      <c r="L126" s="367"/>
      <c r="M126" s="367"/>
      <c r="N126" s="367"/>
      <c r="O126" s="367"/>
      <c r="P126" s="367"/>
    </row>
    <row r="127" spans="1:16" ht="13.15" hidden="1" customHeight="1">
      <c r="A127" s="367"/>
      <c r="B127" s="367"/>
      <c r="C127" s="367"/>
      <c r="D127" s="367"/>
      <c r="E127" s="367"/>
      <c r="F127" s="367"/>
      <c r="G127" s="367"/>
      <c r="H127" s="367"/>
      <c r="I127" s="367"/>
      <c r="J127" s="367"/>
      <c r="K127" s="367"/>
      <c r="L127" s="367"/>
      <c r="M127" s="367"/>
      <c r="N127" s="367"/>
      <c r="O127" s="367"/>
      <c r="P127" s="367"/>
    </row>
    <row r="128" spans="1:16" ht="13.15" hidden="1" customHeight="1">
      <c r="A128" s="367"/>
      <c r="B128" s="367"/>
      <c r="C128" s="367"/>
      <c r="D128" s="367"/>
      <c r="E128" s="367"/>
      <c r="F128" s="367"/>
      <c r="G128" s="367"/>
      <c r="H128" s="367"/>
      <c r="I128" s="367"/>
      <c r="J128" s="367"/>
      <c r="K128" s="367"/>
      <c r="L128" s="367"/>
      <c r="M128" s="367"/>
      <c r="N128" s="367"/>
      <c r="O128" s="367"/>
      <c r="P128" s="367"/>
    </row>
    <row r="129" spans="1:16" ht="13.15" hidden="1" customHeight="1">
      <c r="A129" s="367"/>
      <c r="B129" s="367"/>
      <c r="C129" s="367"/>
      <c r="D129" s="367"/>
      <c r="E129" s="367"/>
      <c r="F129" s="367"/>
      <c r="G129" s="367"/>
      <c r="H129" s="367"/>
      <c r="I129" s="367"/>
      <c r="J129" s="367"/>
      <c r="K129" s="367"/>
      <c r="L129" s="367"/>
      <c r="M129" s="367"/>
      <c r="N129" s="367"/>
      <c r="O129" s="367"/>
      <c r="P129" s="367"/>
    </row>
    <row r="130" spans="1:16" ht="13.15" hidden="1" customHeight="1">
      <c r="A130" s="367"/>
      <c r="B130" s="367"/>
      <c r="C130" s="367"/>
      <c r="D130" s="367"/>
      <c r="E130" s="367"/>
      <c r="F130" s="367"/>
      <c r="G130" s="367"/>
      <c r="H130" s="367"/>
      <c r="I130" s="367"/>
      <c r="J130" s="367"/>
      <c r="K130" s="367"/>
      <c r="L130" s="367"/>
      <c r="M130" s="367"/>
      <c r="N130" s="367"/>
      <c r="O130" s="367"/>
      <c r="P130" s="367"/>
    </row>
    <row r="131" spans="1:16" ht="13.15" hidden="1" customHeight="1">
      <c r="A131" s="367"/>
      <c r="B131" s="367"/>
      <c r="C131" s="367"/>
      <c r="D131" s="367"/>
      <c r="E131" s="367"/>
      <c r="F131" s="367"/>
      <c r="G131" s="367"/>
      <c r="H131" s="367"/>
      <c r="I131" s="367"/>
      <c r="J131" s="367"/>
      <c r="K131" s="367"/>
      <c r="L131" s="367"/>
      <c r="M131" s="367"/>
      <c r="N131" s="367"/>
      <c r="O131" s="367"/>
      <c r="P131" s="367"/>
    </row>
    <row r="132" spans="1:16" ht="13.15" hidden="1" customHeight="1">
      <c r="A132" s="367"/>
      <c r="B132" s="367"/>
      <c r="C132" s="367"/>
      <c r="D132" s="367"/>
      <c r="E132" s="367"/>
      <c r="F132" s="367"/>
      <c r="G132" s="367"/>
      <c r="H132" s="367"/>
      <c r="I132" s="367"/>
      <c r="J132" s="367"/>
      <c r="K132" s="367"/>
      <c r="L132" s="367"/>
      <c r="M132" s="367"/>
      <c r="N132" s="367"/>
      <c r="O132" s="367"/>
      <c r="P132" s="367"/>
    </row>
    <row r="133" spans="1:16" ht="13.15" hidden="1" customHeight="1">
      <c r="A133" s="367"/>
      <c r="B133" s="367"/>
      <c r="C133" s="367"/>
      <c r="D133" s="367"/>
      <c r="E133" s="367"/>
      <c r="F133" s="367"/>
      <c r="G133" s="367"/>
      <c r="H133" s="367"/>
      <c r="I133" s="367"/>
      <c r="J133" s="367"/>
      <c r="K133" s="367"/>
      <c r="L133" s="367"/>
      <c r="M133" s="367"/>
      <c r="N133" s="367"/>
      <c r="O133" s="367"/>
      <c r="P133" s="367"/>
    </row>
    <row r="134" spans="1:16" ht="13.15" hidden="1" customHeight="1">
      <c r="A134" s="367"/>
      <c r="B134" s="367"/>
      <c r="C134" s="367"/>
      <c r="D134" s="367"/>
      <c r="E134" s="367"/>
      <c r="F134" s="367"/>
      <c r="G134" s="367"/>
      <c r="H134" s="367"/>
      <c r="I134" s="367"/>
      <c r="J134" s="367"/>
      <c r="K134" s="367"/>
      <c r="L134" s="367"/>
      <c r="M134" s="367"/>
      <c r="N134" s="367"/>
      <c r="O134" s="367"/>
      <c r="P134" s="367"/>
    </row>
    <row r="135" spans="1:16" ht="13.15" hidden="1" customHeight="1">
      <c r="A135" s="367"/>
      <c r="B135" s="367"/>
      <c r="C135" s="367"/>
      <c r="D135" s="367"/>
      <c r="E135" s="367"/>
      <c r="F135" s="367"/>
      <c r="G135" s="367"/>
      <c r="H135" s="367"/>
      <c r="I135" s="367"/>
      <c r="J135" s="367"/>
      <c r="K135" s="367"/>
      <c r="L135" s="367"/>
      <c r="M135" s="367"/>
      <c r="N135" s="367"/>
      <c r="O135" s="367"/>
      <c r="P135" s="367"/>
    </row>
    <row r="136" spans="1:16" ht="13.15" hidden="1" customHeight="1">
      <c r="A136" s="367"/>
      <c r="B136" s="367"/>
      <c r="C136" s="367"/>
      <c r="D136" s="367"/>
      <c r="E136" s="367"/>
      <c r="F136" s="367"/>
      <c r="G136" s="367"/>
      <c r="H136" s="367"/>
      <c r="I136" s="367"/>
      <c r="J136" s="367"/>
      <c r="K136" s="367"/>
      <c r="L136" s="367"/>
      <c r="M136" s="367"/>
      <c r="N136" s="367"/>
      <c r="O136" s="367"/>
      <c r="P136" s="367"/>
    </row>
    <row r="137" spans="1:16" ht="13.15" hidden="1" customHeight="1">
      <c r="A137" s="367"/>
      <c r="B137" s="367"/>
      <c r="C137" s="367"/>
      <c r="D137" s="367"/>
      <c r="E137" s="367"/>
      <c r="F137" s="367"/>
      <c r="G137" s="367"/>
      <c r="H137" s="367"/>
      <c r="I137" s="367"/>
      <c r="J137" s="367"/>
      <c r="K137" s="367"/>
      <c r="L137" s="367"/>
      <c r="M137" s="367"/>
      <c r="N137" s="367"/>
      <c r="O137" s="367"/>
      <c r="P137" s="367"/>
    </row>
    <row r="138" spans="1:16" ht="13.15" hidden="1" customHeight="1">
      <c r="A138" s="367"/>
      <c r="B138" s="367"/>
      <c r="C138" s="367"/>
      <c r="D138" s="367"/>
      <c r="E138" s="367"/>
      <c r="F138" s="367"/>
      <c r="G138" s="367"/>
      <c r="H138" s="367"/>
      <c r="I138" s="367"/>
      <c r="J138" s="367"/>
      <c r="K138" s="367"/>
      <c r="L138" s="367"/>
      <c r="M138" s="367"/>
      <c r="N138" s="367"/>
      <c r="O138" s="367"/>
      <c r="P138" s="367"/>
    </row>
    <row r="139" spans="1:16" ht="13.15" hidden="1" customHeight="1">
      <c r="A139" s="367"/>
      <c r="B139" s="367"/>
      <c r="C139" s="367"/>
      <c r="D139" s="367"/>
      <c r="E139" s="367"/>
      <c r="F139" s="367"/>
      <c r="G139" s="367"/>
      <c r="H139" s="367"/>
      <c r="I139" s="367"/>
      <c r="J139" s="367"/>
      <c r="K139" s="367"/>
      <c r="L139" s="367"/>
      <c r="M139" s="367"/>
      <c r="N139" s="367"/>
      <c r="O139" s="367"/>
      <c r="P139" s="367"/>
    </row>
    <row r="140" spans="1:16" ht="13.15" hidden="1" customHeight="1">
      <c r="A140" s="367"/>
      <c r="B140" s="367"/>
      <c r="C140" s="367"/>
      <c r="D140" s="367"/>
      <c r="E140" s="367"/>
      <c r="F140" s="367"/>
      <c r="G140" s="367"/>
      <c r="H140" s="367"/>
      <c r="I140" s="367"/>
      <c r="J140" s="367"/>
      <c r="K140" s="367"/>
      <c r="L140" s="367"/>
      <c r="M140" s="367"/>
      <c r="N140" s="367"/>
      <c r="O140" s="367"/>
      <c r="P140" s="367"/>
    </row>
    <row r="141" spans="1:16" ht="13.15" hidden="1" customHeight="1">
      <c r="A141" s="367"/>
      <c r="B141" s="367"/>
      <c r="C141" s="367"/>
      <c r="D141" s="367"/>
      <c r="E141" s="367"/>
      <c r="F141" s="367"/>
      <c r="G141" s="367"/>
      <c r="H141" s="367"/>
      <c r="I141" s="367"/>
      <c r="J141" s="367"/>
      <c r="K141" s="367"/>
      <c r="L141" s="367"/>
      <c r="M141" s="367"/>
      <c r="N141" s="367"/>
      <c r="O141" s="367"/>
      <c r="P141" s="367"/>
    </row>
    <row r="142" spans="1:16" ht="13.15" hidden="1" customHeight="1">
      <c r="A142" s="367"/>
      <c r="B142" s="367"/>
      <c r="C142" s="367"/>
      <c r="D142" s="367"/>
      <c r="E142" s="367"/>
      <c r="F142" s="367"/>
      <c r="G142" s="367"/>
      <c r="H142" s="367"/>
      <c r="I142" s="367"/>
      <c r="J142" s="367"/>
      <c r="K142" s="367"/>
      <c r="L142" s="367"/>
      <c r="M142" s="367"/>
      <c r="N142" s="367"/>
      <c r="O142" s="367"/>
      <c r="P142" s="367"/>
    </row>
    <row r="143" spans="1:16" ht="13.15" hidden="1" customHeight="1">
      <c r="A143" s="367"/>
      <c r="B143" s="367"/>
      <c r="C143" s="367"/>
      <c r="D143" s="367"/>
      <c r="E143" s="367"/>
      <c r="F143" s="367"/>
      <c r="G143" s="367"/>
      <c r="H143" s="367"/>
      <c r="I143" s="367"/>
      <c r="J143" s="367"/>
      <c r="K143" s="367"/>
      <c r="L143" s="367"/>
      <c r="M143" s="367"/>
      <c r="N143" s="367"/>
      <c r="O143" s="367"/>
      <c r="P143" s="367"/>
    </row>
    <row r="144" spans="1:16" ht="13.15" hidden="1" customHeight="1">
      <c r="A144" s="367"/>
      <c r="B144" s="367"/>
      <c r="C144" s="367"/>
      <c r="D144" s="367"/>
      <c r="E144" s="367"/>
      <c r="F144" s="367"/>
      <c r="G144" s="367"/>
      <c r="H144" s="367"/>
      <c r="I144" s="367"/>
      <c r="J144" s="367"/>
      <c r="K144" s="367"/>
      <c r="L144" s="367"/>
      <c r="M144" s="367"/>
      <c r="N144" s="367"/>
      <c r="O144" s="367"/>
      <c r="P144" s="367"/>
    </row>
    <row r="145" spans="1:16" ht="13.15" hidden="1" customHeight="1">
      <c r="A145" s="367"/>
      <c r="B145" s="367"/>
      <c r="C145" s="367"/>
      <c r="D145" s="367"/>
      <c r="E145" s="367"/>
      <c r="F145" s="367"/>
      <c r="G145" s="367"/>
      <c r="H145" s="367"/>
      <c r="I145" s="367"/>
      <c r="J145" s="367"/>
      <c r="K145" s="367"/>
      <c r="L145" s="367"/>
      <c r="M145" s="367"/>
      <c r="N145" s="367"/>
      <c r="O145" s="367"/>
      <c r="P145" s="367"/>
    </row>
    <row r="146" spans="1:16" ht="13.15" hidden="1" customHeight="1">
      <c r="A146" s="367"/>
      <c r="B146" s="367"/>
      <c r="C146" s="367"/>
      <c r="D146" s="367"/>
      <c r="E146" s="367"/>
      <c r="F146" s="367"/>
      <c r="G146" s="367"/>
      <c r="H146" s="367"/>
      <c r="I146" s="367"/>
      <c r="J146" s="367"/>
      <c r="K146" s="367"/>
      <c r="L146" s="367"/>
      <c r="M146" s="367"/>
      <c r="N146" s="367"/>
      <c r="O146" s="367"/>
      <c r="P146" s="367"/>
    </row>
    <row r="147" spans="1:16" ht="13.15" hidden="1" customHeight="1">
      <c r="A147" s="367"/>
      <c r="B147" s="367"/>
      <c r="C147" s="367"/>
      <c r="D147" s="367"/>
      <c r="E147" s="367"/>
      <c r="F147" s="367"/>
      <c r="G147" s="367"/>
      <c r="H147" s="367"/>
      <c r="I147" s="367"/>
      <c r="J147" s="367"/>
      <c r="K147" s="367"/>
      <c r="L147" s="367"/>
      <c r="M147" s="367"/>
      <c r="N147" s="367"/>
      <c r="O147" s="367"/>
      <c r="P147" s="367"/>
    </row>
    <row r="148" spans="1:16" ht="13.15" hidden="1" customHeight="1">
      <c r="A148" s="368"/>
      <c r="B148" s="368"/>
      <c r="C148" s="368"/>
      <c r="D148" s="368"/>
      <c r="E148" s="368"/>
      <c r="F148" s="368"/>
      <c r="G148" s="368"/>
      <c r="H148" s="368"/>
      <c r="I148" s="368"/>
      <c r="J148" s="368"/>
      <c r="K148" s="368"/>
      <c r="L148" s="368"/>
      <c r="M148" s="368"/>
      <c r="N148" s="368"/>
      <c r="O148" s="368"/>
      <c r="P148" s="368"/>
    </row>
    <row r="149" spans="1:16" ht="13.15" hidden="1" customHeight="1">
      <c r="A149" s="368"/>
      <c r="B149" s="368"/>
      <c r="C149" s="368"/>
      <c r="D149" s="368"/>
      <c r="E149" s="368"/>
      <c r="F149" s="368"/>
      <c r="G149" s="368"/>
      <c r="H149" s="368"/>
      <c r="I149" s="368"/>
      <c r="J149" s="368"/>
      <c r="K149" s="368"/>
      <c r="L149" s="368"/>
      <c r="M149" s="368"/>
      <c r="N149" s="368"/>
      <c r="O149" s="368"/>
      <c r="P149" s="368"/>
    </row>
    <row r="150" spans="1:16" ht="13.15" customHeight="1">
      <c r="A150" s="368"/>
      <c r="B150" s="368"/>
      <c r="C150" s="368"/>
      <c r="D150" s="368"/>
      <c r="E150" s="368"/>
      <c r="F150" s="368"/>
      <c r="G150" s="368"/>
      <c r="H150" s="368"/>
      <c r="I150" s="368"/>
      <c r="J150" s="368"/>
      <c r="K150" s="368"/>
      <c r="L150" s="368"/>
      <c r="M150" s="368"/>
      <c r="N150" s="368"/>
      <c r="O150" s="368"/>
      <c r="P150" s="368"/>
    </row>
    <row r="151" spans="1:16" ht="13.15" customHeight="1">
      <c r="A151" s="368"/>
      <c r="B151" s="368"/>
      <c r="C151" s="368"/>
      <c r="D151" s="368"/>
      <c r="E151" s="368"/>
      <c r="F151" s="368"/>
      <c r="G151" s="368"/>
      <c r="H151" s="368"/>
      <c r="I151" s="368"/>
      <c r="J151" s="368"/>
      <c r="K151" s="368"/>
      <c r="L151" s="368"/>
      <c r="M151" s="368"/>
      <c r="N151" s="368"/>
      <c r="O151" s="368"/>
      <c r="P151" s="368"/>
    </row>
    <row r="152" spans="1:16" ht="13.15" customHeight="1">
      <c r="A152" s="368"/>
      <c r="B152" s="368"/>
      <c r="C152" s="368"/>
      <c r="D152" s="368"/>
      <c r="E152" s="368"/>
      <c r="F152" s="368"/>
      <c r="G152" s="368"/>
      <c r="H152" s="368"/>
      <c r="I152" s="368"/>
      <c r="J152" s="368"/>
      <c r="K152" s="368"/>
      <c r="L152" s="368"/>
      <c r="M152" s="368"/>
      <c r="N152" s="368"/>
      <c r="O152" s="368"/>
      <c r="P152" s="368"/>
    </row>
    <row r="153" spans="1:16" ht="13.15" customHeight="1">
      <c r="A153" s="368"/>
      <c r="B153" s="368"/>
      <c r="C153" s="368"/>
      <c r="D153" s="368"/>
      <c r="E153" s="368"/>
      <c r="F153" s="368"/>
      <c r="G153" s="368"/>
      <c r="H153" s="368"/>
      <c r="I153" s="368"/>
      <c r="J153" s="368"/>
      <c r="K153" s="368"/>
      <c r="L153" s="368"/>
      <c r="M153" s="368"/>
      <c r="N153" s="368"/>
      <c r="O153" s="368"/>
      <c r="P153" s="368"/>
    </row>
  </sheetData>
  <mergeCells count="239">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1:B101"/>
    <mergeCell ref="C101:D101"/>
    <mergeCell ref="E101:G101"/>
    <mergeCell ref="H101:J101"/>
    <mergeCell ref="K101:M101"/>
    <mergeCell ref="N101:P101"/>
    <mergeCell ref="A100:B100"/>
    <mergeCell ref="C100:D100"/>
    <mergeCell ref="E100:G100"/>
    <mergeCell ref="H100:J100"/>
    <mergeCell ref="K100:M100"/>
    <mergeCell ref="N100:P100"/>
    <mergeCell ref="A99:B99"/>
    <mergeCell ref="C99:D99"/>
    <mergeCell ref="E99:G99"/>
    <mergeCell ref="H99:J99"/>
    <mergeCell ref="K99:M99"/>
    <mergeCell ref="N99:P99"/>
    <mergeCell ref="A98:B98"/>
    <mergeCell ref="C98:D98"/>
    <mergeCell ref="E98:G98"/>
    <mergeCell ref="H98:J98"/>
    <mergeCell ref="K98:M98"/>
    <mergeCell ref="N98:P98"/>
    <mergeCell ref="A97:B97"/>
    <mergeCell ref="C97:D97"/>
    <mergeCell ref="E97:G97"/>
    <mergeCell ref="H97:J97"/>
    <mergeCell ref="K97:M97"/>
    <mergeCell ref="N97:P97"/>
    <mergeCell ref="A95:P95"/>
    <mergeCell ref="A96:B96"/>
    <mergeCell ref="C96:D96"/>
    <mergeCell ref="E96:G96"/>
    <mergeCell ref="H96:J96"/>
    <mergeCell ref="K96:M96"/>
    <mergeCell ref="N96:P96"/>
    <mergeCell ref="A78:H84"/>
    <mergeCell ref="I78:P84"/>
    <mergeCell ref="I85:P91"/>
    <mergeCell ref="A92:P93"/>
    <mergeCell ref="A94:P94"/>
    <mergeCell ref="A60:H60"/>
    <mergeCell ref="I60:P60"/>
    <mergeCell ref="A61:P68"/>
    <mergeCell ref="A69:P69"/>
    <mergeCell ref="A70:P70"/>
    <mergeCell ref="A71:H77"/>
    <mergeCell ref="I71:P77"/>
    <mergeCell ref="A85:H91"/>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G18:H18"/>
    <mergeCell ref="J18:J19"/>
    <mergeCell ref="L18:L19"/>
    <mergeCell ref="L13:M13"/>
    <mergeCell ref="B14:C14"/>
    <mergeCell ref="D14:E14"/>
    <mergeCell ref="F14:G14"/>
    <mergeCell ref="H14:I14"/>
    <mergeCell ref="J14:K14"/>
    <mergeCell ref="L14:M14"/>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s>
  <conditionalFormatting sqref="D24:E24">
    <cfRule type="expression" dxfId="1734" priority="33">
      <formula>OR(ISNUMBER(SEARCH("Red",D24)),ISNUMBER(SEARCH("Critical",D24)),ISNUMBER(SEARCH("SHUTDOWN",D24)))</formula>
    </cfRule>
    <cfRule type="expression" dxfId="1733" priority="34">
      <formula>OR(ISNUMBER(SEARCH("Green",D24)),ISNUMBER(SEARCH("Ready",D24)))</formula>
    </cfRule>
    <cfRule type="expression" dxfId="1732"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26" priority="31">
      <formula>OR(ISNUMBER(SEARCH("Yellow",F19)),ISNUMBER(SEARCH("Question",F19)))</formula>
    </cfRule>
  </conditionalFormatting>
  <conditionalFormatting sqref="Q16:T17 P19 D22:E22">
    <cfRule type="expression" dxfId="1715"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defaultRowHeight="12.75"/>
  <cols>
    <col min="1" max="16" width="13" customWidth="1"/>
  </cols>
  <sheetData>
    <row r="1" spans="1:16" ht="24" customHeight="1">
      <c r="A1" s="796" t="s">
        <v>5557</v>
      </c>
      <c r="B1" s="796"/>
      <c r="C1" s="796"/>
      <c r="D1" s="796"/>
      <c r="E1" s="796"/>
      <c r="F1" s="796"/>
      <c r="G1" s="796"/>
      <c r="H1" s="796"/>
      <c r="I1" s="796"/>
      <c r="J1" s="796"/>
      <c r="K1" s="796"/>
      <c r="L1" s="796"/>
      <c r="M1" s="796"/>
      <c r="N1" s="796"/>
      <c r="O1" s="796"/>
      <c r="P1" s="796"/>
    </row>
    <row r="2" spans="1:16" ht="30" customHeight="1">
      <c r="A2" s="797" t="s">
        <v>5558</v>
      </c>
      <c r="B2" s="798"/>
      <c r="C2" s="798"/>
      <c r="D2" s="798"/>
      <c r="E2" s="798"/>
      <c r="F2" s="798"/>
      <c r="G2" s="798"/>
      <c r="H2" s="798"/>
      <c r="I2" s="798"/>
      <c r="J2" s="798"/>
      <c r="K2" s="798"/>
      <c r="L2" s="798"/>
      <c r="M2" s="798"/>
      <c r="N2" s="798"/>
      <c r="O2" s="798"/>
      <c r="P2" s="799"/>
    </row>
    <row r="3" spans="1:16" ht="54" customHeight="1">
      <c r="A3" s="800"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50%  █████░░░░░
⚠ 0   ❓ 0
↗ OPEN</v>
      </c>
      <c r="B3" s="801"/>
      <c r="C3" s="801"/>
      <c r="D3" s="802"/>
      <c r="E3" s="633"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50%  █████░░░░░
⚠ 0   ❓ 0
↗ OPEN</v>
      </c>
      <c r="F3" s="634"/>
      <c r="G3" s="634"/>
      <c r="H3" s="635"/>
      <c r="I3" s="633"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50%  █████░░░░░
⚠ 0   ❓ 0
↗ OPEN</v>
      </c>
      <c r="J3" s="634"/>
      <c r="K3" s="634"/>
      <c r="L3" s="635"/>
      <c r="M3" s="633"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50%  █████░░░░░
⚠ 0   ❓ 0
↗ OPEN</v>
      </c>
      <c r="N3" s="634"/>
      <c r="O3" s="634"/>
      <c r="P3" s="635"/>
    </row>
    <row r="4" spans="1:16" ht="54" customHeight="1">
      <c r="A4" s="633"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50%  █████░░░░░
⚠ 0   ❓ 0
↗ OPEN</v>
      </c>
      <c r="B4" s="634"/>
      <c r="C4" s="634"/>
      <c r="D4" s="635"/>
      <c r="E4" s="633"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50%  █████░░░░░
⚠ 0   ❓ 0
↗ OPEN</v>
      </c>
      <c r="F4" s="634"/>
      <c r="G4" s="634"/>
      <c r="H4" s="635"/>
      <c r="I4" s="633"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50%  █████░░░░░
⚠ 0   ❓ 0
↗ OPEN</v>
      </c>
      <c r="J4" s="634"/>
      <c r="K4" s="634"/>
      <c r="L4" s="635"/>
      <c r="M4" s="633"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50%  █████░░░░░
⚠ 0   ❓ 0
↗ OPEN</v>
      </c>
      <c r="N4" s="634"/>
      <c r="O4" s="634"/>
      <c r="P4" s="635"/>
    </row>
    <row r="5" spans="1:16" ht="54" customHeight="1">
      <c r="A5" s="633"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50%  █████░░░░░
⚠ 0   ❓ 0
↗ OPEN</v>
      </c>
      <c r="B5" s="634"/>
      <c r="C5" s="634"/>
      <c r="D5" s="635"/>
      <c r="E5" s="633"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50%  █████░░░░░
⚠ 0   ❓ 0
↗ OPEN</v>
      </c>
      <c r="F5" s="634"/>
      <c r="G5" s="634"/>
      <c r="H5" s="635"/>
      <c r="I5" s="633"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50%  █████░░░░░
⚠ 0   ❓ 0
↗ OPEN</v>
      </c>
      <c r="J5" s="634"/>
      <c r="K5" s="634"/>
      <c r="L5" s="635"/>
      <c r="M5" s="633"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50%  █████░░░░░
⚠ 0   ❓ 0
↗ OPEN</v>
      </c>
      <c r="N5" s="634"/>
      <c r="O5" s="634"/>
      <c r="P5" s="635"/>
    </row>
    <row r="6" spans="1:16" ht="54" customHeight="1">
      <c r="A6" s="633"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50%  █████░░░░░
⚠ 0   ❓ 0
↗ OPEN</v>
      </c>
      <c r="B6" s="634"/>
      <c r="C6" s="634"/>
      <c r="D6" s="635"/>
      <c r="E6" s="633"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50%  █████░░░░░
⚠ 0   ❓ 0
↗ OPEN</v>
      </c>
      <c r="F6" s="634"/>
      <c r="G6" s="634"/>
      <c r="H6" s="635"/>
      <c r="I6" s="633"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50%  █████░░░░░
⚠ 0   ❓ 0
↗ OPEN</v>
      </c>
      <c r="J6" s="634"/>
      <c r="K6" s="634"/>
      <c r="L6" s="635"/>
      <c r="M6" s="633"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50%  █████░░░░░
⚠ 0   ❓ 0
↗ OPEN</v>
      </c>
      <c r="N6" s="634"/>
      <c r="O6" s="634"/>
      <c r="P6" s="635"/>
    </row>
    <row r="7" spans="1:16" ht="54" customHeight="1">
      <c r="A7" s="633"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50%  █████░░░░░
⚠ 0   ❓ 0
↗ OPEN</v>
      </c>
      <c r="B7" s="634"/>
      <c r="C7" s="634"/>
      <c r="D7" s="635"/>
      <c r="E7" s="633"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50%  █████░░░░░
⚠ 0   ❓ 0
↗ OPEN</v>
      </c>
      <c r="F7" s="634"/>
      <c r="G7" s="634"/>
      <c r="H7" s="635"/>
      <c r="I7" s="633"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50%  █████░░░░░
⚠ 0   ❓ 0
↗ OPEN</v>
      </c>
      <c r="J7" s="634"/>
      <c r="K7" s="634"/>
      <c r="L7" s="635"/>
      <c r="M7" s="633"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50%  █████░░░░░
⚠ 0   ❓ 0
↗ OPEN</v>
      </c>
      <c r="N7" s="634"/>
      <c r="O7" s="634"/>
      <c r="P7" s="635"/>
    </row>
    <row r="8" spans="1:16" ht="54" customHeight="1">
      <c r="A8" s="633"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50%  █████░░░░░
⚠ 0   ❓ 0
↗ OPEN</v>
      </c>
      <c r="B8" s="634"/>
      <c r="C8" s="634"/>
      <c r="D8" s="635"/>
      <c r="E8" s="809"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0%  ░░░░░░░░░░
⚠ 0   ❓ 0
↗ OPEN</v>
      </c>
      <c r="F8" s="810"/>
      <c r="G8" s="810"/>
      <c r="H8" s="811"/>
      <c r="I8" s="633"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50%  █████░░░░░
⚠ 0   ❓ 0
↗ OPEN</v>
      </c>
      <c r="J8" s="634"/>
      <c r="K8" s="634"/>
      <c r="L8" s="635"/>
      <c r="M8" s="633"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50%  █████░░░░░
⚠ 0   ❓ 0
↗ OPEN</v>
      </c>
      <c r="N8" s="634"/>
      <c r="O8" s="634"/>
      <c r="P8" s="635"/>
    </row>
    <row r="9" spans="1:16" ht="54" customHeight="1">
      <c r="A9" s="633"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50%  █████░░░░░
⚠ 0   ❓ 0
↗ OPEN</v>
      </c>
      <c r="B9" s="634"/>
      <c r="C9" s="634"/>
      <c r="D9" s="635"/>
      <c r="E9" s="633"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50%  █████░░░░░
⚠ 0   ❓ 0
↗ OPEN</v>
      </c>
      <c r="F9" s="634"/>
      <c r="G9" s="634"/>
      <c r="H9" s="635"/>
      <c r="I9" s="633"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50%  █████░░░░░
⚠ 0   ❓ 0
↗ OPEN</v>
      </c>
      <c r="J9" s="634"/>
      <c r="K9" s="634"/>
      <c r="L9" s="635"/>
      <c r="M9" s="633"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50%  █████░░░░░
⚠ 0   ❓ 0
↗ OPEN</v>
      </c>
      <c r="N9" s="634"/>
      <c r="O9" s="634"/>
      <c r="P9" s="635"/>
    </row>
    <row r="10" spans="1:16" ht="58.15" customHeight="1">
      <c r="A10" s="803"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50%  █████░░░░░
⚠ 0   ❓ 0
↗ OPEN</v>
      </c>
      <c r="B10" s="804"/>
      <c r="C10" s="804"/>
      <c r="D10" s="805"/>
      <c r="E10" s="806"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50%  █████░░░░░
⚠ 0   ❓ 0
↗ OPEN</v>
      </c>
      <c r="F10" s="807"/>
      <c r="G10" s="807"/>
      <c r="H10" s="808"/>
      <c r="I10" s="806"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807"/>
      <c r="K10" s="807"/>
      <c r="L10" s="808"/>
      <c r="M10" s="250"/>
      <c r="N10" s="251"/>
      <c r="O10" s="251"/>
      <c r="P10" s="252"/>
    </row>
  </sheetData>
  <mergeCells count="33">
    <mergeCell ref="A10:D10"/>
    <mergeCell ref="E10:H10"/>
    <mergeCell ref="I10:L10"/>
    <mergeCell ref="A8:D8"/>
    <mergeCell ref="E8:H8"/>
    <mergeCell ref="I8:L8"/>
    <mergeCell ref="M8:P8"/>
    <mergeCell ref="A9:D9"/>
    <mergeCell ref="E9:H9"/>
    <mergeCell ref="I9:L9"/>
    <mergeCell ref="M9:P9"/>
    <mergeCell ref="A6:D6"/>
    <mergeCell ref="E6:H6"/>
    <mergeCell ref="I6:L6"/>
    <mergeCell ref="M6:P6"/>
    <mergeCell ref="A7:D7"/>
    <mergeCell ref="E7:H7"/>
    <mergeCell ref="I7:L7"/>
    <mergeCell ref="M7:P7"/>
    <mergeCell ref="A4:D4"/>
    <mergeCell ref="E4:H4"/>
    <mergeCell ref="I4:L4"/>
    <mergeCell ref="M4:P4"/>
    <mergeCell ref="A5:D5"/>
    <mergeCell ref="E5:H5"/>
    <mergeCell ref="I5:L5"/>
    <mergeCell ref="M5:P5"/>
    <mergeCell ref="A1:P1"/>
    <mergeCell ref="A2:P2"/>
    <mergeCell ref="A3:D3"/>
    <mergeCell ref="E3:H3"/>
    <mergeCell ref="I3:L3"/>
    <mergeCell ref="M3:P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A8:D8</xm:sqref>
        </x14:conditionalFormatting>
        <x14:conditionalFormatting xmlns:xm="http://schemas.microsoft.com/office/excel/2006/main">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A9:D9</xm:sqref>
        </x14:conditionalFormatting>
        <x14:conditionalFormatting xmlns:xm="http://schemas.microsoft.com/office/excel/2006/main">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A10:D10</xm:sqref>
        </x14:conditionalFormatting>
        <x14:conditionalFormatting xmlns:xm="http://schemas.microsoft.com/office/excel/2006/main">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E5:H5</xm:sqref>
        </x14:conditionalFormatting>
        <x14:conditionalFormatting xmlns:xm="http://schemas.microsoft.com/office/excel/2006/main">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E6:H6</xm:sqref>
        </x14:conditionalFormatting>
        <x14:conditionalFormatting xmlns:xm="http://schemas.microsoft.com/office/excel/2006/main">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E7:H7</xm:sqref>
        </x14:conditionalFormatting>
        <x14:conditionalFormatting xmlns:xm="http://schemas.microsoft.com/office/excel/2006/main">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I4:L4</xm:sqref>
        </x14:conditionalFormatting>
        <x14:conditionalFormatting xmlns:xm="http://schemas.microsoft.com/office/excel/2006/main">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I5:L5</xm:sqref>
        </x14:conditionalFormatting>
        <x14:conditionalFormatting xmlns:xm="http://schemas.microsoft.com/office/excel/2006/main">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I6:L6</xm:sqref>
        </x14:conditionalFormatting>
        <x14:conditionalFormatting xmlns:xm="http://schemas.microsoft.com/office/excel/2006/main">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m:sqref>I9:L9</xm:sqref>
        </x14:conditionalFormatting>
        <x14:conditionalFormatting xmlns:xm="http://schemas.microsoft.com/office/excel/2006/main">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M3:P3</xm:sqref>
        </x14:conditionalFormatting>
        <x14:conditionalFormatting xmlns:xm="http://schemas.microsoft.com/office/excel/2006/main">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m:sqref>M4:P4</xm:sqref>
        </x14:conditionalFormatting>
        <x14:conditionalFormatting xmlns:xm="http://schemas.microsoft.com/office/excel/2006/main">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M7:P7</xm:sqref>
        </x14:conditionalFormatting>
        <x14:conditionalFormatting xmlns:xm="http://schemas.microsoft.com/office/excel/2006/main">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m:sqref>M8:P8</xm:sqref>
        </x14:conditionalFormatting>
        <x14:conditionalFormatting xmlns:xm="http://schemas.microsoft.com/office/excel/2006/main">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topLeftCell="A44" zoomScale="50" zoomScaleNormal="50" workbookViewId="0">
      <selection activeCell="O23" sqref="O23:Q23"/>
    </sheetView>
  </sheetViews>
  <sheetFormatPr defaultColWidth="8.85546875" defaultRowHeight="12.75"/>
  <cols>
    <col min="1" max="1" width="12.28515625" style="192" customWidth="1"/>
    <col min="2" max="2" width="13.5703125" style="192" customWidth="1"/>
    <col min="3" max="3" width="11.28515625" style="192" customWidth="1"/>
    <col min="4" max="4" width="16.5703125" style="192" customWidth="1"/>
    <col min="5" max="5" width="19.140625" style="192" customWidth="1"/>
    <col min="6" max="6" width="9.42578125" style="192" customWidth="1"/>
    <col min="7" max="7" width="13.28515625" style="192" customWidth="1"/>
    <col min="8" max="8" width="15.5703125" style="192" customWidth="1"/>
    <col min="9" max="9" width="15.28515625" style="192" customWidth="1"/>
    <col min="10" max="10" width="11.5703125" style="192" customWidth="1"/>
    <col min="11" max="11" width="17.140625" style="192" customWidth="1"/>
    <col min="12" max="12" width="15.85546875" style="192" customWidth="1"/>
    <col min="13" max="13" width="25.42578125" style="192" customWidth="1"/>
    <col min="14" max="14" width="11.28515625" style="192" customWidth="1"/>
    <col min="15" max="15" width="19.42578125" style="192" customWidth="1"/>
    <col min="16" max="16" width="25" style="192" customWidth="1"/>
    <col min="17" max="17" width="22.7109375" style="192" customWidth="1"/>
    <col min="18" max="18" width="11.7109375" style="192" customWidth="1"/>
    <col min="19" max="19" width="9.42578125" style="192" customWidth="1"/>
    <col min="20" max="20" width="13.28515625" style="192" customWidth="1"/>
    <col min="21" max="22" width="9.42578125" style="192" customWidth="1"/>
    <col min="23" max="23" width="11.140625" style="192" customWidth="1"/>
    <col min="24" max="24" width="9.42578125" style="192" customWidth="1"/>
    <col min="25" max="25" width="8.140625" style="192" customWidth="1"/>
    <col min="26" max="26" width="3.7109375" style="192" customWidth="1"/>
    <col min="27" max="27" width="9.42578125" style="192" customWidth="1"/>
    <col min="28" max="28" width="1.7109375" style="192" customWidth="1"/>
    <col min="29" max="31" width="9.42578125" style="192" customWidth="1"/>
    <col min="32" max="16384" width="8.85546875" style="192"/>
  </cols>
  <sheetData>
    <row r="1" spans="1:31" ht="34.15" customHeight="1">
      <c r="A1" s="846" t="s">
        <v>5468</v>
      </c>
      <c r="B1" s="847"/>
      <c r="C1" s="847"/>
      <c r="D1" s="847"/>
      <c r="E1" s="848" t="s">
        <v>5469</v>
      </c>
      <c r="F1" s="847"/>
      <c r="G1" s="847"/>
      <c r="H1" s="847"/>
      <c r="I1" s="847"/>
      <c r="J1" s="847"/>
      <c r="K1" s="847"/>
      <c r="L1" s="847"/>
      <c r="M1" s="847"/>
      <c r="N1" s="847"/>
      <c r="O1" s="847"/>
      <c r="P1" s="847"/>
      <c r="Q1" s="847"/>
      <c r="R1" s="847"/>
      <c r="S1" s="847"/>
      <c r="T1" s="847"/>
      <c r="U1" s="847"/>
      <c r="V1" s="847"/>
      <c r="W1" s="847"/>
      <c r="X1" s="240"/>
      <c r="Y1" s="849">
        <f ca="1">TODAY()</f>
        <v>46251</v>
      </c>
      <c r="Z1" s="847"/>
      <c r="AA1" s="847"/>
      <c r="AB1" s="847"/>
      <c r="AC1" s="847"/>
      <c r="AD1" s="847"/>
      <c r="AE1" s="847"/>
    </row>
    <row r="2" spans="1:31" ht="27" customHeight="1">
      <c r="A2" s="847"/>
      <c r="B2" s="847"/>
      <c r="C2" s="847"/>
      <c r="D2" s="847"/>
      <c r="E2" s="850" t="s">
        <v>5470</v>
      </c>
      <c r="F2" s="847"/>
      <c r="G2" s="847"/>
      <c r="H2" s="847"/>
      <c r="I2" s="847"/>
      <c r="J2" s="847"/>
      <c r="K2" s="847"/>
      <c r="L2" s="847"/>
      <c r="M2" s="847"/>
      <c r="N2" s="847"/>
      <c r="O2" s="847"/>
      <c r="P2" s="847"/>
      <c r="Q2" s="847"/>
      <c r="R2" s="847"/>
      <c r="S2" s="847"/>
      <c r="T2" s="847"/>
      <c r="U2" s="847"/>
      <c r="V2" s="847"/>
      <c r="W2" s="847"/>
      <c r="X2" s="240"/>
      <c r="Y2" s="851" t="str">
        <f ca="1">TEXT(TODAY(),"dddd")</f>
        <v>Monday</v>
      </c>
      <c r="Z2" s="847"/>
      <c r="AA2" s="847"/>
      <c r="AB2" s="847"/>
      <c r="AC2" s="847"/>
      <c r="AD2" s="847"/>
      <c r="AE2" s="847"/>
    </row>
    <row r="3" spans="1:31" ht="22.15" customHeight="1">
      <c r="A3" s="847"/>
      <c r="B3" s="847"/>
      <c r="C3" s="847"/>
      <c r="D3" s="847"/>
      <c r="E3" s="852" t="s">
        <v>5471</v>
      </c>
      <c r="F3" s="847"/>
      <c r="G3" s="847"/>
      <c r="H3" s="847"/>
      <c r="I3" s="847"/>
      <c r="J3" s="847"/>
      <c r="K3" s="847"/>
      <c r="L3" s="847"/>
      <c r="M3" s="847"/>
      <c r="N3" s="847"/>
      <c r="O3" s="847"/>
      <c r="P3" s="847"/>
      <c r="Q3" s="847"/>
      <c r="R3" s="847"/>
      <c r="S3" s="847"/>
      <c r="T3" s="847"/>
      <c r="U3" s="847"/>
      <c r="V3" s="847"/>
      <c r="W3" s="847"/>
      <c r="X3" s="240"/>
      <c r="Y3" s="240"/>
      <c r="Z3" s="240"/>
      <c r="AA3" s="240"/>
      <c r="AB3" s="240"/>
      <c r="AC3" s="240"/>
      <c r="AD3" s="240"/>
      <c r="AE3" s="240"/>
    </row>
    <row r="4" spans="1:31" ht="22.15"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row>
    <row r="5" spans="1:31" ht="25.15" customHeight="1">
      <c r="A5" s="845" t="s">
        <v>5472</v>
      </c>
      <c r="B5" s="586"/>
      <c r="C5" s="586"/>
      <c r="D5" s="586"/>
      <c r="E5" s="586"/>
      <c r="F5" s="845" t="s">
        <v>131</v>
      </c>
      <c r="G5" s="586"/>
      <c r="H5" s="586"/>
      <c r="I5" s="586"/>
      <c r="J5" s="586"/>
      <c r="K5" s="845" t="s">
        <v>329</v>
      </c>
      <c r="L5" s="586"/>
      <c r="M5" s="586"/>
      <c r="N5" s="586"/>
      <c r="O5" s="586"/>
      <c r="P5" s="845" t="s">
        <v>133</v>
      </c>
      <c r="Q5" s="586"/>
      <c r="R5" s="586"/>
      <c r="S5" s="586"/>
      <c r="T5" s="586"/>
      <c r="U5" s="845" t="s">
        <v>132</v>
      </c>
      <c r="V5" s="586"/>
      <c r="W5" s="586"/>
      <c r="X5" s="586"/>
      <c r="Y5" s="586"/>
      <c r="Z5" s="586"/>
      <c r="AA5" s="845" t="s">
        <v>160</v>
      </c>
      <c r="AB5" s="586"/>
      <c r="AC5" s="586"/>
      <c r="AD5" s="586"/>
      <c r="AE5" s="586"/>
    </row>
    <row r="6" spans="1:31" ht="22.15" customHeight="1">
      <c r="A6" s="240"/>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row>
    <row r="7" spans="1:31" ht="22.15" customHeight="1">
      <c r="A7" s="240"/>
      <c r="B7" s="854">
        <f>Command_Center!B14</f>
        <v>0.48333333333333334</v>
      </c>
      <c r="C7" s="854"/>
      <c r="D7" s="854"/>
      <c r="E7" s="240"/>
      <c r="F7" s="240"/>
      <c r="G7" s="855">
        <f>Command_Center!D14</f>
        <v>30</v>
      </c>
      <c r="H7" s="586"/>
      <c r="I7" s="586"/>
      <c r="J7" s="240"/>
      <c r="K7" s="240"/>
      <c r="L7" s="856">
        <f>MAX(0,Command_Center!D14-Command_Center!N14)</f>
        <v>1</v>
      </c>
      <c r="M7" s="586"/>
      <c r="N7" s="586"/>
      <c r="O7" s="240"/>
      <c r="P7" s="240"/>
      <c r="Q7" s="857">
        <f>Command_Center!H14</f>
        <v>0</v>
      </c>
      <c r="R7" s="586"/>
      <c r="S7" s="586"/>
      <c r="T7" s="240"/>
      <c r="U7" s="240"/>
      <c r="V7" s="858">
        <f>Command_Center!F14</f>
        <v>0</v>
      </c>
      <c r="W7" s="586"/>
      <c r="X7" s="586"/>
      <c r="Y7" s="586"/>
      <c r="Z7" s="240"/>
      <c r="AA7" s="240"/>
      <c r="AB7" s="859">
        <f>Command_Center!L14</f>
        <v>0</v>
      </c>
      <c r="AC7" s="586"/>
      <c r="AD7" s="586"/>
      <c r="AE7" s="240"/>
    </row>
    <row r="8" spans="1:31" ht="22.15" customHeight="1">
      <c r="A8" s="240"/>
      <c r="B8" s="854"/>
      <c r="C8" s="854"/>
      <c r="D8" s="854"/>
      <c r="E8" s="240"/>
      <c r="F8" s="240"/>
      <c r="G8" s="586"/>
      <c r="H8" s="586"/>
      <c r="I8" s="586"/>
      <c r="J8" s="240"/>
      <c r="K8" s="240"/>
      <c r="L8" s="586"/>
      <c r="M8" s="586"/>
      <c r="N8" s="586"/>
      <c r="O8" s="240"/>
      <c r="P8" s="240"/>
      <c r="Q8" s="586"/>
      <c r="R8" s="586"/>
      <c r="S8" s="586"/>
      <c r="T8" s="240"/>
      <c r="U8" s="240"/>
      <c r="V8" s="586"/>
      <c r="W8" s="586"/>
      <c r="X8" s="586"/>
      <c r="Y8" s="586"/>
      <c r="Z8" s="240"/>
      <c r="AA8" s="240"/>
      <c r="AB8" s="586"/>
      <c r="AC8" s="586"/>
      <c r="AD8" s="586"/>
      <c r="AE8" s="240"/>
    </row>
    <row r="9" spans="1:31" ht="22.15" customHeight="1">
      <c r="A9" s="240"/>
      <c r="B9" s="854"/>
      <c r="C9" s="854"/>
      <c r="D9" s="854"/>
      <c r="E9" s="240"/>
      <c r="F9" s="240"/>
      <c r="G9" s="586"/>
      <c r="H9" s="586"/>
      <c r="I9" s="586"/>
      <c r="J9" s="240"/>
      <c r="K9" s="240"/>
      <c r="L9" s="586"/>
      <c r="M9" s="586"/>
      <c r="N9" s="586"/>
      <c r="O9" s="240"/>
      <c r="P9" s="240"/>
      <c r="Q9" s="586"/>
      <c r="R9" s="586"/>
      <c r="S9" s="586"/>
      <c r="T9" s="240"/>
      <c r="U9" s="240"/>
      <c r="V9" s="586"/>
      <c r="W9" s="586"/>
      <c r="X9" s="586"/>
      <c r="Y9" s="586"/>
      <c r="Z9" s="240"/>
      <c r="AA9" s="240"/>
      <c r="AB9" s="586"/>
      <c r="AC9" s="586"/>
      <c r="AD9" s="586"/>
      <c r="AE9" s="240"/>
    </row>
    <row r="10" spans="1:31" ht="22.15" customHeight="1">
      <c r="A10" s="240"/>
      <c r="B10" s="853" t="s">
        <v>5473</v>
      </c>
      <c r="C10" s="586"/>
      <c r="D10" s="586"/>
      <c r="E10" s="240"/>
      <c r="F10" s="240"/>
      <c r="G10" s="853" t="s">
        <v>5474</v>
      </c>
      <c r="H10" s="586"/>
      <c r="I10" s="586"/>
      <c r="J10" s="240"/>
      <c r="K10" s="240"/>
      <c r="L10" s="853" t="str">
        <f>Command_Center!N14&amp;" Not Ready"</f>
        <v>29 Not Ready</v>
      </c>
      <c r="M10" s="586"/>
      <c r="N10" s="586"/>
      <c r="O10" s="240"/>
      <c r="P10" s="240"/>
      <c r="Q10" s="853" t="s">
        <v>5475</v>
      </c>
      <c r="R10" s="586"/>
      <c r="S10" s="586"/>
      <c r="T10" s="240"/>
      <c r="U10" s="240"/>
      <c r="V10" s="853" t="s">
        <v>5475</v>
      </c>
      <c r="W10" s="586"/>
      <c r="X10" s="586"/>
      <c r="Y10" s="586"/>
      <c r="Z10" s="240"/>
      <c r="AA10" s="240"/>
      <c r="AB10" s="853" t="s">
        <v>5344</v>
      </c>
      <c r="AC10" s="586"/>
      <c r="AD10" s="586"/>
      <c r="AE10" s="240"/>
    </row>
    <row r="11" spans="1:31" ht="22.15" customHeight="1">
      <c r="A11" s="240"/>
      <c r="B11" s="240"/>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row>
    <row r="12" spans="1:31" ht="22.15" customHeight="1">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row>
    <row r="13" spans="1:31" ht="22.15" customHeight="1">
      <c r="A13" s="241"/>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row>
    <row r="14" spans="1:31" ht="22.15" customHeight="1">
      <c r="A14" s="860" t="s">
        <v>5476</v>
      </c>
      <c r="B14" s="860"/>
      <c r="C14" s="860"/>
      <c r="D14" s="860"/>
      <c r="E14" s="860"/>
      <c r="F14" s="860"/>
      <c r="G14" s="860"/>
      <c r="H14" s="860"/>
      <c r="I14" s="860"/>
      <c r="J14" s="860" t="str">
        <f>"TRADE READINESS – BUILDING "&amp;TEXT(Command_Center!C17,"00")</f>
        <v>TRADE READINESS – BUILDING 61</v>
      </c>
      <c r="K14" s="860"/>
      <c r="L14" s="860"/>
      <c r="M14" s="860"/>
      <c r="N14" s="860"/>
      <c r="O14" s="860"/>
      <c r="P14" s="860"/>
      <c r="Q14" s="860"/>
      <c r="R14" s="860"/>
      <c r="S14" s="860"/>
      <c r="T14" s="860" t="str">
        <f>"MISSION INTELLIGENCE – BUILDING "&amp;TEXT(Command_Center!C17,"00")</f>
        <v>MISSION INTELLIGENCE – BUILDING 61</v>
      </c>
      <c r="U14" s="860"/>
      <c r="V14" s="860"/>
      <c r="W14" s="860"/>
      <c r="X14" s="860"/>
      <c r="Y14" s="860"/>
      <c r="Z14" s="860"/>
      <c r="AA14" s="860"/>
      <c r="AB14" s="860"/>
      <c r="AC14" s="860"/>
      <c r="AD14" s="860"/>
      <c r="AE14" s="860"/>
    </row>
    <row r="15" spans="1:31" ht="22.15" customHeight="1">
      <c r="A15" s="840" t="s">
        <v>5477</v>
      </c>
      <c r="B15" s="586"/>
      <c r="C15" s="586"/>
      <c r="D15" s="586"/>
      <c r="E15" s="861" t="str">
        <f>'COMMAND CENTERS'!C17</f>
        <v>61</v>
      </c>
      <c r="F15" s="862"/>
      <c r="G15" s="862"/>
      <c r="H15" s="862"/>
      <c r="I15" s="863"/>
      <c r="J15" s="242" t="s">
        <v>5478</v>
      </c>
      <c r="K15" s="240"/>
      <c r="L15" s="240"/>
      <c r="M15" s="240"/>
      <c r="N15" s="240"/>
      <c r="P15" s="242" t="s">
        <v>5479</v>
      </c>
      <c r="Q15" s="240"/>
      <c r="R15" s="242" t="s">
        <v>5480</v>
      </c>
      <c r="S15" s="240"/>
      <c r="T15" s="240"/>
      <c r="U15" s="240"/>
      <c r="V15" s="240"/>
      <c r="W15" s="240"/>
      <c r="X15" s="240"/>
      <c r="Y15" s="240"/>
      <c r="Z15" s="240"/>
      <c r="AA15" s="240"/>
      <c r="AB15" s="240"/>
      <c r="AC15" s="240"/>
      <c r="AD15" s="240"/>
      <c r="AE15" s="240"/>
    </row>
    <row r="16" spans="1:31" ht="22.15" customHeight="1">
      <c r="A16" s="586"/>
      <c r="B16" s="586"/>
      <c r="C16" s="586"/>
      <c r="D16" s="586"/>
      <c r="E16" s="864"/>
      <c r="F16" s="865"/>
      <c r="G16" s="865"/>
      <c r="H16" s="865"/>
      <c r="I16" s="866"/>
      <c r="J16" s="240"/>
      <c r="K16" s="240"/>
      <c r="L16" s="240"/>
      <c r="M16" s="240"/>
      <c r="N16" s="240"/>
      <c r="O16" s="240"/>
      <c r="P16" s="240"/>
      <c r="Q16" s="240"/>
      <c r="R16" s="240"/>
      <c r="S16" s="240"/>
      <c r="T16" s="838" t="s">
        <v>199</v>
      </c>
      <c r="U16" s="586"/>
      <c r="V16" s="586"/>
      <c r="W16" s="586"/>
      <c r="X16" s="586"/>
      <c r="Y16" s="586"/>
      <c r="Z16" s="586"/>
      <c r="AA16" s="841">
        <f>Command_Center!H32</f>
        <v>0</v>
      </c>
      <c r="AB16" s="586"/>
      <c r="AC16" s="586"/>
      <c r="AD16" s="586"/>
      <c r="AE16" s="586"/>
    </row>
    <row r="17" spans="1:31" ht="22.15" customHeight="1">
      <c r="A17" s="586"/>
      <c r="B17" s="586"/>
      <c r="C17" s="586"/>
      <c r="D17" s="586"/>
      <c r="E17" s="864"/>
      <c r="F17" s="865"/>
      <c r="G17" s="865"/>
      <c r="H17" s="865"/>
      <c r="I17" s="866"/>
      <c r="J17" s="836" t="s">
        <v>146</v>
      </c>
      <c r="K17" s="586"/>
      <c r="L17" s="586"/>
      <c r="M17" s="586"/>
      <c r="N17" s="586"/>
      <c r="O17" s="837" t="str">
        <f>IF(ISNUMBER(SEARCH("Pass",Command_Center!L18)),"✓ PASS",IF(ISNUMBER(SEARCH("Review",Command_Center!L18)),"⚠ REVIEW",Command_Center!L18))</f>
        <v>FIRE
Verify</v>
      </c>
      <c r="P17" s="586"/>
      <c r="Q17" s="586"/>
      <c r="R17" s="243" t="s">
        <v>5481</v>
      </c>
      <c r="S17" s="240"/>
      <c r="T17" s="240"/>
      <c r="U17" s="240"/>
      <c r="V17" s="240"/>
      <c r="W17" s="240"/>
      <c r="X17" s="240"/>
      <c r="Y17" s="240"/>
      <c r="Z17" s="240"/>
      <c r="AA17" s="240"/>
      <c r="AB17" s="240"/>
      <c r="AC17" s="240"/>
      <c r="AD17" s="240"/>
      <c r="AE17" s="240"/>
    </row>
    <row r="18" spans="1:31" ht="22.15" customHeight="1">
      <c r="A18" s="586"/>
      <c r="B18" s="586"/>
      <c r="C18" s="586"/>
      <c r="D18" s="586"/>
      <c r="E18" s="864"/>
      <c r="F18" s="865"/>
      <c r="G18" s="865"/>
      <c r="H18" s="865"/>
      <c r="I18" s="866"/>
      <c r="J18" s="240"/>
      <c r="K18" s="240"/>
      <c r="L18" s="240"/>
      <c r="M18" s="240"/>
      <c r="N18" s="240"/>
      <c r="O18" s="240"/>
      <c r="P18" s="240"/>
      <c r="Q18" s="240"/>
      <c r="R18" s="240"/>
      <c r="S18" s="240"/>
      <c r="T18" s="838" t="s">
        <v>161</v>
      </c>
      <c r="U18" s="586"/>
      <c r="V18" s="586"/>
      <c r="W18" s="586"/>
      <c r="X18" s="586"/>
      <c r="Y18" s="586"/>
      <c r="Z18" s="586"/>
      <c r="AA18" s="835">
        <f>Command_Center!D32</f>
        <v>0</v>
      </c>
      <c r="AB18" s="586"/>
      <c r="AC18" s="586"/>
      <c r="AD18" s="586"/>
      <c r="AE18" s="586"/>
    </row>
    <row r="19" spans="1:31" ht="22.15" customHeight="1">
      <c r="A19" s="586"/>
      <c r="B19" s="586"/>
      <c r="C19" s="586"/>
      <c r="D19" s="586"/>
      <c r="E19" s="864"/>
      <c r="F19" s="865"/>
      <c r="G19" s="865"/>
      <c r="H19" s="865"/>
      <c r="I19" s="866"/>
      <c r="J19" s="836" t="s">
        <v>148</v>
      </c>
      <c r="K19" s="586"/>
      <c r="L19" s="586"/>
      <c r="M19" s="586"/>
      <c r="N19" s="586"/>
      <c r="O19" s="837" t="str">
        <f>IF(ISNUMBER(SEARCH("Pass",Command_Center!J21)),"✓ PASS",IF(ISNUMBER(SEARCH("Review",Command_Center!J21)),"⚠ REVIEW",Command_Center!J21))</f>
        <v>HVAC
Verify</v>
      </c>
      <c r="P19" s="586"/>
      <c r="Q19" s="586"/>
      <c r="R19" s="243" t="s">
        <v>5481</v>
      </c>
      <c r="S19" s="240"/>
      <c r="T19" s="240"/>
      <c r="U19" s="240"/>
      <c r="V19" s="240"/>
      <c r="W19" s="240"/>
      <c r="X19" s="240"/>
      <c r="Y19" s="240"/>
      <c r="Z19" s="240"/>
      <c r="AA19" s="240"/>
      <c r="AB19" s="240"/>
      <c r="AC19" s="240"/>
      <c r="AD19" s="240"/>
      <c r="AE19" s="240"/>
    </row>
    <row r="20" spans="1:31" ht="22.15" customHeight="1">
      <c r="A20" s="586"/>
      <c r="B20" s="586"/>
      <c r="C20" s="586"/>
      <c r="D20" s="586"/>
      <c r="E20" s="867"/>
      <c r="F20" s="868"/>
      <c r="G20" s="868"/>
      <c r="H20" s="868"/>
      <c r="I20" s="869"/>
      <c r="J20" s="240"/>
      <c r="K20" s="240"/>
      <c r="L20" s="240"/>
      <c r="M20" s="240"/>
      <c r="N20" s="240"/>
      <c r="O20" s="240"/>
      <c r="P20" s="240"/>
      <c r="Q20" s="240"/>
      <c r="R20" s="240"/>
      <c r="S20" s="240"/>
      <c r="T20" s="838" t="s">
        <v>163</v>
      </c>
      <c r="U20" s="586"/>
      <c r="V20" s="586"/>
      <c r="W20" s="586"/>
      <c r="X20" s="586"/>
      <c r="Y20" s="586"/>
      <c r="Z20" s="586"/>
      <c r="AA20" s="839">
        <f>Command_Center!L32</f>
        <v>0</v>
      </c>
      <c r="AB20" s="586"/>
      <c r="AC20" s="586"/>
      <c r="AD20" s="586"/>
      <c r="AE20" s="586"/>
    </row>
    <row r="21" spans="1:31" ht="22.15" customHeight="1">
      <c r="A21" s="586"/>
      <c r="B21" s="586"/>
      <c r="C21" s="586"/>
      <c r="D21" s="586"/>
      <c r="E21" s="842" t="str">
        <f>"READINESS SCORE"&amp;CHAR(10)&amp;TEXT(Command_Center!F19,"0%")</f>
        <v>READINESS SCORE
0%</v>
      </c>
      <c r="F21" s="586"/>
      <c r="G21" s="586"/>
      <c r="H21" s="586"/>
      <c r="I21" s="586"/>
      <c r="J21" s="836" t="s">
        <v>153</v>
      </c>
      <c r="K21" s="586"/>
      <c r="L21" s="586"/>
      <c r="M21" s="586"/>
      <c r="N21" s="586"/>
      <c r="O21" s="837" t="str">
        <f>IF(ISNUMBER(SEARCH("Pass",Command_Center!L21)),"✓ PASS",IF(ISNUMBER(SEARCH("Review",Command_Center!L21)),"⚠ REVIEW",Command_Center!L21))</f>
        <v>ELECTRICAL
Verify</v>
      </c>
      <c r="P21" s="586"/>
      <c r="Q21" s="586"/>
      <c r="R21" s="243" t="s">
        <v>5481</v>
      </c>
      <c r="S21" s="240"/>
      <c r="T21" s="240"/>
      <c r="U21" s="240"/>
      <c r="V21" s="240"/>
      <c r="W21" s="240"/>
      <c r="X21" s="240"/>
      <c r="Y21" s="240"/>
      <c r="Z21" s="240"/>
      <c r="AA21" s="240"/>
      <c r="AB21" s="240"/>
      <c r="AC21" s="240"/>
      <c r="AD21" s="240"/>
      <c r="AE21" s="240"/>
    </row>
    <row r="22" spans="1:31" ht="22.15" customHeight="1">
      <c r="A22" s="586"/>
      <c r="B22" s="586"/>
      <c r="C22" s="586"/>
      <c r="D22" s="586"/>
      <c r="E22" s="586"/>
      <c r="F22" s="586"/>
      <c r="G22" s="586"/>
      <c r="H22" s="586"/>
      <c r="I22" s="586"/>
      <c r="J22" s="240"/>
      <c r="K22" s="240"/>
      <c r="L22" s="240"/>
      <c r="M22" s="240"/>
      <c r="N22" s="240"/>
      <c r="O22" s="240"/>
      <c r="P22" s="240"/>
      <c r="Q22" s="240"/>
      <c r="R22" s="240"/>
      <c r="S22" s="240"/>
      <c r="T22" s="838" t="s">
        <v>5465</v>
      </c>
      <c r="U22" s="586"/>
      <c r="V22" s="586"/>
      <c r="W22" s="586"/>
      <c r="X22" s="586"/>
      <c r="Y22" s="586"/>
      <c r="Z22" s="586"/>
      <c r="AA22" s="843" t="str">
        <f>Command_Center!N32</f>
        <v>Selected Active</v>
      </c>
      <c r="AB22" s="586"/>
      <c r="AC22" s="586"/>
      <c r="AD22" s="586"/>
      <c r="AE22" s="586"/>
    </row>
    <row r="23" spans="1:31" ht="22.15" customHeight="1">
      <c r="A23" s="586"/>
      <c r="B23" s="586"/>
      <c r="C23" s="586"/>
      <c r="D23" s="586"/>
      <c r="E23" s="586"/>
      <c r="F23" s="586"/>
      <c r="G23" s="586"/>
      <c r="H23" s="586"/>
      <c r="I23" s="586"/>
      <c r="J23" s="836" t="s">
        <v>5482</v>
      </c>
      <c r="K23" s="586"/>
      <c r="L23" s="586"/>
      <c r="M23" s="586"/>
      <c r="N23" s="586"/>
      <c r="O23" s="837" t="str">
        <f>IF(ISNUMBER(SEARCH("Pass",Command_Center!J24)),"✓ PASS",IF(ISNUMBER(SEARCH("Review",Command_Center!J24)),"⚠ REVIEW",Command_Center!J24))</f>
        <v>TELECOM
Verify</v>
      </c>
      <c r="P23" s="586"/>
      <c r="Q23" s="586"/>
      <c r="R23" s="243" t="s">
        <v>5481</v>
      </c>
      <c r="S23" s="240"/>
      <c r="T23" s="240"/>
      <c r="U23" s="240"/>
      <c r="V23" s="240"/>
      <c r="W23" s="240"/>
      <c r="X23" s="240"/>
      <c r="Y23" s="240"/>
      <c r="Z23" s="240"/>
      <c r="AA23" s="240"/>
      <c r="AB23" s="240"/>
      <c r="AC23" s="240"/>
      <c r="AD23" s="240"/>
      <c r="AE23" s="240"/>
    </row>
    <row r="24" spans="1:31" ht="22.15" customHeight="1">
      <c r="A24" s="586"/>
      <c r="B24" s="586"/>
      <c r="C24" s="586"/>
      <c r="D24" s="586"/>
      <c r="E24" s="586"/>
      <c r="F24" s="586"/>
      <c r="G24" s="586"/>
      <c r="H24" s="586"/>
      <c r="I24" s="586"/>
      <c r="J24" s="240"/>
      <c r="K24" s="240"/>
      <c r="L24" s="240"/>
      <c r="M24" s="240"/>
      <c r="N24" s="240"/>
      <c r="O24" s="240"/>
      <c r="P24" s="240"/>
      <c r="Q24" s="240"/>
      <c r="R24" s="240"/>
      <c r="S24" s="240"/>
      <c r="T24" s="838" t="s">
        <v>5483</v>
      </c>
      <c r="U24" s="586"/>
      <c r="V24" s="586"/>
      <c r="W24" s="586"/>
      <c r="X24" s="586"/>
      <c r="Y24" s="586"/>
      <c r="Z24" s="586"/>
      <c r="AA24" s="841">
        <f>Command_Center!H14</f>
        <v>0</v>
      </c>
      <c r="AB24" s="586"/>
      <c r="AC24" s="586"/>
      <c r="AD24" s="586"/>
      <c r="AE24" s="586"/>
    </row>
    <row r="25" spans="1:31" ht="22.15" customHeight="1">
      <c r="A25" s="586"/>
      <c r="B25" s="586"/>
      <c r="C25" s="586"/>
      <c r="D25" s="586"/>
      <c r="E25" s="586"/>
      <c r="F25" s="586"/>
      <c r="G25" s="586"/>
      <c r="H25" s="586"/>
      <c r="I25" s="586"/>
      <c r="J25" s="836" t="s">
        <v>556</v>
      </c>
      <c r="K25" s="586"/>
      <c r="L25" s="586"/>
      <c r="M25" s="586"/>
      <c r="N25" s="586"/>
      <c r="O25" s="837" t="str">
        <f>IF(ISNUMBER(SEARCH("Pass",Command_Center!L24)),"✓ PASS",IF(ISNUMBER(SEARCH("Review",Command_Center!L24)),"⚠ REVIEW",Command_Center!L24))</f>
        <v>SECURITY
Verify</v>
      </c>
      <c r="P25" s="586"/>
      <c r="Q25" s="586"/>
      <c r="R25" s="243" t="s">
        <v>5481</v>
      </c>
      <c r="S25" s="240"/>
      <c r="T25" s="240"/>
      <c r="U25" s="240"/>
      <c r="V25" s="240"/>
      <c r="W25" s="240"/>
      <c r="X25" s="240"/>
      <c r="Y25" s="240"/>
      <c r="Z25" s="240"/>
      <c r="AA25" s="240"/>
      <c r="AB25" s="240"/>
      <c r="AC25" s="240"/>
      <c r="AD25" s="240"/>
      <c r="AE25" s="240"/>
    </row>
    <row r="26" spans="1:31" ht="22.15" customHeight="1">
      <c r="A26" s="586"/>
      <c r="B26" s="586"/>
      <c r="C26" s="586"/>
      <c r="D26" s="586"/>
      <c r="E26" s="586"/>
      <c r="F26" s="586"/>
      <c r="G26" s="586"/>
      <c r="H26" s="586"/>
      <c r="I26" s="586"/>
      <c r="J26" s="240"/>
      <c r="K26" s="240"/>
      <c r="L26" s="240"/>
      <c r="M26" s="240"/>
      <c r="N26" s="240"/>
      <c r="O26" s="240"/>
      <c r="P26" s="240"/>
      <c r="Q26" s="240"/>
      <c r="R26" s="240"/>
      <c r="S26" s="240"/>
      <c r="T26" s="838" t="s">
        <v>5484</v>
      </c>
      <c r="U26" s="586"/>
      <c r="V26" s="586"/>
      <c r="W26" s="586"/>
      <c r="X26" s="586"/>
      <c r="Y26" s="586"/>
      <c r="Z26" s="586"/>
      <c r="AA26" s="835">
        <f>Command_Center!F14</f>
        <v>0</v>
      </c>
      <c r="AB26" s="586"/>
      <c r="AC26" s="586"/>
      <c r="AD26" s="586"/>
      <c r="AE26" s="586"/>
    </row>
    <row r="27" spans="1:31" ht="3.6" customHeight="1">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row>
    <row r="28" spans="1:31" ht="21.6" hidden="1" customHeight="1">
      <c r="A28" s="873" t="str">
        <f>"Assessment Sheet: "&amp;Command_Center!C20</f>
        <v>Assessment Sheet: B61_Assessment</v>
      </c>
      <c r="B28" s="874"/>
      <c r="C28" s="874"/>
      <c r="D28" s="874"/>
      <c r="E28" s="874"/>
      <c r="F28" s="874"/>
      <c r="G28" s="874"/>
      <c r="H28" s="874"/>
      <c r="I28" s="874"/>
      <c r="J28" s="875"/>
      <c r="K28" s="586"/>
      <c r="L28" s="586"/>
      <c r="M28" s="586"/>
      <c r="N28" s="586"/>
      <c r="O28" s="586"/>
      <c r="P28" s="586"/>
      <c r="Q28" s="586"/>
      <c r="R28" s="586"/>
      <c r="S28" s="586"/>
      <c r="T28" s="875"/>
      <c r="U28" s="586"/>
      <c r="V28" s="586"/>
      <c r="W28" s="586"/>
      <c r="X28" s="586"/>
      <c r="Y28" s="586"/>
      <c r="Z28" s="586"/>
      <c r="AA28" s="586"/>
      <c r="AB28" s="586"/>
      <c r="AC28" s="586"/>
      <c r="AD28" s="586"/>
      <c r="AE28" s="586"/>
    </row>
    <row r="29" spans="1:31" ht="21.75" hidden="1" customHeight="1">
      <c r="A29" s="873" t="str">
        <f>"Selected Status: "&amp;Command_Center!C22</f>
        <v>Selected Status: PILOT PHASE</v>
      </c>
      <c r="B29" s="874"/>
      <c r="C29" s="874"/>
      <c r="D29" s="874"/>
      <c r="E29" s="874"/>
      <c r="F29" s="874"/>
      <c r="G29" s="874"/>
      <c r="H29" s="874"/>
      <c r="I29" s="874"/>
      <c r="J29" s="586"/>
      <c r="K29" s="586"/>
      <c r="L29" s="586"/>
      <c r="M29" s="586"/>
      <c r="N29" s="586"/>
      <c r="O29" s="586"/>
      <c r="P29" s="586"/>
      <c r="Q29" s="586"/>
      <c r="R29" s="586"/>
      <c r="S29" s="586"/>
      <c r="T29" s="586"/>
      <c r="U29" s="586"/>
      <c r="V29" s="586"/>
      <c r="W29" s="586"/>
      <c r="X29" s="586"/>
      <c r="Y29" s="586"/>
      <c r="Z29" s="586"/>
      <c r="AA29" s="586"/>
      <c r="AB29" s="586"/>
      <c r="AC29" s="586"/>
      <c r="AD29" s="586"/>
      <c r="AE29" s="586"/>
    </row>
    <row r="30" spans="1:31" ht="7.15"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row>
    <row r="31" spans="1:31" ht="22.15" customHeight="1">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row>
    <row r="32" spans="1:31" s="365" customFormat="1" ht="55.5" customHeight="1">
      <c r="A32" s="834"/>
      <c r="B32" s="834"/>
      <c r="C32" s="834"/>
      <c r="D32" s="834"/>
      <c r="E32" s="366"/>
      <c r="F32" s="834" t="s">
        <v>5723</v>
      </c>
      <c r="G32" s="834"/>
      <c r="H32" s="834" t="s">
        <v>5724</v>
      </c>
      <c r="I32" s="834"/>
      <c r="J32" s="366"/>
      <c r="K32" s="364" t="s">
        <v>5725</v>
      </c>
      <c r="L32" s="364" t="s">
        <v>5726</v>
      </c>
      <c r="M32" s="364" t="s">
        <v>5727</v>
      </c>
      <c r="N32" s="366"/>
      <c r="O32" s="364" t="s">
        <v>5728</v>
      </c>
      <c r="P32" s="364" t="s">
        <v>5729</v>
      </c>
      <c r="Q32" s="364" t="s">
        <v>5730</v>
      </c>
      <c r="R32" s="366"/>
      <c r="S32" s="834" t="s">
        <v>5731</v>
      </c>
      <c r="T32" s="834"/>
      <c r="U32" s="366"/>
      <c r="V32" s="834"/>
      <c r="W32" s="834"/>
      <c r="X32" s="366"/>
      <c r="Y32" s="366"/>
      <c r="Z32" s="366"/>
      <c r="AA32" s="366"/>
      <c r="AB32" s="366"/>
      <c r="AC32" s="366"/>
      <c r="AD32" s="366"/>
      <c r="AE32" s="366"/>
    </row>
    <row r="33" spans="1:31" s="379" customFormat="1" ht="40.5" customHeight="1">
      <c r="A33" s="378"/>
      <c r="B33" s="378"/>
      <c r="C33" s="378"/>
      <c r="D33" s="378"/>
      <c r="F33" s="854">
        <f ca="1">'COMMAND CENTERS'!C46</f>
        <v>0</v>
      </c>
      <c r="G33" s="854"/>
      <c r="H33" s="881" t="str">
        <f ca="1">'COMMAND CENTERS'!D46</f>
        <v>Withhold / Review</v>
      </c>
      <c r="I33" s="881"/>
      <c r="K33" s="854">
        <f ca="1">'COMMAND CENTERS'!E46</f>
        <v>0</v>
      </c>
      <c r="L33" s="882" t="str">
        <f ca="1">'COMMAND CENTERS'!F46</f>
        <v>Blocked</v>
      </c>
      <c r="M33" s="883" t="str">
        <f ca="1">'COMMAND CENTERS'!G46</f>
        <v>No blocker documented</v>
      </c>
      <c r="O33" s="854">
        <f ca="1">'COMMAND CENTERS'!H46</f>
        <v>0</v>
      </c>
      <c r="P33" s="854">
        <f ca="1">'COMMAND CENTERS'!I46</f>
        <v>0</v>
      </c>
      <c r="Q33" s="854">
        <f ca="1">'COMMAND CENTERS'!J46</f>
        <v>0</v>
      </c>
      <c r="S33" s="878" t="str">
        <f ca="1">'COMMAND CENTERS'!K46</f>
        <v>Resolve OIT Blocker</v>
      </c>
      <c r="T33" s="878"/>
      <c r="V33" s="378"/>
      <c r="W33" s="378"/>
    </row>
    <row r="34" spans="1:31" s="369" customFormat="1" ht="34.5" customHeight="1">
      <c r="A34" s="844"/>
      <c r="B34" s="844"/>
      <c r="C34" s="880"/>
      <c r="D34" s="880"/>
      <c r="F34" s="854"/>
      <c r="G34" s="854"/>
      <c r="H34" s="881"/>
      <c r="I34" s="881"/>
      <c r="K34" s="854"/>
      <c r="L34" s="882"/>
      <c r="M34" s="883"/>
      <c r="O34" s="854"/>
      <c r="P34" s="854"/>
      <c r="Q34" s="854"/>
      <c r="S34" s="878"/>
      <c r="T34" s="878"/>
      <c r="V34" s="878"/>
      <c r="W34" s="879"/>
    </row>
    <row r="35" spans="1:31" ht="60" hidden="1" customHeight="1">
      <c r="A35" s="248"/>
      <c r="B35" s="248">
        <f>Command_Center!J84</f>
        <v>0</v>
      </c>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c r="AA35" s="248"/>
      <c r="AB35" s="248"/>
      <c r="AC35" s="248"/>
      <c r="AD35" s="248"/>
      <c r="AE35" s="248"/>
    </row>
    <row r="36" spans="1:31" ht="43.15" hidden="1" customHeight="1">
      <c r="A36" s="876"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48% campus readiness across 30 assessed buildings. 0 open risks, 0 open questions, and 0 active shutdowns are currently tracked. Active mission is Building 61 (Building 61), readiness 0%.</v>
      </c>
      <c r="B36" s="586"/>
      <c r="C36" s="586"/>
      <c r="D36" s="586"/>
      <c r="E36" s="586"/>
      <c r="F36" s="586"/>
      <c r="G36" s="586"/>
      <c r="H36" s="586"/>
      <c r="I36" s="586"/>
      <c r="J36" s="586"/>
      <c r="K36" s="586"/>
      <c r="L36" s="586"/>
      <c r="M36" s="586"/>
      <c r="N36" s="586"/>
      <c r="O36" s="586"/>
      <c r="P36" s="586"/>
      <c r="Q36" s="586"/>
      <c r="R36" s="586"/>
      <c r="S36" s="586"/>
      <c r="T36" s="586"/>
      <c r="U36" s="586"/>
      <c r="V36" s="586"/>
      <c r="W36" s="586"/>
      <c r="X36" s="586"/>
      <c r="Y36" s="586"/>
      <c r="Z36" s="586"/>
      <c r="AA36" s="586"/>
      <c r="AB36" s="586"/>
      <c r="AC36" s="586"/>
      <c r="AD36" s="586"/>
      <c r="AE36" s="586"/>
    </row>
    <row r="37" spans="1:31" ht="190.5" hidden="1" customHeight="1">
      <c r="A37" s="831" t="str">
        <f>Command_Center!I85</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B37" s="831"/>
      <c r="C37" s="831"/>
      <c r="D37" s="831"/>
      <c r="E37" s="831"/>
      <c r="F37" s="831"/>
      <c r="G37" s="831"/>
      <c r="H37" s="831"/>
      <c r="I37" s="831"/>
      <c r="J37" s="831"/>
      <c r="K37" s="831"/>
      <c r="L37" s="831"/>
      <c r="M37" s="831"/>
      <c r="N37" s="831"/>
      <c r="O37" s="831"/>
      <c r="P37" s="831"/>
      <c r="Q37" s="831"/>
      <c r="R37" s="831"/>
      <c r="S37" s="831"/>
      <c r="T37" s="831"/>
      <c r="U37" s="831"/>
      <c r="V37" s="241"/>
      <c r="W37" s="241"/>
      <c r="X37" s="241"/>
      <c r="Y37" s="241"/>
      <c r="Z37" s="241"/>
      <c r="AA37" s="241"/>
      <c r="AB37" s="241"/>
      <c r="AC37" s="241"/>
      <c r="AD37" s="241"/>
      <c r="AE37" s="241"/>
    </row>
    <row r="38" spans="1:31" ht="48" customHeight="1">
      <c r="A38" s="877" t="s">
        <v>5485</v>
      </c>
      <c r="B38" s="877"/>
      <c r="C38" s="877"/>
      <c r="D38" s="877"/>
      <c r="E38" s="877"/>
      <c r="F38" s="877"/>
      <c r="G38" s="877"/>
      <c r="H38" s="877"/>
      <c r="I38" s="877"/>
      <c r="J38" s="877"/>
      <c r="K38" s="877"/>
      <c r="L38" s="877"/>
      <c r="M38" s="877"/>
      <c r="N38" s="877"/>
      <c r="O38" s="877"/>
      <c r="P38" s="877"/>
      <c r="Q38" s="877"/>
      <c r="R38" s="877"/>
      <c r="S38" s="877"/>
      <c r="T38" s="877"/>
      <c r="U38" s="877"/>
      <c r="V38" s="877"/>
      <c r="W38" s="877"/>
      <c r="X38" s="248"/>
      <c r="Y38" s="860" t="s">
        <v>5486</v>
      </c>
      <c r="Z38" s="860"/>
      <c r="AA38" s="860"/>
      <c r="AB38" s="860"/>
      <c r="AC38" s="860"/>
      <c r="AD38" s="860"/>
      <c r="AE38" s="860"/>
    </row>
    <row r="39" spans="1:31" s="261" customFormat="1" ht="12" customHeight="1">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row>
    <row r="40" spans="1:31" ht="48" customHeight="1">
      <c r="A40" s="817" t="str">
        <f>Command_Center!A4</f>
        <v xml:space="preserve">B01
50%  █████░░░░░
⚠ 0   ❓ 0
 </v>
      </c>
      <c r="B40" s="586"/>
      <c r="C40" s="240"/>
      <c r="D40" s="817" t="str">
        <f>Command_Center!E4</f>
        <v xml:space="preserve">B02
50%  █████░░░░░
⚠ 0   ❓ 0
 </v>
      </c>
      <c r="E40" s="586"/>
      <c r="F40" s="240"/>
      <c r="G40" s="817" t="str">
        <f>Command_Center!I4</f>
        <v xml:space="preserve">B03
50%  █████░░░░░
⚠ 0   ❓ 0
 </v>
      </c>
      <c r="H40" s="817"/>
      <c r="I40" s="240"/>
      <c r="J40" s="817" t="str">
        <f>Command_Center!M4</f>
        <v xml:space="preserve">B04
50%  █████░░░░░
⚠ 0   ❓ 0
 </v>
      </c>
      <c r="K40" s="586"/>
      <c r="L40" s="240"/>
      <c r="M40" s="816" t="str">
        <f>Command_Center!A5</f>
        <v xml:space="preserve">B05
50%  █████░░░░░
⚠ 0   ❓ 0
 </v>
      </c>
      <c r="N40" s="830"/>
      <c r="O40" s="240"/>
      <c r="P40" s="817" t="str">
        <f>Command_Center!E5</f>
        <v xml:space="preserve">B06
50%  █████░░░░░
⚠ 0   ❓ 0
 </v>
      </c>
      <c r="Q40" s="586"/>
      <c r="R40" s="240"/>
      <c r="S40" s="817" t="str">
        <f>Command_Center!I5</f>
        <v xml:space="preserve">B07
50%  █████░░░░░
⚠ 0   ❓ 0
 </v>
      </c>
      <c r="T40" s="586"/>
      <c r="U40" s="240"/>
      <c r="V40" s="817" t="str">
        <f>Command_Center!M5</f>
        <v xml:space="preserve">B08
50%  █████░░░░░
⚠ 0   ❓ 0
 </v>
      </c>
      <c r="W40" s="586"/>
      <c r="AA40" s="244"/>
      <c r="AB40" s="309" t="s">
        <v>5487</v>
      </c>
    </row>
    <row r="41" spans="1:31" s="261" customFormat="1" ht="12" customHeight="1">
      <c r="A41" s="263"/>
      <c r="D41" s="263"/>
      <c r="G41" s="263"/>
      <c r="J41" s="263"/>
      <c r="M41" s="263"/>
      <c r="P41" s="263"/>
      <c r="S41" s="263"/>
      <c r="V41" s="263"/>
    </row>
    <row r="42" spans="1:31" ht="48" customHeight="1">
      <c r="A42" s="817" t="str">
        <f>Command_Center!A6</f>
        <v xml:space="preserve">B09
50%  █████░░░░░
⚠ 0   ❓ 0
 </v>
      </c>
      <c r="B42" s="586"/>
      <c r="C42" s="240"/>
      <c r="D42" s="817" t="str">
        <f>Command_Center!E6</f>
        <v xml:space="preserve">B10
50%  █████░░░░░
⚠ 0   ❓ 0
 </v>
      </c>
      <c r="E42" s="586"/>
      <c r="F42" s="240"/>
      <c r="G42" s="816" t="str">
        <f>Command_Center!I6</f>
        <v xml:space="preserve">B12
50%  █████░░░░░
⚠ 0   ❓ 0
 </v>
      </c>
      <c r="H42" s="830"/>
      <c r="I42" s="240"/>
      <c r="J42" s="817" t="str">
        <f>Command_Center!M6</f>
        <v xml:space="preserve">B13
50%  █████░░░░░
⚠ 0   ❓ 0
 </v>
      </c>
      <c r="K42" s="586"/>
      <c r="L42" s="240"/>
      <c r="M42" s="817" t="str">
        <f>Command_Center!A7</f>
        <v xml:space="preserve">B14
50%  █████░░░░░
⚠ 0   ❓ 0
 </v>
      </c>
      <c r="N42" s="586"/>
      <c r="O42" s="240"/>
      <c r="P42" s="817" t="str">
        <f>Command_Center!E7</f>
        <v xml:space="preserve">B15
50%  █████░░░░░
⚠ 0   ❓ 0
 </v>
      </c>
      <c r="Q42" s="586"/>
      <c r="R42" s="240"/>
      <c r="S42" s="817" t="str">
        <f>Command_Center!I7</f>
        <v xml:space="preserve">B16
50%  █████░░░░░
⚠ 0   ❓ 0
 </v>
      </c>
      <c r="T42" s="586"/>
      <c r="U42" s="240"/>
      <c r="V42" s="817" t="str">
        <f>Command_Center!M7</f>
        <v xml:space="preserve">B17
50%  █████░░░░░
⚠ 0   ❓ 0
 </v>
      </c>
      <c r="W42" s="586"/>
      <c r="AA42" s="245"/>
      <c r="AB42" s="309" t="s">
        <v>5488</v>
      </c>
      <c r="AE42" s="240"/>
    </row>
    <row r="43" spans="1:31" s="261" customFormat="1" ht="12" customHeight="1">
      <c r="A43" s="263"/>
      <c r="D43" s="263"/>
      <c r="G43" s="263"/>
      <c r="J43" s="263"/>
      <c r="M43" s="263"/>
      <c r="P43" s="263"/>
      <c r="S43" s="263"/>
      <c r="V43" s="263"/>
    </row>
    <row r="44" spans="1:31" ht="48" customHeight="1">
      <c r="A44" s="817" t="str">
        <f>Command_Center!A8</f>
        <v xml:space="preserve">B18
50%  █████░░░░░
⚠ 0   ❓ 0
 </v>
      </c>
      <c r="B44" s="586"/>
      <c r="C44" s="240"/>
      <c r="D44" s="817" t="str">
        <f>Command_Center!E8</f>
        <v xml:space="preserve">B20
50%  █████░░░░░
⚠ 0   ❓ 0
 </v>
      </c>
      <c r="E44" s="586"/>
      <c r="F44" s="240"/>
      <c r="G44" s="817" t="str">
        <f>Command_Center!I8</f>
        <v xml:space="preserve">B21
50%  █████░░░░░
⚠ 0   ❓ 0
 </v>
      </c>
      <c r="H44" s="586"/>
      <c r="I44" s="240"/>
      <c r="J44" s="817" t="str">
        <f>Command_Center!M8</f>
        <v xml:space="preserve">B22
50%  █████░░░░░
⚠ 0   ❓ 0
 </v>
      </c>
      <c r="K44" s="586"/>
      <c r="L44" s="240"/>
      <c r="M44" s="817" t="str">
        <f>Command_Center!A9</f>
        <v xml:space="preserve">B33
50%  █████░░░░░
⚠ 0   ❓ 0
 </v>
      </c>
      <c r="N44" s="586"/>
      <c r="O44" s="240"/>
      <c r="P44" s="832" t="str">
        <f>Command_Center!E9</f>
        <v xml:space="preserve">B61
0%  ░░░░░░░░░░
⚠ 0   ❓ 0
PILOT </v>
      </c>
      <c r="Q44" s="833"/>
      <c r="R44" s="240"/>
      <c r="S44" s="817" t="str">
        <f>Command_Center!I9</f>
        <v xml:space="preserve">B62
50%  █████░░░░░
⚠ 0   ❓ 0
 </v>
      </c>
      <c r="T44" s="586"/>
      <c r="U44" s="240"/>
      <c r="V44" s="828" t="str">
        <f>Command_Center!M9</f>
        <v xml:space="preserve">B70
50%  █████░░░░░
⚠ 0   ❓ 0
 </v>
      </c>
      <c r="W44" s="829"/>
      <c r="X44" s="262"/>
      <c r="AA44" s="246"/>
      <c r="AB44" s="282" t="s">
        <v>5489</v>
      </c>
    </row>
    <row r="45" spans="1:31" ht="45.6" customHeight="1">
      <c r="A45" s="263"/>
      <c r="B45" s="261"/>
      <c r="C45" s="261"/>
      <c r="D45" s="263"/>
      <c r="E45" s="261"/>
      <c r="F45" s="261"/>
      <c r="G45" s="263"/>
      <c r="H45" s="261"/>
      <c r="I45" s="261"/>
      <c r="J45" s="263"/>
      <c r="K45" s="261"/>
      <c r="L45" s="261"/>
      <c r="M45" s="263"/>
      <c r="N45" s="261"/>
      <c r="O45" s="261"/>
      <c r="P45" s="263"/>
      <c r="Q45" s="261"/>
      <c r="R45" s="261"/>
      <c r="S45" s="263"/>
      <c r="T45" s="261"/>
      <c r="U45" s="261"/>
      <c r="V45" s="263"/>
      <c r="W45" s="261"/>
      <c r="X45" s="261"/>
      <c r="Y45" s="261"/>
      <c r="Z45" s="261"/>
      <c r="AA45" s="261"/>
      <c r="AB45" s="261"/>
      <c r="AC45" s="261"/>
      <c r="AD45" s="261"/>
      <c r="AE45" s="261"/>
    </row>
    <row r="46" spans="1:31" ht="56.25" customHeight="1">
      <c r="A46" s="816" t="str">
        <f>Command_Center!A10</f>
        <v xml:space="preserve">B78
50%  █████░░░░░
⚠ 0   ❓ 0
 </v>
      </c>
      <c r="B46" s="816"/>
      <c r="C46" s="240"/>
      <c r="D46" s="817" t="str">
        <f>Command_Center!E10</f>
        <v xml:space="preserve">B80
50%  █████░░░░░
⚠ 0   ❓ 0
 </v>
      </c>
      <c r="E46" s="586"/>
      <c r="F46" s="240"/>
      <c r="G46" s="817" t="str">
        <f>Command_Center!I10</f>
        <v xml:space="preserve">B82
50%  █████░░░░░
⚠ 0   ❓ 0
 </v>
      </c>
      <c r="H46" s="586"/>
      <c r="I46" s="240"/>
      <c r="J46" s="817" t="str">
        <f>Command_Center!M10</f>
        <v xml:space="preserve">BCH
50%  █████░░░░░
⚠ 0   ❓ 0
 </v>
      </c>
      <c r="K46" s="586"/>
      <c r="L46" s="240"/>
      <c r="M46" s="817" t="str">
        <f>Command_Center!A11</f>
        <v xml:space="preserve">MCR
50%  █████░░░░░
⚠ 0   ❓ 0
 </v>
      </c>
      <c r="N46" s="586"/>
      <c r="O46" s="240"/>
      <c r="P46" s="817" t="str">
        <f>Command_Center!E11</f>
        <v xml:space="preserve">SITE
50%  █████░░░░░
⚠ 0   ❓ 0
 </v>
      </c>
      <c r="Q46" s="586"/>
      <c r="R46" s="240"/>
      <c r="S46" s="818" t="str">
        <f>Command_Center!I11</f>
        <v xml:space="preserve">SPEC
0%  ░░░░░░░░░░
⚠ -   ❓ -
 </v>
      </c>
      <c r="T46" s="819"/>
      <c r="U46" s="240"/>
      <c r="V46" s="817">
        <f>Command_Center!M11</f>
        <v>0</v>
      </c>
      <c r="W46" s="586"/>
      <c r="AA46" s="247"/>
      <c r="AB46" s="309" t="s">
        <v>5490</v>
      </c>
    </row>
    <row r="47" spans="1:31" ht="22.1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row>
    <row r="48" spans="1:31" ht="69" customHeight="1">
      <c r="A48" s="820" t="s">
        <v>5494</v>
      </c>
      <c r="B48" s="820"/>
      <c r="C48" s="820"/>
      <c r="D48" s="820"/>
      <c r="E48" s="820"/>
      <c r="F48" s="820"/>
      <c r="G48" s="820"/>
      <c r="H48" s="820"/>
      <c r="I48" s="820"/>
      <c r="J48" s="820"/>
      <c r="K48" s="822" t="s">
        <v>5534</v>
      </c>
      <c r="L48" s="822"/>
      <c r="M48" s="822"/>
      <c r="N48" s="822"/>
      <c r="O48" s="822"/>
      <c r="P48" s="822"/>
      <c r="Q48" s="822"/>
      <c r="R48" s="822"/>
      <c r="S48" s="822"/>
      <c r="T48" s="822"/>
      <c r="U48" s="822"/>
      <c r="V48" s="822"/>
      <c r="W48" s="822"/>
      <c r="X48" s="822"/>
      <c r="Y48" s="822"/>
    </row>
    <row r="49" spans="1:31" ht="63.6" customHeight="1" thickBot="1">
      <c r="A49" s="821"/>
      <c r="B49" s="821"/>
      <c r="C49" s="821"/>
      <c r="D49" s="821"/>
      <c r="E49" s="821"/>
      <c r="F49" s="821"/>
      <c r="G49" s="821"/>
      <c r="H49" s="821"/>
      <c r="I49" s="821"/>
      <c r="J49" s="821"/>
      <c r="K49" s="823"/>
      <c r="L49" s="823"/>
      <c r="M49" s="823"/>
      <c r="N49" s="823"/>
      <c r="O49" s="823"/>
      <c r="P49" s="823"/>
      <c r="Q49" s="823"/>
      <c r="R49" s="823"/>
      <c r="S49" s="823"/>
      <c r="T49" s="823"/>
      <c r="U49" s="823"/>
      <c r="V49" s="823"/>
      <c r="W49" s="823"/>
      <c r="X49" s="823"/>
      <c r="Y49" s="823"/>
    </row>
    <row r="50" spans="1:31" ht="57.6" customHeight="1" thickBot="1">
      <c r="A50" s="298" t="s">
        <v>5496</v>
      </c>
      <c r="B50" s="299" t="s">
        <v>5497</v>
      </c>
      <c r="C50" s="299" t="s">
        <v>5498</v>
      </c>
      <c r="D50" s="299" t="s">
        <v>5499</v>
      </c>
      <c r="E50" s="299" t="s">
        <v>5500</v>
      </c>
      <c r="F50" s="299" t="s">
        <v>5501</v>
      </c>
      <c r="G50" s="299" t="s">
        <v>5502</v>
      </c>
      <c r="H50" s="299" t="s">
        <v>5503</v>
      </c>
      <c r="I50" s="299" t="s">
        <v>4590</v>
      </c>
      <c r="J50" s="300" t="s">
        <v>11</v>
      </c>
      <c r="K50" s="299" t="s">
        <v>4946</v>
      </c>
      <c r="L50" s="299" t="s">
        <v>77</v>
      </c>
      <c r="M50" s="299" t="s">
        <v>5566</v>
      </c>
      <c r="N50" s="299" t="s">
        <v>263</v>
      </c>
      <c r="O50" s="299" t="s">
        <v>216</v>
      </c>
      <c r="P50" s="299" t="s">
        <v>5567</v>
      </c>
      <c r="Q50" s="299" t="s">
        <v>5568</v>
      </c>
      <c r="R50" s="299" t="s">
        <v>5569</v>
      </c>
      <c r="S50" s="279" t="s">
        <v>4946</v>
      </c>
      <c r="T50" s="279" t="s">
        <v>5583</v>
      </c>
      <c r="U50" s="280"/>
      <c r="V50" s="280"/>
      <c r="W50" s="279" t="s">
        <v>5584</v>
      </c>
      <c r="X50" s="280"/>
      <c r="Y50" s="281"/>
      <c r="Z50" s="240"/>
      <c r="AA50" s="240"/>
      <c r="AB50" s="240"/>
      <c r="AC50" s="240"/>
      <c r="AD50" s="240"/>
      <c r="AE50" s="240"/>
    </row>
    <row r="51" spans="1:31" ht="60.6" customHeight="1">
      <c r="A51" s="296" t="s">
        <v>5504</v>
      </c>
      <c r="B51" s="255">
        <v>20</v>
      </c>
      <c r="C51" s="255">
        <v>5</v>
      </c>
      <c r="D51" s="255">
        <f t="shared" ref="D51:D58" si="0">B51*C51</f>
        <v>100</v>
      </c>
      <c r="E51" s="255">
        <v>4</v>
      </c>
      <c r="F51" s="255">
        <f t="shared" ref="F51:F58" si="1">B51*E51</f>
        <v>80</v>
      </c>
      <c r="G51" s="255" t="s">
        <v>54</v>
      </c>
      <c r="H51" s="255" t="s">
        <v>5505</v>
      </c>
      <c r="I51" s="255" t="s">
        <v>536</v>
      </c>
      <c r="J51" s="297"/>
      <c r="K51" s="289" t="s">
        <v>5570</v>
      </c>
      <c r="L51" s="274" t="s">
        <v>1096</v>
      </c>
      <c r="M51" s="273"/>
      <c r="N51" s="273"/>
      <c r="O51" s="273"/>
      <c r="P51" s="273"/>
      <c r="Q51" s="275" t="str">
        <f t="shared" ref="Q51:Q58" si="2">IF(OR(L51="Yes",L51="N/A"),"🟢","🟡")</f>
        <v>🟡</v>
      </c>
      <c r="R51" s="290"/>
      <c r="S51" s="287" t="s">
        <v>5570</v>
      </c>
      <c r="T51" s="577" t="s">
        <v>5585</v>
      </c>
      <c r="U51" s="577"/>
      <c r="V51" s="577"/>
      <c r="W51" s="577" t="s">
        <v>5586</v>
      </c>
      <c r="X51" s="577"/>
      <c r="Y51" s="827"/>
    </row>
    <row r="52" spans="1:31" ht="69" customHeight="1">
      <c r="A52" s="296" t="s">
        <v>5506</v>
      </c>
      <c r="B52" s="255">
        <v>15</v>
      </c>
      <c r="C52" s="255">
        <v>4</v>
      </c>
      <c r="D52" s="255">
        <f t="shared" si="0"/>
        <v>60</v>
      </c>
      <c r="E52" s="255">
        <v>5</v>
      </c>
      <c r="F52" s="255">
        <f t="shared" si="1"/>
        <v>75</v>
      </c>
      <c r="G52" s="255" t="s">
        <v>26</v>
      </c>
      <c r="H52" s="255" t="s">
        <v>5507</v>
      </c>
      <c r="I52" s="255" t="s">
        <v>5508</v>
      </c>
      <c r="J52" s="297"/>
      <c r="K52" s="289" t="s">
        <v>5571</v>
      </c>
      <c r="L52" s="274" t="s">
        <v>1096</v>
      </c>
      <c r="M52" s="273"/>
      <c r="N52" s="273"/>
      <c r="O52" s="273"/>
      <c r="P52" s="273"/>
      <c r="Q52" s="275" t="str">
        <f t="shared" si="2"/>
        <v>🟡</v>
      </c>
      <c r="R52" s="290"/>
      <c r="S52" s="287" t="s">
        <v>5571</v>
      </c>
      <c r="T52" s="577" t="s">
        <v>5587</v>
      </c>
      <c r="U52" s="577"/>
      <c r="V52" s="577"/>
      <c r="W52" s="577" t="s">
        <v>5588</v>
      </c>
      <c r="X52" s="577"/>
      <c r="Y52" s="827"/>
    </row>
    <row r="53" spans="1:31" ht="57" customHeight="1">
      <c r="A53" s="296" t="s">
        <v>5509</v>
      </c>
      <c r="B53" s="255">
        <v>15</v>
      </c>
      <c r="C53" s="255">
        <v>5</v>
      </c>
      <c r="D53" s="255">
        <f t="shared" si="0"/>
        <v>75</v>
      </c>
      <c r="E53" s="255">
        <v>3</v>
      </c>
      <c r="F53" s="255">
        <f t="shared" si="1"/>
        <v>45</v>
      </c>
      <c r="G53" s="255" t="s">
        <v>54</v>
      </c>
      <c r="H53" s="255" t="s">
        <v>5510</v>
      </c>
      <c r="I53" s="255" t="s">
        <v>536</v>
      </c>
      <c r="J53" s="297"/>
      <c r="K53" s="289" t="s">
        <v>5572</v>
      </c>
      <c r="L53" s="274" t="s">
        <v>1096</v>
      </c>
      <c r="M53" s="273"/>
      <c r="N53" s="273"/>
      <c r="O53" s="273"/>
      <c r="P53" s="273"/>
      <c r="Q53" s="275" t="str">
        <f t="shared" si="2"/>
        <v>🟡</v>
      </c>
      <c r="R53" s="290"/>
      <c r="S53" s="287" t="s">
        <v>5572</v>
      </c>
      <c r="T53" s="577" t="s">
        <v>5589</v>
      </c>
      <c r="U53" s="577"/>
      <c r="V53" s="577"/>
      <c r="W53" s="577" t="s">
        <v>5590</v>
      </c>
      <c r="X53" s="577"/>
      <c r="Y53" s="827"/>
    </row>
    <row r="54" spans="1:31" ht="57" customHeight="1">
      <c r="A54" s="296" t="s">
        <v>5511</v>
      </c>
      <c r="B54" s="255">
        <v>15</v>
      </c>
      <c r="C54" s="255">
        <v>3</v>
      </c>
      <c r="D54" s="255">
        <f t="shared" si="0"/>
        <v>45</v>
      </c>
      <c r="E54" s="255">
        <v>4</v>
      </c>
      <c r="F54" s="255">
        <f t="shared" si="1"/>
        <v>60</v>
      </c>
      <c r="G54" s="255" t="s">
        <v>26</v>
      </c>
      <c r="H54" s="255" t="s">
        <v>5512</v>
      </c>
      <c r="I54" s="255" t="s">
        <v>5513</v>
      </c>
      <c r="J54" s="297"/>
      <c r="K54" s="289" t="s">
        <v>5168</v>
      </c>
      <c r="L54" s="274" t="s">
        <v>1096</v>
      </c>
      <c r="M54" s="273"/>
      <c r="N54" s="273"/>
      <c r="O54" s="273"/>
      <c r="P54" s="273"/>
      <c r="Q54" s="275" t="str">
        <f t="shared" si="2"/>
        <v>🟡</v>
      </c>
      <c r="R54" s="290"/>
      <c r="S54" s="287" t="s">
        <v>5168</v>
      </c>
      <c r="T54" s="577" t="s">
        <v>5591</v>
      </c>
      <c r="U54" s="577"/>
      <c r="V54" s="577"/>
      <c r="W54" s="577" t="s">
        <v>5592</v>
      </c>
      <c r="X54" s="577"/>
      <c r="Y54" s="827"/>
    </row>
    <row r="55" spans="1:31" ht="39.6" customHeight="1">
      <c r="A55" s="296" t="s">
        <v>5514</v>
      </c>
      <c r="B55" s="255">
        <v>10</v>
      </c>
      <c r="C55" s="255">
        <v>5</v>
      </c>
      <c r="D55" s="255">
        <f t="shared" si="0"/>
        <v>50</v>
      </c>
      <c r="E55" s="255">
        <v>3</v>
      </c>
      <c r="F55" s="255">
        <f t="shared" si="1"/>
        <v>30</v>
      </c>
      <c r="G55" s="255" t="s">
        <v>54</v>
      </c>
      <c r="H55" s="255" t="s">
        <v>5515</v>
      </c>
      <c r="I55" s="255" t="s">
        <v>5516</v>
      </c>
      <c r="J55" s="297"/>
      <c r="K55" s="289" t="s">
        <v>5573</v>
      </c>
      <c r="L55" s="274" t="s">
        <v>1096</v>
      </c>
      <c r="M55" s="273"/>
      <c r="N55" s="273"/>
      <c r="O55" s="273"/>
      <c r="P55" s="273"/>
      <c r="Q55" s="275" t="str">
        <f t="shared" si="2"/>
        <v>🟡</v>
      </c>
      <c r="R55" s="290"/>
      <c r="S55" s="287" t="s">
        <v>5573</v>
      </c>
      <c r="T55" s="577" t="s">
        <v>5593</v>
      </c>
      <c r="U55" s="577"/>
      <c r="V55" s="577"/>
      <c r="W55" s="577" t="s">
        <v>5594</v>
      </c>
      <c r="X55" s="577"/>
      <c r="Y55" s="827"/>
    </row>
    <row r="56" spans="1:31" ht="115.15" customHeight="1">
      <c r="A56" s="296" t="s">
        <v>5517</v>
      </c>
      <c r="B56" s="255">
        <v>10</v>
      </c>
      <c r="C56" s="255">
        <v>5</v>
      </c>
      <c r="D56" s="255">
        <f t="shared" si="0"/>
        <v>50</v>
      </c>
      <c r="E56" s="255">
        <v>3</v>
      </c>
      <c r="F56" s="255">
        <f t="shared" si="1"/>
        <v>30</v>
      </c>
      <c r="G56" s="255" t="s">
        <v>54</v>
      </c>
      <c r="H56" s="255" t="s">
        <v>5518</v>
      </c>
      <c r="I56" s="255" t="s">
        <v>5519</v>
      </c>
      <c r="J56" s="297"/>
      <c r="K56" s="289" t="s">
        <v>5574</v>
      </c>
      <c r="L56" s="274" t="s">
        <v>1096</v>
      </c>
      <c r="M56" s="273"/>
      <c r="N56" s="273"/>
      <c r="O56" s="273"/>
      <c r="P56" s="273"/>
      <c r="Q56" s="275" t="str">
        <f t="shared" si="2"/>
        <v>🟡</v>
      </c>
      <c r="R56" s="290"/>
      <c r="S56" s="287" t="s">
        <v>5574</v>
      </c>
      <c r="T56" s="577" t="s">
        <v>5595</v>
      </c>
      <c r="U56" s="577"/>
      <c r="V56" s="577"/>
      <c r="W56" s="577" t="s">
        <v>5596</v>
      </c>
      <c r="X56" s="577"/>
      <c r="Y56" s="827"/>
    </row>
    <row r="57" spans="1:31" ht="53.45" customHeight="1">
      <c r="A57" s="296" t="s">
        <v>5520</v>
      </c>
      <c r="B57" s="255">
        <v>10</v>
      </c>
      <c r="C57" s="255">
        <v>4</v>
      </c>
      <c r="D57" s="255">
        <f t="shared" si="0"/>
        <v>40</v>
      </c>
      <c r="E57" s="255">
        <v>4</v>
      </c>
      <c r="F57" s="255">
        <f t="shared" si="1"/>
        <v>40</v>
      </c>
      <c r="G57" s="255" t="s">
        <v>5521</v>
      </c>
      <c r="H57" s="255" t="s">
        <v>5522</v>
      </c>
      <c r="I57" s="255" t="s">
        <v>5523</v>
      </c>
      <c r="J57" s="297"/>
      <c r="K57" s="289" t="s">
        <v>178</v>
      </c>
      <c r="L57" s="274" t="s">
        <v>1096</v>
      </c>
      <c r="M57" s="273"/>
      <c r="N57" s="273"/>
      <c r="O57" s="273"/>
      <c r="P57" s="273"/>
      <c r="Q57" s="275" t="str">
        <f t="shared" si="2"/>
        <v>🟡</v>
      </c>
      <c r="R57" s="290"/>
      <c r="S57" s="287" t="s">
        <v>178</v>
      </c>
      <c r="T57" s="577" t="s">
        <v>5597</v>
      </c>
      <c r="U57" s="577"/>
      <c r="V57" s="577"/>
      <c r="W57" s="577" t="s">
        <v>5598</v>
      </c>
      <c r="X57" s="577"/>
      <c r="Y57" s="827"/>
    </row>
    <row r="58" spans="1:31" ht="37.15" customHeight="1" thickBot="1">
      <c r="A58" s="296" t="s">
        <v>5524</v>
      </c>
      <c r="B58" s="255">
        <v>5</v>
      </c>
      <c r="C58" s="255">
        <v>5</v>
      </c>
      <c r="D58" s="255">
        <f t="shared" si="0"/>
        <v>25</v>
      </c>
      <c r="E58" s="255">
        <v>3</v>
      </c>
      <c r="F58" s="255">
        <f t="shared" si="1"/>
        <v>15</v>
      </c>
      <c r="G58" s="255" t="s">
        <v>54</v>
      </c>
      <c r="H58" s="255" t="s">
        <v>5525</v>
      </c>
      <c r="I58" s="255" t="s">
        <v>5526</v>
      </c>
      <c r="J58" s="297"/>
      <c r="K58" s="291" t="s">
        <v>5575</v>
      </c>
      <c r="L58" s="292" t="s">
        <v>1096</v>
      </c>
      <c r="M58" s="293"/>
      <c r="N58" s="293"/>
      <c r="O58" s="293"/>
      <c r="P58" s="293"/>
      <c r="Q58" s="294" t="str">
        <f t="shared" si="2"/>
        <v>🟡</v>
      </c>
      <c r="R58" s="295"/>
      <c r="S58" s="288" t="s">
        <v>5575</v>
      </c>
      <c r="T58" s="870" t="s">
        <v>5599</v>
      </c>
      <c r="U58" s="870"/>
      <c r="V58" s="870"/>
      <c r="W58" s="870" t="s">
        <v>5600</v>
      </c>
      <c r="X58" s="870"/>
      <c r="Y58" s="872"/>
    </row>
    <row r="59" spans="1:31" ht="46.15" customHeight="1" thickBot="1">
      <c r="A59" s="871" t="s">
        <v>5527</v>
      </c>
      <c r="B59" s="871"/>
      <c r="C59" s="871"/>
      <c r="D59" s="871"/>
      <c r="E59" s="871"/>
      <c r="F59" s="871"/>
      <c r="G59" s="871"/>
      <c r="H59" s="871"/>
      <c r="I59" s="871"/>
      <c r="J59" s="871"/>
      <c r="K59" s="311"/>
      <c r="L59" s="311"/>
      <c r="M59" s="311"/>
      <c r="N59" s="311"/>
      <c r="O59" s="311"/>
      <c r="P59" s="311"/>
      <c r="Q59" s="311"/>
      <c r="R59" s="311"/>
      <c r="S59" s="311"/>
      <c r="T59" s="311"/>
      <c r="U59" s="311"/>
      <c r="V59" s="311"/>
      <c r="W59" s="311"/>
      <c r="X59" s="311"/>
      <c r="Y59" s="311"/>
    </row>
    <row r="60" spans="1:31" ht="40.15" customHeight="1">
      <c r="A60" s="301" t="s">
        <v>5528</v>
      </c>
      <c r="B60" s="302">
        <f>SUM(D51:D58)</f>
        <v>445</v>
      </c>
      <c r="C60" s="303" t="s">
        <v>5529</v>
      </c>
      <c r="D60" s="302">
        <f>SUM(F51:F58)</f>
        <v>375</v>
      </c>
      <c r="E60" s="304" t="s">
        <v>5530</v>
      </c>
      <c r="F60" s="304" t="str">
        <f>IF(B60&gt;D60,"B61",IF(D60&gt;B60,"B08","Tie"))</f>
        <v>B61</v>
      </c>
      <c r="G60" s="305"/>
      <c r="H60" s="305"/>
      <c r="I60" s="305"/>
      <c r="J60" s="306"/>
    </row>
    <row r="61" spans="1:31" ht="55.15" customHeight="1">
      <c r="A61" s="814" t="s">
        <v>5531</v>
      </c>
      <c r="B61" s="815"/>
      <c r="C61" s="257"/>
      <c r="D61" s="257"/>
      <c r="E61" s="257"/>
      <c r="F61" s="257"/>
      <c r="G61" s="257"/>
      <c r="H61" s="257"/>
      <c r="I61" s="257"/>
      <c r="J61" s="307"/>
    </row>
    <row r="62" spans="1:31" ht="50.45" customHeight="1">
      <c r="A62" s="824"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825"/>
      <c r="C62" s="825"/>
      <c r="D62" s="825"/>
      <c r="E62" s="825"/>
      <c r="F62" s="825"/>
      <c r="G62" s="825"/>
      <c r="H62" s="825"/>
      <c r="I62" s="825"/>
      <c r="J62" s="826"/>
    </row>
    <row r="63" spans="1:31" ht="81.599999999999994" customHeight="1" thickBot="1">
      <c r="A63" s="308" t="s">
        <v>5532</v>
      </c>
      <c r="B63" s="812" t="s">
        <v>5533</v>
      </c>
      <c r="C63" s="812"/>
      <c r="D63" s="812"/>
      <c r="E63" s="812"/>
      <c r="F63" s="812"/>
      <c r="G63" s="812"/>
      <c r="H63" s="812"/>
      <c r="I63" s="812"/>
      <c r="J63" s="813"/>
    </row>
    <row r="64" spans="1:31" ht="87.6" customHeight="1"/>
    <row r="65" ht="85.15" customHeight="1"/>
    <row r="66" ht="86.45" customHeight="1"/>
    <row r="68" ht="76.900000000000006" customHeight="1"/>
    <row r="70" ht="46.15" customHeight="1"/>
    <row r="71" ht="109.15" customHeight="1"/>
    <row r="72" ht="94.15" customHeight="1"/>
    <row r="73" ht="60" customHeight="1"/>
    <row r="74" ht="74.45" customHeight="1"/>
    <row r="75" ht="61.15" customHeight="1"/>
    <row r="76" ht="72" customHeight="1"/>
    <row r="77" ht="83.45" customHeight="1"/>
    <row r="78" ht="78.599999999999994" customHeight="1"/>
    <row r="83" ht="70.150000000000006" customHeight="1"/>
    <row r="84" ht="67.900000000000006" customHeight="1"/>
    <row r="85" ht="54.6" customHeight="1"/>
    <row r="86" ht="51" customHeight="1"/>
    <row r="87" ht="63" customHeight="1"/>
    <row r="88" ht="61.9" customHeight="1"/>
    <row r="89" ht="49.15" customHeight="1"/>
    <row r="100" ht="90.6" customHeight="1"/>
    <row r="101" ht="63" customHeight="1"/>
    <row r="102" ht="58.15" customHeight="1"/>
    <row r="103" ht="69" customHeight="1"/>
    <row r="105" ht="62.45" customHeight="1"/>
    <row r="106" ht="71.45" customHeight="1"/>
    <row r="107" ht="51" customHeight="1"/>
  </sheetData>
  <mergeCells count="133">
    <mergeCell ref="C34:D34"/>
    <mergeCell ref="F32:G32"/>
    <mergeCell ref="H32:I32"/>
    <mergeCell ref="S32:T32"/>
    <mergeCell ref="F33:G34"/>
    <mergeCell ref="H33:I34"/>
    <mergeCell ref="K33:K34"/>
    <mergeCell ref="L33:L34"/>
    <mergeCell ref="M33:M34"/>
    <mergeCell ref="O33:O34"/>
    <mergeCell ref="P33:P34"/>
    <mergeCell ref="Q33:Q34"/>
    <mergeCell ref="S33:T34"/>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W55:Y55"/>
    <mergeCell ref="W56:Y56"/>
    <mergeCell ref="V44:W44"/>
    <mergeCell ref="A42:B42"/>
    <mergeCell ref="D42:E42"/>
    <mergeCell ref="G42:H42"/>
    <mergeCell ref="J42:K42"/>
    <mergeCell ref="M42:N42"/>
    <mergeCell ref="P42:Q42"/>
    <mergeCell ref="S42:T42"/>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s>
  <conditionalFormatting sqref="A40:A46">
    <cfRule type="expression" dxfId="1559" priority="21">
      <formula>ISNUMBER(SEARCH("100%",A40))</formula>
    </cfRule>
    <cfRule type="expression" dxfId="1558" priority="22">
      <formula>ISNUMBER(SEARCH("50%",A40))</formula>
    </cfRule>
    <cfRule type="expression" dxfId="1557" priority="23">
      <formula>ISNUMBER(SEARCH("n/a",A40))</formula>
    </cfRule>
  </conditionalFormatting>
  <conditionalFormatting sqref="D40:D46">
    <cfRule type="expression" dxfId="1556" priority="26">
      <formula>ISNUMBER(SEARCH("n/a",D40))</formula>
    </cfRule>
    <cfRule type="expression" dxfId="1555" priority="24">
      <formula>ISNUMBER(SEARCH("100%",D40))</formula>
    </cfRule>
    <cfRule type="expression" dxfId="1554" priority="25">
      <formula>ISNUMBER(SEARCH("50%",D40))</formula>
    </cfRule>
  </conditionalFormatting>
  <conditionalFormatting sqref="G40:G46">
    <cfRule type="expression" dxfId="1553" priority="27">
      <formula>ISNUMBER(SEARCH("100%",G40))</formula>
    </cfRule>
    <cfRule type="expression" dxfId="1552" priority="29">
      <formula>ISNUMBER(SEARCH("n/a",G40))</formula>
    </cfRule>
    <cfRule type="expression" dxfId="1551" priority="28">
      <formula>ISNUMBER(SEARCH("50%",G40))</formula>
    </cfRule>
  </conditionalFormatting>
  <conditionalFormatting sqref="J40:J46">
    <cfRule type="expression" dxfId="1550" priority="32">
      <formula>ISNUMBER(SEARCH("n/a",J40))</formula>
    </cfRule>
    <cfRule type="expression" dxfId="1549" priority="31">
      <formula>ISNUMBER(SEARCH("50%",J40))</formula>
    </cfRule>
    <cfRule type="expression" dxfId="1548" priority="30">
      <formula>ISNUMBER(SEARCH("100%",J40))</formula>
    </cfRule>
  </conditionalFormatting>
  <conditionalFormatting sqref="L51:L58">
    <cfRule type="expression" dxfId="1547" priority="7">
      <formula>L51="N/A"</formula>
    </cfRule>
    <cfRule type="expression" dxfId="1546" priority="8">
      <formula>L51="No"</formula>
    </cfRule>
    <cfRule type="expression" dxfId="1545" priority="6">
      <formula>L51="Yes"</formula>
    </cfRule>
  </conditionalFormatting>
  <conditionalFormatting sqref="M40:M46">
    <cfRule type="expression" dxfId="1544" priority="33">
      <formula>ISNUMBER(SEARCH("100%",M40))</formula>
    </cfRule>
    <cfRule type="expression" dxfId="1543" priority="34">
      <formula>ISNUMBER(SEARCH("50%",M40))</formula>
    </cfRule>
    <cfRule type="expression" dxfId="1542" priority="35">
      <formula>ISNUMBER(SEARCH("n/a",M40))</formula>
    </cfRule>
  </conditionalFormatting>
  <conditionalFormatting sqref="O17:Q17">
    <cfRule type="expression" dxfId="1541" priority="11">
      <formula>ISNUMBER(SEARCH("Review",O17))</formula>
    </cfRule>
    <cfRule type="expression" dxfId="1540" priority="12">
      <formula>ISNUMBER(SEARCH("Pass",O17))</formula>
    </cfRule>
  </conditionalFormatting>
  <conditionalFormatting sqref="O19:Q19">
    <cfRule type="expression" dxfId="1539" priority="13">
      <formula>ISNUMBER(SEARCH("Review",O19))</formula>
    </cfRule>
    <cfRule type="expression" dxfId="1538" priority="14">
      <formula>ISNUMBER(SEARCH("Pass",O19))</formula>
    </cfRule>
  </conditionalFormatting>
  <conditionalFormatting sqref="O21:Q21">
    <cfRule type="expression" dxfId="1537" priority="16">
      <formula>ISNUMBER(SEARCH("Pass",O21))</formula>
    </cfRule>
    <cfRule type="expression" dxfId="1536" priority="15">
      <formula>ISNUMBER(SEARCH("Review",O21))</formula>
    </cfRule>
  </conditionalFormatting>
  <conditionalFormatting sqref="O23:Q23">
    <cfRule type="expression" dxfId="1535" priority="18">
      <formula>ISNUMBER(SEARCH("Pass",O23))</formula>
    </cfRule>
    <cfRule type="expression" dxfId="1534" priority="17">
      <formula>ISNUMBER(SEARCH("Review",O23))</formula>
    </cfRule>
  </conditionalFormatting>
  <conditionalFormatting sqref="O25:Q25">
    <cfRule type="expression" dxfId="1533" priority="20">
      <formula>ISNUMBER(SEARCH("Pass",O25))</formula>
    </cfRule>
    <cfRule type="expression" dxfId="1532" priority="19">
      <formula>ISNUMBER(SEARCH("Review",O25))</formula>
    </cfRule>
  </conditionalFormatting>
  <conditionalFormatting sqref="P40:P46">
    <cfRule type="expression" dxfId="1531" priority="36">
      <formula>ISNUMBER(SEARCH("100%",P40))</formula>
    </cfRule>
    <cfRule type="expression" dxfId="1530" priority="37">
      <formula>ISNUMBER(SEARCH("50%",P40))</formula>
    </cfRule>
    <cfRule type="expression" dxfId="1529" priority="38">
      <formula>ISNUMBER(SEARCH("n/a",P40))</formula>
    </cfRule>
  </conditionalFormatting>
  <conditionalFormatting sqref="S40:S46">
    <cfRule type="expression" dxfId="1528" priority="39">
      <formula>ISNUMBER(SEARCH("100%",S40))</formula>
    </cfRule>
    <cfRule type="expression" dxfId="1527" priority="40">
      <formula>ISNUMBER(SEARCH("50%",S40))</formula>
    </cfRule>
    <cfRule type="expression" dxfId="1526" priority="41">
      <formula>ISNUMBER(SEARCH("n/a",S40))</formula>
    </cfRule>
  </conditionalFormatting>
  <conditionalFormatting sqref="V40:V46">
    <cfRule type="expression" dxfId="1525" priority="42">
      <formula>ISNUMBER(SEARCH("100%",V40))</formula>
    </cfRule>
    <cfRule type="expression" dxfId="1524" priority="43">
      <formula>ISNUMBER(SEARCH("50%",V40))</formula>
    </cfRule>
    <cfRule type="expression" dxfId="1523"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defaultColWidth="8.85546875" defaultRowHeight="12.75"/>
  <cols>
    <col min="1" max="1" width="20" style="192" customWidth="1"/>
    <col min="2" max="2" width="25.5703125" style="192" customWidth="1"/>
    <col min="3" max="4" width="17.7109375" style="192" customWidth="1"/>
    <col min="5" max="5" width="18.7109375" style="192" customWidth="1"/>
    <col min="6" max="7" width="17.7109375" style="192" customWidth="1"/>
    <col min="8" max="8" width="31.85546875" style="192" customWidth="1"/>
    <col min="9" max="9" width="17.7109375" style="192" customWidth="1"/>
    <col min="10" max="10" width="44.42578125" style="192" customWidth="1"/>
    <col min="11" max="16384" width="8.85546875" style="192"/>
  </cols>
  <sheetData>
    <row r="1" spans="1:26" ht="20.25">
      <c r="A1" s="884" t="s">
        <v>5494</v>
      </c>
      <c r="B1" s="884"/>
      <c r="C1" s="884"/>
      <c r="D1" s="884"/>
      <c r="E1" s="884"/>
      <c r="F1" s="884"/>
      <c r="G1" s="884"/>
      <c r="H1" s="884"/>
      <c r="I1" s="884"/>
      <c r="J1" s="884"/>
      <c r="K1" s="249"/>
      <c r="L1" s="249"/>
      <c r="M1" s="249"/>
      <c r="N1" s="249"/>
      <c r="O1" s="249"/>
      <c r="P1" s="249"/>
      <c r="Q1" s="249"/>
      <c r="R1" s="249"/>
      <c r="S1" s="249"/>
      <c r="T1" s="249"/>
      <c r="U1" s="249"/>
      <c r="V1" s="249"/>
      <c r="W1" s="249"/>
      <c r="X1" s="249"/>
      <c r="Y1" s="249"/>
      <c r="Z1" s="249"/>
    </row>
    <row r="2" spans="1:26" ht="14.25">
      <c r="A2" s="885" t="s">
        <v>5495</v>
      </c>
      <c r="B2" s="885"/>
      <c r="C2" s="885"/>
      <c r="D2" s="885"/>
      <c r="E2" s="885"/>
      <c r="F2" s="885"/>
      <c r="G2" s="885"/>
      <c r="H2" s="885"/>
      <c r="I2" s="885"/>
      <c r="J2" s="885"/>
    </row>
    <row r="4" spans="1:26" ht="15">
      <c r="A4" s="254" t="s">
        <v>5496</v>
      </c>
      <c r="B4" s="254" t="s">
        <v>5497</v>
      </c>
      <c r="C4" s="254" t="s">
        <v>5498</v>
      </c>
      <c r="D4" s="254" t="s">
        <v>5499</v>
      </c>
      <c r="E4" s="254" t="s">
        <v>5500</v>
      </c>
      <c r="F4" s="254" t="s">
        <v>5501</v>
      </c>
      <c r="G4" s="254" t="s">
        <v>5502</v>
      </c>
      <c r="H4" s="254" t="s">
        <v>5503</v>
      </c>
      <c r="I4" s="254" t="s">
        <v>4590</v>
      </c>
      <c r="J4" s="254" t="s">
        <v>11</v>
      </c>
    </row>
    <row r="5" spans="1:26" ht="33.6" customHeight="1">
      <c r="A5" s="255" t="s">
        <v>5504</v>
      </c>
      <c r="B5" s="255">
        <v>20</v>
      </c>
      <c r="C5" s="255">
        <v>5</v>
      </c>
      <c r="D5" s="255">
        <f t="shared" ref="D5:D12" si="0">B5*C5</f>
        <v>100</v>
      </c>
      <c r="E5" s="255">
        <v>4</v>
      </c>
      <c r="F5" s="255">
        <f t="shared" ref="F5:F12" si="1">B5*E5</f>
        <v>80</v>
      </c>
      <c r="G5" s="255" t="s">
        <v>54</v>
      </c>
      <c r="H5" s="255" t="s">
        <v>5505</v>
      </c>
      <c r="I5" s="255" t="s">
        <v>536</v>
      </c>
      <c r="J5" s="255"/>
    </row>
    <row r="6" spans="1:26" ht="34.15" customHeight="1">
      <c r="A6" s="255" t="s">
        <v>5506</v>
      </c>
      <c r="B6" s="255">
        <v>15</v>
      </c>
      <c r="C6" s="255">
        <v>4</v>
      </c>
      <c r="D6" s="255">
        <f t="shared" si="0"/>
        <v>60</v>
      </c>
      <c r="E6" s="255">
        <v>5</v>
      </c>
      <c r="F6" s="255">
        <f t="shared" si="1"/>
        <v>75</v>
      </c>
      <c r="G6" s="255" t="s">
        <v>26</v>
      </c>
      <c r="H6" s="255" t="s">
        <v>5507</v>
      </c>
      <c r="I6" s="255" t="s">
        <v>5508</v>
      </c>
      <c r="J6" s="255"/>
    </row>
    <row r="7" spans="1:26" ht="24">
      <c r="A7" s="255" t="s">
        <v>5509</v>
      </c>
      <c r="B7" s="255">
        <v>15</v>
      </c>
      <c r="C7" s="255">
        <v>5</v>
      </c>
      <c r="D7" s="255">
        <f t="shared" si="0"/>
        <v>75</v>
      </c>
      <c r="E7" s="255">
        <v>3</v>
      </c>
      <c r="F7" s="255">
        <f t="shared" si="1"/>
        <v>45</v>
      </c>
      <c r="G7" s="255" t="s">
        <v>54</v>
      </c>
      <c r="H7" s="255" t="s">
        <v>5510</v>
      </c>
      <c r="I7" s="255" t="s">
        <v>536</v>
      </c>
      <c r="J7" s="255"/>
    </row>
    <row r="8" spans="1:26" ht="24">
      <c r="A8" s="255" t="s">
        <v>5511</v>
      </c>
      <c r="B8" s="255">
        <v>15</v>
      </c>
      <c r="C8" s="255">
        <v>3</v>
      </c>
      <c r="D8" s="255">
        <f t="shared" si="0"/>
        <v>45</v>
      </c>
      <c r="E8" s="255">
        <v>4</v>
      </c>
      <c r="F8" s="255">
        <f t="shared" si="1"/>
        <v>60</v>
      </c>
      <c r="G8" s="255" t="s">
        <v>26</v>
      </c>
      <c r="H8" s="255" t="s">
        <v>5512</v>
      </c>
      <c r="I8" s="255" t="s">
        <v>5513</v>
      </c>
      <c r="J8" s="255"/>
    </row>
    <row r="9" spans="1:26" ht="24">
      <c r="A9" s="255" t="s">
        <v>5514</v>
      </c>
      <c r="B9" s="255">
        <v>10</v>
      </c>
      <c r="C9" s="255">
        <v>5</v>
      </c>
      <c r="D9" s="255">
        <f t="shared" si="0"/>
        <v>50</v>
      </c>
      <c r="E9" s="255">
        <v>3</v>
      </c>
      <c r="F9" s="255">
        <f t="shared" si="1"/>
        <v>30</v>
      </c>
      <c r="G9" s="255" t="s">
        <v>54</v>
      </c>
      <c r="H9" s="255" t="s">
        <v>5515</v>
      </c>
      <c r="I9" s="255" t="s">
        <v>5516</v>
      </c>
      <c r="J9" s="255"/>
    </row>
    <row r="10" spans="1:26" ht="29.45" customHeight="1">
      <c r="A10" s="255" t="s">
        <v>5517</v>
      </c>
      <c r="B10" s="255">
        <v>10</v>
      </c>
      <c r="C10" s="255">
        <v>5</v>
      </c>
      <c r="D10" s="255">
        <f t="shared" si="0"/>
        <v>50</v>
      </c>
      <c r="E10" s="255">
        <v>3</v>
      </c>
      <c r="F10" s="255">
        <f t="shared" si="1"/>
        <v>30</v>
      </c>
      <c r="G10" s="255" t="s">
        <v>54</v>
      </c>
      <c r="H10" s="255" t="s">
        <v>5518</v>
      </c>
      <c r="I10" s="255" t="s">
        <v>5519</v>
      </c>
      <c r="J10" s="255"/>
    </row>
    <row r="11" spans="1:26" ht="22.15" customHeight="1">
      <c r="A11" s="255" t="s">
        <v>5520</v>
      </c>
      <c r="B11" s="255">
        <v>10</v>
      </c>
      <c r="C11" s="255">
        <v>4</v>
      </c>
      <c r="D11" s="255">
        <f t="shared" si="0"/>
        <v>40</v>
      </c>
      <c r="E11" s="255">
        <v>4</v>
      </c>
      <c r="F11" s="255">
        <f t="shared" si="1"/>
        <v>40</v>
      </c>
      <c r="G11" s="255" t="s">
        <v>5521</v>
      </c>
      <c r="H11" s="255" t="s">
        <v>5522</v>
      </c>
      <c r="I11" s="255" t="s">
        <v>5523</v>
      </c>
      <c r="J11" s="255"/>
    </row>
    <row r="12" spans="1:26" ht="24">
      <c r="A12" s="255" t="s">
        <v>5524</v>
      </c>
      <c r="B12" s="255">
        <v>5</v>
      </c>
      <c r="C12" s="255">
        <v>5</v>
      </c>
      <c r="D12" s="255">
        <f t="shared" si="0"/>
        <v>25</v>
      </c>
      <c r="E12" s="255">
        <v>3</v>
      </c>
      <c r="F12" s="255">
        <f t="shared" si="1"/>
        <v>15</v>
      </c>
      <c r="G12" s="255" t="s">
        <v>54</v>
      </c>
      <c r="H12" s="255" t="s">
        <v>5525</v>
      </c>
      <c r="I12" s="255" t="s">
        <v>5526</v>
      </c>
      <c r="J12" s="255"/>
    </row>
    <row r="14" spans="1:26" ht="15">
      <c r="A14" s="256" t="s">
        <v>5527</v>
      </c>
      <c r="B14" s="256"/>
      <c r="C14" s="256"/>
      <c r="D14" s="256"/>
      <c r="E14" s="256"/>
      <c r="F14" s="256"/>
      <c r="G14" s="256"/>
      <c r="H14" s="256"/>
      <c r="I14" s="256"/>
      <c r="J14" s="256"/>
    </row>
    <row r="15" spans="1:26" ht="30">
      <c r="A15" s="519" t="s">
        <v>5528</v>
      </c>
      <c r="B15" s="520">
        <f>SUM(D5:D12)</f>
        <v>445</v>
      </c>
      <c r="C15" s="521" t="s">
        <v>5529</v>
      </c>
      <c r="D15" s="522">
        <f>SUM(F5:F12)</f>
        <v>375</v>
      </c>
      <c r="E15" s="257" t="s">
        <v>5530</v>
      </c>
      <c r="F15" s="523" t="str">
        <f>IF(B15&gt;D15,"B61",IF(D15&gt;B15,"B08","Tie"))</f>
        <v>B61</v>
      </c>
      <c r="G15" s="257"/>
      <c r="H15" s="257"/>
      <c r="I15" s="257"/>
      <c r="J15" s="257"/>
    </row>
    <row r="16" spans="1:26" ht="41.45" customHeight="1">
      <c r="A16" s="257"/>
      <c r="B16" s="257"/>
      <c r="C16" s="257"/>
      <c r="D16" s="257"/>
      <c r="E16" s="257"/>
      <c r="F16" s="257"/>
      <c r="G16" s="257"/>
      <c r="H16" s="257"/>
      <c r="I16" s="257"/>
      <c r="J16" s="257"/>
    </row>
    <row r="17" spans="1:10" ht="60.6" customHeight="1">
      <c r="A17" s="825"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825"/>
      <c r="C17" s="825"/>
      <c r="D17" s="825"/>
      <c r="E17" s="825"/>
      <c r="F17" s="825"/>
      <c r="G17" s="825"/>
      <c r="H17" s="825"/>
      <c r="I17" s="825"/>
      <c r="J17" s="825"/>
    </row>
    <row r="18" spans="1:10" ht="110.45" customHeight="1">
      <c r="A18" s="257" t="s">
        <v>5532</v>
      </c>
      <c r="B18" s="886" t="s">
        <v>5533</v>
      </c>
      <c r="C18" s="886"/>
      <c r="D18" s="886"/>
      <c r="E18" s="886"/>
      <c r="F18" s="886"/>
      <c r="G18" s="886"/>
      <c r="H18" s="886"/>
      <c r="I18" s="257"/>
      <c r="J18" s="257"/>
    </row>
    <row r="21" spans="1:10" ht="30">
      <c r="A21" s="258" t="s">
        <v>5534</v>
      </c>
      <c r="B21" s="258"/>
      <c r="C21" s="258"/>
      <c r="D21" s="258"/>
      <c r="E21" s="258"/>
      <c r="F21" s="258"/>
      <c r="G21" s="258"/>
      <c r="H21" s="258"/>
      <c r="I21" s="258"/>
      <c r="J21" s="258"/>
    </row>
    <row r="22" spans="1:10" ht="30">
      <c r="A22" s="259" t="s">
        <v>5535</v>
      </c>
      <c r="B22" s="259" t="s">
        <v>5536</v>
      </c>
      <c r="C22" s="259" t="s">
        <v>216</v>
      </c>
      <c r="D22" s="259" t="s">
        <v>5537</v>
      </c>
      <c r="E22" s="259" t="s">
        <v>77</v>
      </c>
      <c r="F22" s="259" t="s">
        <v>11</v>
      </c>
      <c r="G22" s="259"/>
      <c r="H22" s="259"/>
      <c r="I22" s="259"/>
      <c r="J22" s="259"/>
    </row>
    <row r="23" spans="1:10" ht="24">
      <c r="A23" s="255" t="s">
        <v>364</v>
      </c>
      <c r="B23" s="255" t="s">
        <v>5538</v>
      </c>
      <c r="C23" s="255" t="s">
        <v>4765</v>
      </c>
      <c r="D23" s="255" t="s">
        <v>5539</v>
      </c>
      <c r="E23" s="255" t="s">
        <v>235</v>
      </c>
      <c r="F23" s="255"/>
    </row>
    <row r="24" spans="1:10" ht="24">
      <c r="A24" s="255" t="s">
        <v>368</v>
      </c>
      <c r="B24" s="255" t="s">
        <v>5540</v>
      </c>
      <c r="C24" s="255" t="s">
        <v>5541</v>
      </c>
      <c r="D24" s="255" t="s">
        <v>5542</v>
      </c>
      <c r="E24" s="255" t="s">
        <v>235</v>
      </c>
      <c r="F24" s="255"/>
    </row>
    <row r="25" spans="1:10" ht="24">
      <c r="A25" s="255" t="s">
        <v>685</v>
      </c>
      <c r="B25" s="255" t="s">
        <v>5543</v>
      </c>
      <c r="C25" s="255" t="s">
        <v>5544</v>
      </c>
      <c r="D25" s="255" t="s">
        <v>5545</v>
      </c>
      <c r="E25" s="255" t="s">
        <v>235</v>
      </c>
      <c r="F25" s="255"/>
    </row>
    <row r="26" spans="1:10" ht="24">
      <c r="A26" s="255" t="s">
        <v>686</v>
      </c>
      <c r="B26" s="255" t="s">
        <v>5546</v>
      </c>
      <c r="C26" s="255" t="s">
        <v>595</v>
      </c>
      <c r="D26" s="255" t="s">
        <v>5547</v>
      </c>
      <c r="E26" s="255" t="s">
        <v>235</v>
      </c>
      <c r="F26" s="255"/>
    </row>
    <row r="27" spans="1:10" ht="24">
      <c r="A27" s="255" t="s">
        <v>688</v>
      </c>
      <c r="B27" s="255" t="s">
        <v>5548</v>
      </c>
      <c r="C27" s="255" t="s">
        <v>5549</v>
      </c>
      <c r="D27" s="255" t="s">
        <v>5550</v>
      </c>
      <c r="E27" s="255" t="s">
        <v>235</v>
      </c>
      <c r="F27" s="255"/>
    </row>
    <row r="28" spans="1:10" ht="24">
      <c r="A28" s="255" t="s">
        <v>690</v>
      </c>
      <c r="B28" s="255" t="s">
        <v>5551</v>
      </c>
      <c r="C28" s="255" t="s">
        <v>5552</v>
      </c>
      <c r="D28" s="255" t="s">
        <v>5553</v>
      </c>
      <c r="E28" s="255" t="s">
        <v>235</v>
      </c>
      <c r="F28" s="255"/>
    </row>
    <row r="29" spans="1:10">
      <c r="A29" s="255" t="s">
        <v>693</v>
      </c>
      <c r="B29" s="255" t="s">
        <v>5554</v>
      </c>
      <c r="C29" s="255" t="s">
        <v>5555</v>
      </c>
      <c r="D29" s="255" t="s">
        <v>5556</v>
      </c>
      <c r="E29" s="255" t="s">
        <v>235</v>
      </c>
      <c r="F29" s="255"/>
    </row>
    <row r="32" spans="1:10" ht="18">
      <c r="A32" s="598" t="s">
        <v>5758</v>
      </c>
      <c r="B32" s="598"/>
      <c r="C32" s="598"/>
      <c r="D32" s="598"/>
      <c r="E32" s="598"/>
      <c r="F32" s="598"/>
      <c r="G32" s="598"/>
      <c r="H32" s="598"/>
    </row>
    <row r="33" spans="1:8">
      <c r="A33" s="272" t="s">
        <v>2</v>
      </c>
      <c r="B33" s="591" t="s">
        <v>5563</v>
      </c>
      <c r="C33" s="591"/>
      <c r="D33" s="591"/>
      <c r="E33" s="591"/>
      <c r="F33" s="591"/>
      <c r="G33" s="591"/>
      <c r="H33" s="591"/>
    </row>
    <row r="34" spans="1:8">
      <c r="A34" s="272" t="s">
        <v>5564</v>
      </c>
      <c r="B34" s="591" t="s">
        <v>5565</v>
      </c>
      <c r="C34" s="591"/>
      <c r="D34" s="591"/>
      <c r="E34" s="591"/>
      <c r="F34" s="591"/>
      <c r="G34" s="591"/>
      <c r="H34" s="591"/>
    </row>
    <row r="36" spans="1:8">
      <c r="A36" s="319" t="s">
        <v>4946</v>
      </c>
      <c r="B36" s="319" t="s">
        <v>77</v>
      </c>
      <c r="C36" s="319" t="s">
        <v>5566</v>
      </c>
      <c r="D36" s="319" t="s">
        <v>263</v>
      </c>
      <c r="E36" s="319" t="s">
        <v>216</v>
      </c>
      <c r="F36" s="319" t="s">
        <v>5567</v>
      </c>
      <c r="G36" s="319" t="s">
        <v>5568</v>
      </c>
      <c r="H36" s="319" t="s">
        <v>5569</v>
      </c>
    </row>
    <row r="37" spans="1:8" ht="18" customHeight="1">
      <c r="A37" s="273" t="s">
        <v>5570</v>
      </c>
      <c r="B37" s="274" t="s">
        <v>1096</v>
      </c>
      <c r="C37" s="273"/>
      <c r="D37" s="273"/>
      <c r="E37" s="273"/>
      <c r="F37" s="273"/>
      <c r="G37" s="275" t="str">
        <f t="shared" ref="G37:G44" si="2">IF(OR(B37="Yes",B37="N/A"),"🟢","🟡")</f>
        <v>🟡</v>
      </c>
      <c r="H37" s="273"/>
    </row>
    <row r="38" spans="1:8" ht="18.600000000000001" customHeight="1">
      <c r="A38" s="273" t="s">
        <v>5571</v>
      </c>
      <c r="B38" s="274" t="s">
        <v>1096</v>
      </c>
      <c r="C38" s="273"/>
      <c r="D38" s="273"/>
      <c r="E38" s="273"/>
      <c r="F38" s="273"/>
      <c r="G38" s="275" t="str">
        <f t="shared" si="2"/>
        <v>🟡</v>
      </c>
      <c r="H38" s="273"/>
    </row>
    <row r="39" spans="1:8" ht="21.6" customHeight="1">
      <c r="A39" s="273" t="s">
        <v>5572</v>
      </c>
      <c r="B39" s="274" t="s">
        <v>1096</v>
      </c>
      <c r="C39" s="273"/>
      <c r="D39" s="273"/>
      <c r="E39" s="273"/>
      <c r="F39" s="273"/>
      <c r="G39" s="275" t="str">
        <f t="shared" si="2"/>
        <v>🟡</v>
      </c>
      <c r="H39" s="273"/>
    </row>
    <row r="40" spans="1:8" ht="22.9" customHeight="1">
      <c r="A40" s="273" t="s">
        <v>5168</v>
      </c>
      <c r="B40" s="274" t="s">
        <v>1096</v>
      </c>
      <c r="C40" s="273"/>
      <c r="D40" s="273"/>
      <c r="E40" s="273"/>
      <c r="F40" s="273"/>
      <c r="G40" s="275" t="str">
        <f t="shared" si="2"/>
        <v>🟡</v>
      </c>
      <c r="H40" s="273"/>
    </row>
    <row r="41" spans="1:8" ht="19.149999999999999" customHeight="1">
      <c r="A41" s="273" t="s">
        <v>5573</v>
      </c>
      <c r="B41" s="274" t="s">
        <v>1096</v>
      </c>
      <c r="C41" s="273"/>
      <c r="D41" s="273"/>
      <c r="E41" s="273"/>
      <c r="F41" s="273"/>
      <c r="G41" s="275" t="str">
        <f t="shared" si="2"/>
        <v>🟡</v>
      </c>
      <c r="H41" s="273"/>
    </row>
    <row r="42" spans="1:8" ht="19.149999999999999" customHeight="1">
      <c r="A42" s="273" t="s">
        <v>5574</v>
      </c>
      <c r="B42" s="274" t="s">
        <v>1096</v>
      </c>
      <c r="C42" s="273"/>
      <c r="D42" s="273"/>
      <c r="E42" s="273"/>
      <c r="F42" s="273"/>
      <c r="G42" s="275" t="str">
        <f t="shared" si="2"/>
        <v>🟡</v>
      </c>
      <c r="H42" s="273"/>
    </row>
    <row r="43" spans="1:8" ht="21.6" customHeight="1">
      <c r="A43" s="273" t="s">
        <v>178</v>
      </c>
      <c r="B43" s="274" t="s">
        <v>1096</v>
      </c>
      <c r="C43" s="273"/>
      <c r="D43" s="273"/>
      <c r="E43" s="273"/>
      <c r="F43" s="273"/>
      <c r="G43" s="275" t="str">
        <f t="shared" si="2"/>
        <v>🟡</v>
      </c>
      <c r="H43" s="273"/>
    </row>
    <row r="44" spans="1:8" ht="29.45" customHeight="1">
      <c r="A44" s="273" t="s">
        <v>5575</v>
      </c>
      <c r="B44" s="274" t="s">
        <v>1096</v>
      </c>
      <c r="C44" s="273"/>
      <c r="D44" s="273"/>
      <c r="E44" s="273"/>
      <c r="F44" s="273"/>
      <c r="G44" s="275" t="str">
        <f t="shared" si="2"/>
        <v>🟡</v>
      </c>
      <c r="H44" s="273"/>
    </row>
    <row r="45" spans="1:8">
      <c r="A45" s="320" t="s">
        <v>4946</v>
      </c>
      <c r="B45" s="320" t="s">
        <v>5583</v>
      </c>
      <c r="E45" s="320" t="s">
        <v>5584</v>
      </c>
    </row>
    <row r="46" spans="1:8" ht="47.45" customHeight="1">
      <c r="A46" s="287" t="s">
        <v>5570</v>
      </c>
      <c r="B46" s="577" t="s">
        <v>5585</v>
      </c>
      <c r="C46" s="577"/>
      <c r="D46" s="577"/>
      <c r="E46" s="577" t="s">
        <v>5586</v>
      </c>
      <c r="F46" s="577"/>
      <c r="G46" s="577"/>
    </row>
    <row r="47" spans="1:8" ht="37.9" customHeight="1">
      <c r="A47" s="287" t="s">
        <v>5571</v>
      </c>
      <c r="B47" s="577" t="s">
        <v>5587</v>
      </c>
      <c r="C47" s="577"/>
      <c r="D47" s="577"/>
      <c r="E47" s="577" t="s">
        <v>5588</v>
      </c>
      <c r="F47" s="577"/>
      <c r="G47" s="577"/>
    </row>
    <row r="48" spans="1:8" ht="37.15" customHeight="1">
      <c r="A48" s="287" t="s">
        <v>5572</v>
      </c>
      <c r="B48" s="577" t="s">
        <v>5589</v>
      </c>
      <c r="C48" s="577"/>
      <c r="D48" s="577"/>
      <c r="E48" s="577" t="s">
        <v>5590</v>
      </c>
      <c r="F48" s="577"/>
      <c r="G48" s="577"/>
    </row>
    <row r="49" spans="1:8" ht="28.9" customHeight="1">
      <c r="A49" s="287" t="s">
        <v>5168</v>
      </c>
      <c r="B49" s="577" t="s">
        <v>5591</v>
      </c>
      <c r="C49" s="577"/>
      <c r="D49" s="577"/>
      <c r="E49" s="577" t="s">
        <v>5592</v>
      </c>
      <c r="F49" s="577"/>
      <c r="G49" s="577"/>
    </row>
    <row r="50" spans="1:8" ht="27" customHeight="1">
      <c r="A50" s="287" t="s">
        <v>5573</v>
      </c>
      <c r="B50" s="577" t="s">
        <v>5593</v>
      </c>
      <c r="C50" s="577"/>
      <c r="D50" s="577"/>
      <c r="E50" s="577" t="s">
        <v>5594</v>
      </c>
      <c r="F50" s="577"/>
      <c r="G50" s="577"/>
    </row>
    <row r="51" spans="1:8" ht="36.6" customHeight="1">
      <c r="A51" s="287" t="s">
        <v>5574</v>
      </c>
      <c r="B51" s="577" t="s">
        <v>5595</v>
      </c>
      <c r="C51" s="577"/>
      <c r="D51" s="577"/>
      <c r="E51" s="577" t="s">
        <v>5596</v>
      </c>
      <c r="F51" s="577"/>
      <c r="G51" s="577"/>
    </row>
    <row r="52" spans="1:8" ht="37.9" customHeight="1">
      <c r="A52" s="287" t="s">
        <v>178</v>
      </c>
      <c r="B52" s="577" t="s">
        <v>5597</v>
      </c>
      <c r="C52" s="577"/>
      <c r="D52" s="577"/>
      <c r="E52" s="577" t="s">
        <v>5598</v>
      </c>
      <c r="F52" s="577"/>
      <c r="G52" s="577"/>
    </row>
    <row r="53" spans="1:8" ht="37.9" customHeight="1">
      <c r="A53" s="287" t="s">
        <v>5575</v>
      </c>
      <c r="B53" s="577" t="s">
        <v>5599</v>
      </c>
      <c r="C53" s="577"/>
      <c r="D53" s="577"/>
      <c r="E53" s="577" t="s">
        <v>5600</v>
      </c>
      <c r="F53" s="577"/>
      <c r="G53" s="577"/>
    </row>
    <row r="54" spans="1:8" ht="27" customHeight="1">
      <c r="A54" s="272" t="s">
        <v>5576</v>
      </c>
      <c r="B54" s="276" t="str">
        <f>IF(COUNTIF(B37:B44,"No")=0,"🟢 PILOT COMPLETE / ACCEPTANCE READY","🟡 NOT COMPLETE — ACCEPTANCE GATES OPEN")</f>
        <v>🟡 NOT COMPLETE — ACCEPTANCE GATES OPEN</v>
      </c>
      <c r="C54" s="276"/>
      <c r="D54" s="276"/>
      <c r="E54" s="276"/>
      <c r="F54" s="276"/>
      <c r="G54" s="276"/>
      <c r="H54" s="276"/>
    </row>
    <row r="55" spans="1:8">
      <c r="A55" s="272" t="s">
        <v>5577</v>
      </c>
      <c r="B55" s="276">
        <f>COUNTIF(B37:B44,"No")</f>
        <v>8</v>
      </c>
      <c r="C55" s="276"/>
      <c r="D55" s="276"/>
      <c r="E55" s="276"/>
      <c r="F55" s="276"/>
      <c r="G55" s="276"/>
      <c r="H55" s="276"/>
    </row>
    <row r="56" spans="1:8" ht="22.15" customHeight="1">
      <c r="A56" s="272" t="s">
        <v>5578</v>
      </c>
      <c r="B56" s="276" t="str">
        <f>COUNTIF(B37:B44,"Yes")&amp;" / 8 Complete"</f>
        <v>0 / 8 Complete</v>
      </c>
      <c r="C56" s="276"/>
      <c r="D56" s="276"/>
      <c r="E56" s="276"/>
      <c r="F56" s="276"/>
      <c r="G56" s="276"/>
      <c r="H56" s="276"/>
    </row>
    <row r="57" spans="1:8" ht="63.75">
      <c r="A57" s="524" t="s">
        <v>5579</v>
      </c>
      <c r="B57" s="278" t="s">
        <v>5580</v>
      </c>
      <c r="C57" s="278"/>
      <c r="D57" s="278"/>
      <c r="E57" s="278"/>
      <c r="F57" s="278"/>
      <c r="G57" s="278"/>
      <c r="H57" s="278"/>
    </row>
    <row r="58" spans="1:8">
      <c r="A58" s="277"/>
      <c r="B58" s="278"/>
      <c r="C58" s="278"/>
      <c r="D58" s="278"/>
      <c r="E58" s="278"/>
      <c r="F58" s="278"/>
      <c r="G58" s="278"/>
      <c r="H58" s="278"/>
    </row>
    <row r="59" spans="1:8" ht="51">
      <c r="A59" s="524" t="s">
        <v>5581</v>
      </c>
      <c r="B59" s="278" t="s">
        <v>5582</v>
      </c>
      <c r="C59" s="278"/>
      <c r="D59" s="278"/>
      <c r="E59" s="278"/>
      <c r="F59" s="278"/>
      <c r="G59" s="278"/>
      <c r="H59" s="278"/>
    </row>
    <row r="60" spans="1:8" ht="15">
      <c r="A60" s="8"/>
      <c r="B60" s="8"/>
      <c r="C60" s="8"/>
      <c r="D60" s="8"/>
      <c r="E60" s="8"/>
      <c r="F60" s="8"/>
      <c r="G60" s="8"/>
      <c r="H60" s="8"/>
    </row>
  </sheetData>
  <mergeCells count="23">
    <mergeCell ref="A1:J1"/>
    <mergeCell ref="A2:J2"/>
    <mergeCell ref="A17:J17"/>
    <mergeCell ref="B18:H18"/>
    <mergeCell ref="A32:H32"/>
    <mergeCell ref="B33:H33"/>
    <mergeCell ref="B34:H34"/>
    <mergeCell ref="B46:D46"/>
    <mergeCell ref="E46:G46"/>
    <mergeCell ref="B47:D47"/>
    <mergeCell ref="E47:G47"/>
    <mergeCell ref="B48:D48"/>
    <mergeCell ref="E48:G48"/>
    <mergeCell ref="B49:D49"/>
    <mergeCell ref="E49:G49"/>
    <mergeCell ref="B50:D50"/>
    <mergeCell ref="E50:G50"/>
    <mergeCell ref="B51:D51"/>
    <mergeCell ref="E51:G51"/>
    <mergeCell ref="B52:D52"/>
    <mergeCell ref="E52:G52"/>
    <mergeCell ref="B53:D53"/>
    <mergeCell ref="E53:G53"/>
  </mergeCells>
  <conditionalFormatting sqref="B37:B44">
    <cfRule type="expression" dxfId="1522" priority="1">
      <formula>B37="Yes"</formula>
    </cfRule>
    <cfRule type="expression" dxfId="1521" priority="2">
      <formula>B37="N/A"</formula>
    </cfRule>
    <cfRule type="expression" dxfId="1520" priority="3">
      <formula>B37="No"</formula>
    </cfRule>
  </conditionalFormatting>
  <conditionalFormatting sqref="B54:H54">
    <cfRule type="expression" dxfId="1519" priority="4">
      <formula>COUNTIF($B$6:$B$13,"No")=0</formula>
    </cfRule>
    <cfRule type="expression" dxfId="1518"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defaultColWidth="8.85546875" defaultRowHeight="15"/>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7" customHeight="1">
      <c r="A1" s="69" t="s">
        <v>454</v>
      </c>
    </row>
    <row r="2" spans="1:7" ht="6.2" customHeight="1">
      <c r="A2" s="70" t="s">
        <v>455</v>
      </c>
    </row>
    <row r="3" spans="1:7" ht="6.4" customHeight="1">
      <c r="A3" s="66" t="s">
        <v>302</v>
      </c>
      <c r="B3" s="66" t="s">
        <v>303</v>
      </c>
      <c r="C3" s="66" t="s">
        <v>304</v>
      </c>
      <c r="D3" s="66" t="s">
        <v>305</v>
      </c>
      <c r="E3" s="66" t="s">
        <v>306</v>
      </c>
      <c r="F3" s="66" t="s">
        <v>456</v>
      </c>
      <c r="G3" s="66" t="s">
        <v>11</v>
      </c>
    </row>
    <row r="4" spans="1:7" ht="5.45" customHeight="1">
      <c r="A4" s="12" t="s">
        <v>189</v>
      </c>
      <c r="B4" s="12" t="s">
        <v>457</v>
      </c>
      <c r="C4" s="12" t="s">
        <v>458</v>
      </c>
      <c r="D4" s="12" t="s">
        <v>459</v>
      </c>
      <c r="E4" s="12" t="s">
        <v>460</v>
      </c>
      <c r="F4" s="12" t="s">
        <v>461</v>
      </c>
      <c r="G4" s="12" t="s">
        <v>462</v>
      </c>
    </row>
    <row r="5" spans="1:7" ht="7.35" customHeight="1">
      <c r="A5" s="12" t="s">
        <v>463</v>
      </c>
      <c r="B5" s="12" t="s">
        <v>457</v>
      </c>
      <c r="C5" s="12" t="s">
        <v>464</v>
      </c>
      <c r="D5" s="12" t="s">
        <v>465</v>
      </c>
      <c r="E5" s="71" t="s">
        <v>466</v>
      </c>
      <c r="F5" s="12"/>
      <c r="G5" s="12"/>
    </row>
    <row r="6" spans="1:7" ht="7.35" customHeight="1">
      <c r="A6" s="12" t="s">
        <v>191</v>
      </c>
      <c r="B6" s="12" t="s">
        <v>241</v>
      </c>
      <c r="C6" s="12" t="s">
        <v>467</v>
      </c>
      <c r="D6" s="12" t="s">
        <v>468</v>
      </c>
      <c r="E6" s="12" t="s">
        <v>469</v>
      </c>
      <c r="F6" s="12" t="s">
        <v>470</v>
      </c>
      <c r="G6" s="12" t="s">
        <v>471</v>
      </c>
    </row>
    <row r="7" spans="1:7" ht="5.45" customHeight="1">
      <c r="A7" s="12" t="s">
        <v>472</v>
      </c>
      <c r="B7" s="12" t="s">
        <v>241</v>
      </c>
      <c r="C7" s="12" t="s">
        <v>473</v>
      </c>
      <c r="D7" s="12" t="s">
        <v>474</v>
      </c>
      <c r="E7" s="12" t="s">
        <v>475</v>
      </c>
      <c r="F7" s="12" t="s">
        <v>476</v>
      </c>
      <c r="G7" s="12"/>
    </row>
    <row r="8" spans="1:7" ht="14.65" customHeight="1">
      <c r="A8" s="12" t="s">
        <v>477</v>
      </c>
      <c r="B8" s="12" t="s">
        <v>241</v>
      </c>
      <c r="C8" s="12" t="s">
        <v>478</v>
      </c>
      <c r="D8" s="12" t="s">
        <v>479</v>
      </c>
      <c r="E8" s="71" t="s">
        <v>480</v>
      </c>
      <c r="F8" s="12" t="s">
        <v>481</v>
      </c>
      <c r="G8" s="12"/>
    </row>
    <row r="9" spans="1:7" ht="7.35" customHeight="1">
      <c r="A9" s="12"/>
      <c r="B9" s="12"/>
      <c r="C9" s="12"/>
      <c r="D9" s="12"/>
      <c r="E9" s="12"/>
      <c r="F9" s="12"/>
      <c r="G9" s="12"/>
    </row>
    <row r="10" spans="1:7" ht="7.35" customHeight="1">
      <c r="A10" s="12"/>
      <c r="B10" s="12"/>
      <c r="C10" s="12"/>
      <c r="D10" s="12"/>
      <c r="E10" s="12"/>
      <c r="F10" s="12"/>
      <c r="G10" s="12"/>
    </row>
    <row r="11" spans="1:7" ht="7.35" customHeight="1">
      <c r="A11" s="12"/>
      <c r="B11" s="12"/>
      <c r="C11" s="12"/>
      <c r="D11" s="12"/>
      <c r="E11" s="12"/>
      <c r="F11" s="12"/>
      <c r="G11" s="12"/>
    </row>
    <row r="12" spans="1:7" ht="7.35" customHeight="1">
      <c r="A12" s="12"/>
      <c r="B12" s="12"/>
      <c r="C12" s="12"/>
      <c r="D12" s="12"/>
      <c r="E12" s="12"/>
      <c r="F12" s="12"/>
      <c r="G12" s="12"/>
    </row>
    <row r="13" spans="1:7" ht="7.35" customHeight="1">
      <c r="A13" s="12"/>
      <c r="B13" s="12"/>
      <c r="C13" s="12"/>
      <c r="D13" s="12"/>
      <c r="E13" s="12"/>
      <c r="F13" s="12"/>
      <c r="G13" s="12"/>
    </row>
    <row r="14" spans="1:7" ht="7.35" customHeight="1">
      <c r="A14" s="12"/>
      <c r="B14" s="12"/>
      <c r="C14" s="12"/>
      <c r="D14" s="12"/>
      <c r="E14" s="12"/>
      <c r="F14" s="12"/>
      <c r="G14" s="12"/>
    </row>
    <row r="15" spans="1:7" ht="7.35" customHeight="1">
      <c r="A15" s="12"/>
      <c r="B15" s="12"/>
      <c r="C15" s="12"/>
      <c r="D15" s="12"/>
      <c r="E15" s="12"/>
      <c r="F15" s="12"/>
      <c r="G15" s="12"/>
    </row>
    <row r="16" spans="1:7" ht="7.35" customHeight="1">
      <c r="A16" s="12"/>
      <c r="B16" s="12"/>
      <c r="C16" s="12"/>
      <c r="D16" s="12"/>
      <c r="E16" s="12"/>
      <c r="F16" s="12"/>
      <c r="G16" s="12"/>
    </row>
    <row r="17" spans="1:7" ht="7.35" customHeight="1">
      <c r="A17" s="12"/>
      <c r="B17" s="12"/>
      <c r="C17" s="12"/>
      <c r="D17" s="12"/>
      <c r="E17" s="12"/>
      <c r="F17" s="12"/>
      <c r="G17" s="12"/>
    </row>
    <row r="18" spans="1:7" ht="7.35" customHeight="1">
      <c r="A18" s="12"/>
      <c r="B18" s="12"/>
      <c r="C18" s="12"/>
      <c r="D18" s="12"/>
      <c r="E18" s="12"/>
      <c r="F18" s="12"/>
      <c r="G18" s="12"/>
    </row>
    <row r="19" spans="1:7" ht="7.35" customHeight="1">
      <c r="A19" s="12"/>
      <c r="B19" s="12"/>
      <c r="C19" s="12"/>
      <c r="D19" s="12"/>
      <c r="E19" s="12"/>
      <c r="F19" s="12"/>
      <c r="G19" s="12"/>
    </row>
    <row r="20" spans="1:7" ht="7.35" customHeight="1">
      <c r="A20" s="12"/>
      <c r="B20" s="12"/>
      <c r="C20" s="12"/>
      <c r="D20" s="12"/>
      <c r="E20" s="12"/>
      <c r="F20" s="12"/>
      <c r="G20" s="12"/>
    </row>
    <row r="21" spans="1:7" ht="7.35" customHeight="1">
      <c r="A21" s="12"/>
      <c r="B21" s="12"/>
      <c r="C21" s="12"/>
      <c r="D21" s="12"/>
      <c r="E21" s="12"/>
      <c r="F21" s="12"/>
      <c r="G21" s="12"/>
    </row>
    <row r="22" spans="1:7" ht="7.35" customHeight="1">
      <c r="A22" s="12"/>
      <c r="B22" s="12"/>
      <c r="C22" s="12"/>
      <c r="D22" s="12"/>
      <c r="E22" s="12"/>
      <c r="F22" s="12"/>
      <c r="G22" s="12"/>
    </row>
    <row r="23" spans="1:7" ht="7.35" customHeight="1">
      <c r="A23" s="12"/>
      <c r="B23" s="12"/>
      <c r="C23" s="12"/>
      <c r="D23" s="12"/>
      <c r="E23" s="12"/>
      <c r="F23" s="12"/>
      <c r="G23" s="12"/>
    </row>
    <row r="24" spans="1:7" ht="7.35" customHeight="1">
      <c r="A24" s="12"/>
      <c r="B24" s="12"/>
      <c r="C24" s="12"/>
      <c r="D24" s="12"/>
      <c r="E24" s="12"/>
      <c r="F24" s="12"/>
      <c r="G24" s="12"/>
    </row>
    <row r="25" spans="1:7" ht="7.35" customHeight="1">
      <c r="A25" s="12"/>
      <c r="B25" s="12"/>
      <c r="C25" s="12"/>
      <c r="D25" s="12"/>
      <c r="E25" s="12"/>
      <c r="F25" s="12"/>
      <c r="G25" s="12"/>
    </row>
    <row r="26" spans="1:7" ht="7.35" customHeight="1">
      <c r="A26" s="12"/>
      <c r="B26" s="12"/>
      <c r="C26" s="12"/>
      <c r="D26" s="12"/>
      <c r="E26" s="12"/>
      <c r="F26" s="12"/>
      <c r="G26" s="12"/>
    </row>
    <row r="27" spans="1:7" ht="7.35" customHeight="1">
      <c r="A27" s="12"/>
      <c r="B27" s="12"/>
      <c r="C27" s="12"/>
      <c r="D27" s="12"/>
      <c r="E27" s="12"/>
      <c r="F27" s="12"/>
      <c r="G27" s="12"/>
    </row>
    <row r="28" spans="1:7" ht="7.35" customHeight="1">
      <c r="A28" s="12"/>
      <c r="B28" s="12"/>
      <c r="C28" s="12"/>
      <c r="D28" s="12"/>
      <c r="E28" s="12"/>
      <c r="F28" s="12"/>
      <c r="G28" s="12"/>
    </row>
    <row r="29" spans="1:7" ht="7.35" customHeight="1">
      <c r="A29" s="12"/>
      <c r="B29" s="12"/>
      <c r="C29" s="12"/>
      <c r="D29" s="12"/>
      <c r="E29" s="12"/>
      <c r="F29" s="12"/>
      <c r="G29" s="12"/>
    </row>
    <row r="30" spans="1:7" ht="7.35" customHeight="1">
      <c r="A30" s="12"/>
      <c r="B30" s="12"/>
      <c r="C30" s="12"/>
      <c r="D30" s="12"/>
      <c r="E30" s="12"/>
      <c r="F30" s="12"/>
      <c r="G30" s="12"/>
    </row>
    <row r="31" spans="1:7" ht="7.35" customHeight="1">
      <c r="A31" s="12"/>
      <c r="B31" s="12"/>
      <c r="C31" s="12"/>
      <c r="D31" s="12"/>
      <c r="E31" s="12"/>
      <c r="F31" s="12"/>
      <c r="G31" s="12"/>
    </row>
    <row r="32" spans="1:7" ht="7.35" customHeight="1">
      <c r="A32" s="12"/>
      <c r="B32" s="12"/>
      <c r="C32" s="12"/>
      <c r="D32" s="12"/>
      <c r="E32" s="12"/>
      <c r="F32" s="12"/>
      <c r="G32" s="12"/>
    </row>
    <row r="33" spans="1:7" ht="7.35" customHeight="1">
      <c r="A33" s="12"/>
      <c r="B33" s="12"/>
      <c r="C33" s="12"/>
      <c r="D33" s="12"/>
      <c r="E33" s="12"/>
      <c r="F33" s="12"/>
      <c r="G33" s="12"/>
    </row>
    <row r="34" spans="1:7" ht="7.35" customHeight="1">
      <c r="A34" s="12"/>
      <c r="B34" s="12"/>
      <c r="C34" s="12"/>
      <c r="D34" s="12"/>
      <c r="E34" s="12"/>
      <c r="F34" s="12"/>
      <c r="G34" s="12"/>
    </row>
    <row r="35" spans="1:7" ht="7.35" customHeight="1">
      <c r="A35" s="12"/>
      <c r="B35" s="12"/>
      <c r="C35" s="12"/>
      <c r="D35" s="12"/>
      <c r="E35" s="12"/>
      <c r="F35" s="12"/>
      <c r="G35" s="12"/>
    </row>
    <row r="36" spans="1:7" ht="7.35" customHeight="1">
      <c r="A36" s="12"/>
      <c r="B36" s="12"/>
      <c r="C36" s="12"/>
      <c r="D36" s="12"/>
      <c r="E36" s="12"/>
      <c r="F36" s="12"/>
      <c r="G36" s="12"/>
    </row>
    <row r="37" spans="1:7" ht="7.35" customHeight="1">
      <c r="A37" s="12"/>
      <c r="B37" s="12"/>
      <c r="C37" s="12"/>
      <c r="D37" s="12"/>
      <c r="E37" s="12"/>
      <c r="F37" s="12"/>
      <c r="G37" s="12"/>
    </row>
    <row r="38" spans="1:7" ht="7.35" customHeight="1">
      <c r="A38" s="12"/>
      <c r="B38" s="12"/>
      <c r="C38" s="12"/>
      <c r="D38" s="12"/>
      <c r="E38" s="12"/>
      <c r="F38" s="12"/>
      <c r="G38" s="12"/>
    </row>
    <row r="39" spans="1:7" ht="7.35" customHeight="1">
      <c r="A39" s="12"/>
      <c r="B39" s="12"/>
      <c r="C39" s="12"/>
      <c r="D39" s="12"/>
      <c r="E39" s="12"/>
      <c r="F39" s="12"/>
      <c r="G39" s="12"/>
    </row>
    <row r="40" spans="1:7" ht="7.35" customHeight="1">
      <c r="A40" s="12"/>
      <c r="B40" s="12"/>
      <c r="C40" s="12"/>
      <c r="D40" s="12"/>
      <c r="E40" s="12"/>
      <c r="F40" s="12"/>
      <c r="G40" s="12"/>
    </row>
    <row r="41" spans="1:7" ht="7.35" customHeight="1">
      <c r="A41" s="12"/>
      <c r="B41" s="12"/>
      <c r="C41" s="12"/>
      <c r="D41" s="12"/>
      <c r="E41" s="12"/>
      <c r="F41" s="12"/>
      <c r="G41" s="12"/>
    </row>
    <row r="42" spans="1:7" ht="7.35" customHeight="1">
      <c r="A42" s="12"/>
      <c r="B42" s="12"/>
      <c r="C42" s="12"/>
      <c r="D42" s="12"/>
      <c r="E42" s="12"/>
      <c r="F42" s="12"/>
      <c r="G42" s="12"/>
    </row>
    <row r="43" spans="1:7" ht="7.35" customHeight="1">
      <c r="A43" s="12"/>
      <c r="B43" s="12"/>
      <c r="C43" s="12"/>
      <c r="D43" s="12"/>
      <c r="E43" s="12"/>
      <c r="F43" s="12"/>
      <c r="G43" s="12"/>
    </row>
    <row r="44" spans="1:7" ht="7.35" customHeight="1">
      <c r="A44" s="12"/>
      <c r="B44" s="12"/>
      <c r="C44" s="12"/>
      <c r="D44" s="12"/>
      <c r="E44" s="12"/>
      <c r="F44" s="12"/>
      <c r="G44" s="12"/>
    </row>
    <row r="45" spans="1:7" ht="7.35" customHeight="1">
      <c r="A45" s="12"/>
      <c r="B45" s="12"/>
      <c r="C45" s="12"/>
      <c r="D45" s="12"/>
      <c r="E45" s="12"/>
      <c r="F45" s="12"/>
      <c r="G45" s="12"/>
    </row>
    <row r="46" spans="1:7" ht="7.35" customHeight="1">
      <c r="A46" s="12"/>
      <c r="B46" s="12"/>
      <c r="C46" s="12"/>
      <c r="D46" s="12"/>
      <c r="E46" s="12"/>
      <c r="F46" s="12"/>
      <c r="G46" s="12"/>
    </row>
    <row r="47" spans="1:7" ht="7.35" customHeight="1">
      <c r="A47" s="12"/>
      <c r="B47" s="12"/>
      <c r="C47" s="12"/>
      <c r="D47" s="12"/>
      <c r="E47" s="12"/>
      <c r="F47" s="12"/>
      <c r="G47" s="12"/>
    </row>
    <row r="48" spans="1:7" ht="7.35" customHeight="1">
      <c r="A48" s="12"/>
      <c r="B48" s="12"/>
      <c r="C48" s="12"/>
      <c r="D48" s="12"/>
      <c r="E48" s="12"/>
      <c r="F48" s="12"/>
      <c r="G48" s="12"/>
    </row>
    <row r="49" spans="1:7" ht="7.35" customHeight="1">
      <c r="A49" s="12"/>
      <c r="B49" s="12"/>
      <c r="C49" s="12"/>
      <c r="D49" s="12"/>
      <c r="E49" s="12"/>
      <c r="F49" s="12"/>
      <c r="G49" s="12"/>
    </row>
    <row r="50" spans="1:7" ht="7.35" customHeight="1">
      <c r="A50" s="12"/>
      <c r="B50" s="12"/>
      <c r="C50" s="12"/>
      <c r="D50" s="12"/>
      <c r="E50" s="12"/>
      <c r="F50" s="12"/>
      <c r="G50" s="12"/>
    </row>
    <row r="51" spans="1:7" ht="7.35" customHeight="1">
      <c r="A51" s="12"/>
      <c r="B51" s="12"/>
      <c r="C51" s="12"/>
      <c r="D51" s="12"/>
      <c r="E51" s="12"/>
      <c r="F51" s="12"/>
      <c r="G51" s="12"/>
    </row>
    <row r="52" spans="1:7" ht="7.35" customHeight="1">
      <c r="A52" s="12"/>
      <c r="B52" s="12"/>
      <c r="C52" s="12"/>
      <c r="D52" s="12"/>
      <c r="E52" s="12"/>
      <c r="F52" s="12"/>
      <c r="G52" s="12"/>
    </row>
    <row r="53" spans="1:7" ht="7.35" customHeight="1">
      <c r="A53" s="12"/>
      <c r="B53" s="12"/>
      <c r="C53" s="12"/>
      <c r="D53" s="12"/>
      <c r="E53" s="12"/>
      <c r="F53" s="12"/>
      <c r="G53" s="12"/>
    </row>
    <row r="54" spans="1:7" ht="7.35" customHeight="1">
      <c r="A54" s="12"/>
      <c r="B54" s="12"/>
      <c r="C54" s="12"/>
      <c r="D54" s="12"/>
      <c r="E54" s="12"/>
      <c r="F54" s="12"/>
      <c r="G54" s="12"/>
    </row>
    <row r="55" spans="1:7" ht="7.35" customHeight="1">
      <c r="A55" s="12"/>
      <c r="B55" s="12"/>
      <c r="C55" s="12"/>
      <c r="D55" s="12"/>
      <c r="E55" s="12"/>
      <c r="F55" s="12"/>
      <c r="G55" s="12"/>
    </row>
    <row r="56" spans="1:7" ht="7.35" customHeight="1">
      <c r="A56" s="12"/>
      <c r="B56" s="12"/>
      <c r="C56" s="12"/>
      <c r="D56" s="12"/>
      <c r="E56" s="12"/>
      <c r="F56" s="12"/>
      <c r="G56" s="12"/>
    </row>
    <row r="57" spans="1:7" ht="7.35" customHeight="1">
      <c r="A57" s="12"/>
      <c r="B57" s="12"/>
      <c r="C57" s="12"/>
      <c r="D57" s="12"/>
      <c r="E57" s="12"/>
      <c r="F57" s="12"/>
      <c r="G57" s="12"/>
    </row>
    <row r="58" spans="1:7" ht="7.35" customHeight="1">
      <c r="A58" s="12"/>
      <c r="B58" s="12"/>
      <c r="C58" s="12"/>
      <c r="D58" s="12"/>
      <c r="E58" s="12"/>
      <c r="F58" s="12"/>
      <c r="G58" s="12"/>
    </row>
    <row r="59" spans="1:7" ht="7.35" customHeight="1">
      <c r="A59" s="12"/>
      <c r="B59" s="12"/>
      <c r="C59" s="12"/>
      <c r="D59" s="12"/>
      <c r="E59" s="12"/>
      <c r="F59" s="12"/>
      <c r="G59" s="12"/>
    </row>
    <row r="60" spans="1:7" ht="7.35" customHeight="1">
      <c r="A60" s="12"/>
      <c r="B60" s="12"/>
      <c r="C60" s="12"/>
      <c r="D60" s="12"/>
      <c r="E60" s="12"/>
      <c r="F60" s="12"/>
      <c r="G60" s="12"/>
    </row>
    <row r="61" spans="1:7" ht="7.35" customHeight="1">
      <c r="A61" s="12"/>
      <c r="B61" s="12"/>
      <c r="C61" s="12"/>
      <c r="D61" s="12"/>
      <c r="E61" s="12"/>
      <c r="F61" s="12"/>
      <c r="G61" s="12"/>
    </row>
    <row r="62" spans="1:7" ht="7.35" customHeight="1">
      <c r="A62" s="12"/>
      <c r="B62" s="12"/>
      <c r="C62" s="12"/>
      <c r="D62" s="12"/>
      <c r="E62" s="12"/>
      <c r="F62" s="12"/>
      <c r="G62" s="12"/>
    </row>
    <row r="63" spans="1:7" ht="7.35" customHeight="1">
      <c r="A63" s="12"/>
      <c r="B63" s="12"/>
      <c r="C63" s="12"/>
      <c r="D63" s="12"/>
      <c r="E63" s="12"/>
      <c r="F63" s="12"/>
      <c r="G63" s="12"/>
    </row>
    <row r="64" spans="1:7" ht="7.35" customHeight="1">
      <c r="A64" s="12"/>
      <c r="B64" s="12"/>
      <c r="C64" s="12"/>
      <c r="D64" s="12"/>
      <c r="E64" s="12"/>
      <c r="F64" s="12"/>
      <c r="G64" s="12"/>
    </row>
    <row r="65" spans="1:7" ht="7.35" customHeight="1">
      <c r="A65" s="12"/>
      <c r="B65" s="12"/>
      <c r="C65" s="12"/>
      <c r="D65" s="12"/>
      <c r="E65" s="12"/>
      <c r="F65" s="12"/>
      <c r="G65" s="12"/>
    </row>
    <row r="66" spans="1:7" ht="7.35" customHeight="1">
      <c r="A66" s="12"/>
      <c r="B66" s="12"/>
      <c r="C66" s="12"/>
      <c r="D66" s="12"/>
      <c r="E66" s="12"/>
      <c r="F66" s="12"/>
      <c r="G66" s="12"/>
    </row>
    <row r="67" spans="1:7" ht="7.35" customHeight="1">
      <c r="A67" s="12"/>
      <c r="B67" s="12"/>
      <c r="C67" s="12"/>
      <c r="D67" s="12"/>
      <c r="E67" s="12"/>
      <c r="F67" s="12"/>
      <c r="G67" s="12"/>
    </row>
    <row r="68" spans="1:7" ht="7.35" customHeight="1">
      <c r="A68" s="12"/>
      <c r="B68" s="12"/>
      <c r="C68" s="12"/>
      <c r="D68" s="12"/>
      <c r="E68" s="12"/>
      <c r="F68" s="12"/>
      <c r="G68" s="12"/>
    </row>
    <row r="69" spans="1:7" ht="7.35" customHeight="1">
      <c r="A69" s="12"/>
      <c r="B69" s="12"/>
      <c r="C69" s="12"/>
      <c r="D69" s="12"/>
      <c r="E69" s="12"/>
      <c r="F69" s="12"/>
      <c r="G69" s="12"/>
    </row>
    <row r="70" spans="1:7" ht="7.35" customHeight="1">
      <c r="A70" s="12"/>
      <c r="B70" s="12"/>
      <c r="C70" s="12"/>
      <c r="D70" s="12"/>
      <c r="E70" s="12"/>
      <c r="F70" s="12"/>
      <c r="G70" s="12"/>
    </row>
    <row r="71" spans="1:7" ht="7.35" customHeight="1">
      <c r="A71" s="12"/>
      <c r="B71" s="12"/>
      <c r="C71" s="12"/>
      <c r="D71" s="12"/>
      <c r="E71" s="12"/>
      <c r="F71" s="12"/>
      <c r="G71" s="12"/>
    </row>
    <row r="72" spans="1:7" ht="7.35" customHeight="1">
      <c r="A72" s="12"/>
      <c r="B72" s="12"/>
      <c r="C72" s="12"/>
      <c r="D72" s="12"/>
      <c r="E72" s="12"/>
      <c r="F72" s="12"/>
      <c r="G72" s="12"/>
    </row>
    <row r="73" spans="1:7" ht="7.35" customHeight="1">
      <c r="A73" s="12"/>
      <c r="B73" s="12"/>
      <c r="C73" s="12"/>
      <c r="D73" s="12"/>
      <c r="E73" s="12"/>
      <c r="F73" s="12"/>
      <c r="G73" s="12"/>
    </row>
    <row r="74" spans="1:7" ht="7.35" customHeight="1">
      <c r="A74" s="12"/>
      <c r="B74" s="12"/>
      <c r="C74" s="12"/>
      <c r="D74" s="12"/>
      <c r="E74" s="12"/>
      <c r="F74" s="12"/>
      <c r="G74" s="12"/>
    </row>
    <row r="75" spans="1:7" ht="7.35" customHeight="1">
      <c r="A75" s="12"/>
      <c r="B75" s="12"/>
      <c r="C75" s="12"/>
      <c r="D75" s="12"/>
      <c r="E75" s="12"/>
      <c r="F75" s="12"/>
      <c r="G75" s="12"/>
    </row>
    <row r="76" spans="1:7" ht="7.35" customHeight="1">
      <c r="A76" s="12"/>
      <c r="B76" s="12"/>
      <c r="C76" s="12"/>
      <c r="D76" s="12"/>
      <c r="E76" s="12"/>
      <c r="F76" s="12"/>
      <c r="G76" s="12"/>
    </row>
    <row r="77" spans="1:7" ht="7.35" customHeight="1">
      <c r="A77" s="12"/>
      <c r="B77" s="12"/>
      <c r="C77" s="12"/>
      <c r="D77" s="12"/>
      <c r="E77" s="12"/>
      <c r="F77" s="12"/>
      <c r="G77" s="12"/>
    </row>
    <row r="78" spans="1:7" ht="7.35" customHeight="1">
      <c r="A78" s="12"/>
      <c r="B78" s="12"/>
      <c r="C78" s="12"/>
      <c r="D78" s="12"/>
      <c r="E78" s="12"/>
      <c r="F78" s="12"/>
      <c r="G78" s="12"/>
    </row>
    <row r="79" spans="1:7" ht="7.35" customHeight="1">
      <c r="A79" s="12"/>
      <c r="B79" s="12"/>
      <c r="C79" s="12"/>
      <c r="D79" s="12"/>
      <c r="E79" s="12"/>
      <c r="F79" s="12"/>
      <c r="G79" s="12"/>
    </row>
    <row r="80" spans="1:7" ht="7.35" customHeight="1">
      <c r="A80" s="12"/>
      <c r="B80" s="12"/>
      <c r="C80" s="12"/>
      <c r="D80" s="12"/>
      <c r="E80" s="12"/>
      <c r="F80" s="12"/>
      <c r="G80" s="12"/>
    </row>
    <row r="81" spans="1:7" ht="7.35" customHeight="1">
      <c r="A81" s="12"/>
      <c r="B81" s="12"/>
      <c r="C81" s="12"/>
      <c r="D81" s="12"/>
      <c r="E81" s="12"/>
      <c r="F81" s="12"/>
      <c r="G81" s="12"/>
    </row>
    <row r="82" spans="1:7" ht="7.35" customHeight="1">
      <c r="A82" s="12"/>
      <c r="B82" s="12"/>
      <c r="C82" s="12"/>
      <c r="D82" s="12"/>
      <c r="E82" s="12"/>
      <c r="F82" s="12"/>
      <c r="G82" s="12"/>
    </row>
    <row r="83" spans="1:7" ht="7.35" customHeight="1">
      <c r="A83" s="12"/>
      <c r="B83" s="12"/>
      <c r="C83" s="12"/>
      <c r="D83" s="12"/>
      <c r="E83" s="12"/>
      <c r="F83" s="12"/>
      <c r="G83" s="12"/>
    </row>
    <row r="84" spans="1:7" ht="7.35" customHeight="1">
      <c r="A84" s="12"/>
      <c r="B84" s="12"/>
      <c r="C84" s="12"/>
      <c r="D84" s="12"/>
      <c r="E84" s="12"/>
      <c r="F84" s="12"/>
      <c r="G84" s="12"/>
    </row>
    <row r="85" spans="1:7" ht="7.35" customHeight="1">
      <c r="A85" s="12"/>
      <c r="B85" s="12"/>
      <c r="C85" s="12"/>
      <c r="D85" s="12"/>
      <c r="E85" s="12"/>
      <c r="F85" s="12"/>
      <c r="G85" s="12"/>
    </row>
    <row r="86" spans="1:7" ht="7.35" customHeight="1">
      <c r="A86" s="12"/>
      <c r="B86" s="12"/>
      <c r="C86" s="12"/>
      <c r="D86" s="12"/>
      <c r="E86" s="12"/>
      <c r="F86" s="12"/>
      <c r="G86" s="12"/>
    </row>
    <row r="87" spans="1:7" ht="7.35" customHeight="1">
      <c r="A87" s="12"/>
      <c r="B87" s="12"/>
      <c r="C87" s="12"/>
      <c r="D87" s="12"/>
      <c r="E87" s="12"/>
      <c r="F87" s="12"/>
      <c r="G87" s="12"/>
    </row>
    <row r="88" spans="1:7" ht="7.35" customHeight="1">
      <c r="A88" s="12"/>
      <c r="B88" s="12"/>
      <c r="C88" s="12"/>
      <c r="D88" s="12"/>
      <c r="E88" s="12"/>
      <c r="F88" s="12"/>
      <c r="G88" s="12"/>
    </row>
    <row r="89" spans="1:7" ht="7.35" customHeight="1">
      <c r="A89" s="12"/>
      <c r="B89" s="12"/>
      <c r="C89" s="12"/>
      <c r="D89" s="12"/>
      <c r="E89" s="12"/>
      <c r="F89" s="12"/>
      <c r="G89" s="12"/>
    </row>
    <row r="90" spans="1:7" ht="7.35" customHeight="1">
      <c r="A90" s="12"/>
      <c r="B90" s="12"/>
      <c r="C90" s="12"/>
      <c r="D90" s="12"/>
      <c r="E90" s="12"/>
      <c r="F90" s="12"/>
      <c r="G90" s="12"/>
    </row>
    <row r="91" spans="1:7" ht="7.35" customHeight="1">
      <c r="A91" s="12"/>
      <c r="B91" s="12"/>
      <c r="C91" s="12"/>
      <c r="D91" s="12"/>
      <c r="E91" s="12"/>
      <c r="F91" s="12"/>
      <c r="G91" s="12"/>
    </row>
    <row r="92" spans="1:7" ht="7.35" customHeight="1">
      <c r="A92" s="12"/>
      <c r="B92" s="12"/>
      <c r="C92" s="12"/>
      <c r="D92" s="12"/>
      <c r="E92" s="12"/>
      <c r="F92" s="12"/>
      <c r="G92" s="12"/>
    </row>
    <row r="93" spans="1:7" ht="7.35" customHeight="1">
      <c r="A93" s="12"/>
      <c r="B93" s="12"/>
      <c r="C93" s="12"/>
      <c r="D93" s="12"/>
      <c r="E93" s="12"/>
      <c r="F93" s="12"/>
      <c r="G93" s="12"/>
    </row>
    <row r="94" spans="1:7" ht="7.35" customHeight="1">
      <c r="A94" s="12"/>
      <c r="B94" s="12"/>
      <c r="C94" s="12"/>
      <c r="D94" s="12"/>
      <c r="E94" s="12"/>
      <c r="F94" s="12"/>
      <c r="G94" s="12"/>
    </row>
    <row r="95" spans="1:7" ht="7.35" customHeight="1">
      <c r="A95" s="12"/>
      <c r="B95" s="12"/>
      <c r="C95" s="12"/>
      <c r="D95" s="12"/>
      <c r="E95" s="12"/>
      <c r="F95" s="12"/>
      <c r="G95" s="12"/>
    </row>
    <row r="96" spans="1:7" ht="7.35" customHeight="1">
      <c r="A96" s="12"/>
      <c r="B96" s="12"/>
      <c r="C96" s="12"/>
      <c r="D96" s="12"/>
      <c r="E96" s="12"/>
      <c r="F96" s="12"/>
      <c r="G96" s="12"/>
    </row>
    <row r="97" spans="1:7" ht="7.35" customHeight="1">
      <c r="A97" s="12"/>
      <c r="B97" s="12"/>
      <c r="C97" s="12"/>
      <c r="D97" s="12"/>
      <c r="E97" s="12"/>
      <c r="F97" s="12"/>
      <c r="G97" s="12"/>
    </row>
    <row r="98" spans="1:7" ht="7.35" customHeight="1">
      <c r="A98" s="12"/>
      <c r="B98" s="12"/>
      <c r="C98" s="12"/>
      <c r="D98" s="12"/>
      <c r="E98" s="12"/>
      <c r="F98" s="12"/>
      <c r="G98" s="12"/>
    </row>
    <row r="99" spans="1:7" ht="7.35" customHeight="1">
      <c r="A99" s="12"/>
      <c r="B99" s="12"/>
      <c r="C99" s="12"/>
      <c r="D99" s="12"/>
      <c r="E99" s="12"/>
      <c r="F99" s="12"/>
      <c r="G99" s="12"/>
    </row>
    <row r="100" spans="1:7" ht="7.35" customHeight="1">
      <c r="A100" s="12"/>
      <c r="B100" s="12"/>
      <c r="C100" s="12"/>
      <c r="D100" s="12"/>
      <c r="E100" s="12"/>
      <c r="F100" s="12"/>
      <c r="G100" s="12"/>
    </row>
    <row r="101" spans="1:7" ht="7.35" customHeight="1">
      <c r="A101" s="12"/>
      <c r="B101" s="12"/>
      <c r="C101" s="12"/>
      <c r="D101" s="12"/>
      <c r="E101" s="12"/>
      <c r="F101" s="12"/>
      <c r="G101" s="12"/>
    </row>
    <row r="102" spans="1:7" ht="7.35" customHeight="1">
      <c r="A102" s="12"/>
      <c r="B102" s="12"/>
      <c r="C102" s="12"/>
      <c r="D102" s="12"/>
      <c r="E102" s="12"/>
      <c r="F102" s="12"/>
      <c r="G102" s="12"/>
    </row>
    <row r="103" spans="1:7" ht="7.35" customHeight="1">
      <c r="A103" s="12"/>
      <c r="B103" s="12"/>
      <c r="C103" s="12"/>
      <c r="D103" s="12"/>
      <c r="E103" s="12"/>
      <c r="F103" s="12"/>
      <c r="G103" s="12"/>
    </row>
    <row r="104" spans="1:7" ht="7.35" customHeight="1">
      <c r="A104" s="12"/>
      <c r="B104" s="12"/>
      <c r="C104" s="12"/>
      <c r="D104" s="12"/>
      <c r="E104" s="12"/>
      <c r="F104" s="12"/>
      <c r="G104" s="12"/>
    </row>
    <row r="105" spans="1:7" ht="7.35" customHeight="1">
      <c r="A105" s="12"/>
      <c r="B105" s="12"/>
      <c r="C105" s="12"/>
      <c r="D105" s="12"/>
      <c r="E105" s="12"/>
      <c r="F105" s="12"/>
      <c r="G105" s="12"/>
    </row>
    <row r="106" spans="1:7" ht="7.35" customHeight="1">
      <c r="A106" s="12"/>
      <c r="B106" s="12"/>
      <c r="C106" s="12"/>
      <c r="D106" s="12"/>
      <c r="E106" s="12"/>
      <c r="F106" s="12"/>
      <c r="G106" s="12"/>
    </row>
    <row r="107" spans="1:7" ht="7.35" customHeight="1">
      <c r="A107" s="12"/>
      <c r="B107" s="12"/>
      <c r="C107" s="12"/>
      <c r="D107" s="12"/>
      <c r="E107" s="12"/>
      <c r="F107" s="12"/>
      <c r="G107" s="12"/>
    </row>
    <row r="108" spans="1:7" ht="7.35" customHeight="1">
      <c r="A108" s="12"/>
      <c r="B108" s="12"/>
      <c r="C108" s="12"/>
      <c r="D108" s="12"/>
      <c r="E108" s="12"/>
      <c r="F108" s="12"/>
      <c r="G108" s="12"/>
    </row>
    <row r="109" spans="1:7" ht="7.35" customHeight="1">
      <c r="A109" s="12"/>
      <c r="B109" s="12"/>
      <c r="C109" s="12"/>
      <c r="D109" s="12"/>
      <c r="E109" s="12"/>
      <c r="F109" s="12"/>
      <c r="G109" s="12"/>
    </row>
    <row r="110" spans="1:7" ht="7.35" customHeight="1">
      <c r="A110" s="12"/>
      <c r="B110" s="12"/>
      <c r="C110" s="12"/>
      <c r="D110" s="12"/>
      <c r="E110" s="12"/>
      <c r="F110" s="12"/>
      <c r="G110" s="12"/>
    </row>
    <row r="111" spans="1:7" ht="7.35" customHeight="1">
      <c r="A111" s="12"/>
      <c r="B111" s="12"/>
      <c r="C111" s="12"/>
      <c r="D111" s="12"/>
      <c r="E111" s="12"/>
      <c r="F111" s="12"/>
      <c r="G111" s="12"/>
    </row>
    <row r="112" spans="1:7" ht="7.35" customHeight="1">
      <c r="A112" s="12"/>
      <c r="B112" s="12"/>
      <c r="C112" s="12"/>
      <c r="D112" s="12"/>
      <c r="E112" s="12"/>
      <c r="F112" s="12"/>
      <c r="G112" s="12"/>
    </row>
    <row r="113" spans="1:7" ht="7.35" customHeight="1">
      <c r="A113" s="12"/>
      <c r="B113" s="12"/>
      <c r="C113" s="12"/>
      <c r="D113" s="12"/>
      <c r="E113" s="12"/>
      <c r="F113" s="12"/>
      <c r="G113" s="12"/>
    </row>
    <row r="114" spans="1:7" ht="7.35" customHeight="1">
      <c r="A114" s="12"/>
      <c r="B114" s="12"/>
      <c r="C114" s="12"/>
      <c r="D114" s="12"/>
      <c r="E114" s="12"/>
      <c r="F114" s="12"/>
      <c r="G114" s="12"/>
    </row>
    <row r="115" spans="1:7" ht="7.35" customHeight="1">
      <c r="A115" s="12"/>
      <c r="B115" s="12"/>
      <c r="C115" s="12"/>
      <c r="D115" s="12"/>
      <c r="E115" s="12"/>
      <c r="F115" s="12"/>
      <c r="G115" s="12"/>
    </row>
    <row r="116" spans="1:7" ht="7.35" customHeight="1">
      <c r="A116" s="12"/>
      <c r="B116" s="12"/>
      <c r="C116" s="12"/>
      <c r="D116" s="12"/>
      <c r="E116" s="12"/>
      <c r="F116" s="12"/>
      <c r="G116" s="12"/>
    </row>
    <row r="117" spans="1:7" ht="7.35" customHeight="1">
      <c r="A117" s="12"/>
      <c r="B117" s="12"/>
      <c r="C117" s="12"/>
      <c r="D117" s="12"/>
      <c r="E117" s="12"/>
      <c r="F117" s="12"/>
      <c r="G117" s="12"/>
    </row>
    <row r="118" spans="1:7" ht="7.35" customHeight="1">
      <c r="A118" s="12"/>
      <c r="B118" s="12"/>
      <c r="C118" s="12"/>
      <c r="D118" s="12"/>
      <c r="E118" s="12"/>
      <c r="F118" s="12"/>
      <c r="G118" s="12"/>
    </row>
    <row r="119" spans="1:7" ht="7.35" customHeight="1">
      <c r="A119" s="12"/>
      <c r="B119" s="12"/>
      <c r="C119" s="12"/>
      <c r="D119" s="12"/>
      <c r="E119" s="12"/>
      <c r="F119" s="12"/>
      <c r="G119" s="12"/>
    </row>
    <row r="120" spans="1:7" ht="7.35" customHeight="1">
      <c r="A120" s="12"/>
      <c r="B120" s="12"/>
      <c r="C120" s="12"/>
      <c r="D120" s="12"/>
      <c r="E120" s="12"/>
      <c r="F120" s="12"/>
      <c r="G120" s="12"/>
    </row>
    <row r="121" spans="1:7" ht="7.35" customHeight="1">
      <c r="A121" s="12"/>
      <c r="B121" s="12"/>
      <c r="C121" s="12"/>
      <c r="D121" s="12"/>
      <c r="E121" s="12"/>
      <c r="F121" s="12"/>
      <c r="G121" s="12"/>
    </row>
    <row r="122" spans="1:7" ht="7.35" customHeight="1">
      <c r="A122" s="12"/>
      <c r="B122" s="12"/>
      <c r="C122" s="12"/>
      <c r="D122" s="12"/>
      <c r="E122" s="12"/>
      <c r="F122" s="12"/>
      <c r="G122" s="12"/>
    </row>
    <row r="123" spans="1:7" ht="7.35" customHeight="1">
      <c r="A123" s="12"/>
      <c r="B123" s="12"/>
      <c r="C123" s="12"/>
      <c r="D123" s="12"/>
      <c r="E123" s="12"/>
      <c r="F123" s="12"/>
      <c r="G123" s="12"/>
    </row>
    <row r="124" spans="1:7" ht="7.35" customHeight="1">
      <c r="A124" s="12"/>
      <c r="B124" s="12"/>
      <c r="C124" s="12"/>
      <c r="D124" s="12"/>
      <c r="E124" s="12"/>
      <c r="F124" s="12"/>
      <c r="G124" s="12"/>
    </row>
    <row r="125" spans="1:7" ht="7.35" customHeight="1">
      <c r="A125" s="12"/>
      <c r="B125" s="12"/>
      <c r="C125" s="12"/>
      <c r="D125" s="12"/>
      <c r="E125" s="12"/>
      <c r="F125" s="12"/>
      <c r="G125" s="12"/>
    </row>
    <row r="126" spans="1:7" ht="7.35" customHeight="1">
      <c r="A126" s="12"/>
      <c r="B126" s="12"/>
      <c r="C126" s="12"/>
      <c r="D126" s="12"/>
      <c r="E126" s="12"/>
      <c r="F126" s="12"/>
      <c r="G126" s="12"/>
    </row>
    <row r="127" spans="1:7" ht="7.35" customHeight="1">
      <c r="A127" s="12"/>
      <c r="B127" s="12"/>
      <c r="C127" s="12"/>
      <c r="D127" s="12"/>
      <c r="E127" s="12"/>
      <c r="F127" s="12"/>
      <c r="G127" s="12"/>
    </row>
    <row r="128" spans="1:7" ht="7.35" customHeight="1">
      <c r="A128" s="12"/>
      <c r="B128" s="12"/>
      <c r="C128" s="12"/>
      <c r="D128" s="12"/>
      <c r="E128" s="12"/>
      <c r="F128" s="12"/>
      <c r="G128" s="12"/>
    </row>
    <row r="129" spans="1:7" ht="7.35" customHeight="1">
      <c r="A129" s="12"/>
      <c r="B129" s="12"/>
      <c r="C129" s="12"/>
      <c r="D129" s="12"/>
      <c r="E129" s="12"/>
      <c r="F129" s="12"/>
      <c r="G129" s="12"/>
    </row>
    <row r="130" spans="1:7" ht="7.35" customHeight="1">
      <c r="A130" s="12"/>
      <c r="B130" s="12"/>
      <c r="C130" s="12"/>
      <c r="D130" s="12"/>
      <c r="E130" s="12"/>
      <c r="F130" s="12"/>
      <c r="G130" s="12"/>
    </row>
    <row r="131" spans="1:7" ht="7.35" customHeight="1">
      <c r="A131" s="12"/>
      <c r="B131" s="12"/>
      <c r="C131" s="12"/>
      <c r="D131" s="12"/>
      <c r="E131" s="12"/>
      <c r="F131" s="12"/>
      <c r="G131" s="12"/>
    </row>
    <row r="132" spans="1:7" ht="7.35" customHeight="1">
      <c r="A132" s="12"/>
      <c r="B132" s="12"/>
      <c r="C132" s="12"/>
      <c r="D132" s="12"/>
      <c r="E132" s="12"/>
      <c r="F132" s="12"/>
      <c r="G132" s="12"/>
    </row>
    <row r="133" spans="1:7" ht="7.35" customHeight="1">
      <c r="A133" s="12"/>
      <c r="B133" s="12"/>
      <c r="C133" s="12"/>
      <c r="D133" s="12"/>
      <c r="E133" s="12"/>
      <c r="F133" s="12"/>
      <c r="G133" s="12"/>
    </row>
    <row r="134" spans="1:7" ht="7.35" customHeight="1">
      <c r="A134" s="12"/>
      <c r="B134" s="12"/>
      <c r="C134" s="12"/>
      <c r="D134" s="12"/>
      <c r="E134" s="12"/>
      <c r="F134" s="12"/>
      <c r="G134" s="12"/>
    </row>
    <row r="135" spans="1:7" ht="7.35" customHeight="1">
      <c r="A135" s="12"/>
      <c r="B135" s="12"/>
      <c r="C135" s="12"/>
      <c r="D135" s="12"/>
      <c r="E135" s="12"/>
      <c r="F135" s="12"/>
      <c r="G135" s="12"/>
    </row>
    <row r="136" spans="1:7" ht="7.35" customHeight="1">
      <c r="A136" s="12"/>
      <c r="B136" s="12"/>
      <c r="C136" s="12"/>
      <c r="D136" s="12"/>
      <c r="E136" s="12"/>
      <c r="F136" s="12"/>
      <c r="G136" s="12"/>
    </row>
    <row r="137" spans="1:7" ht="7.35" customHeight="1">
      <c r="A137" s="12"/>
      <c r="B137" s="12"/>
      <c r="C137" s="12"/>
      <c r="D137" s="12"/>
      <c r="E137" s="12"/>
      <c r="F137" s="12"/>
      <c r="G137" s="12"/>
    </row>
    <row r="138" spans="1:7" ht="7.35" customHeight="1">
      <c r="A138" s="12"/>
      <c r="B138" s="12"/>
      <c r="C138" s="12"/>
      <c r="D138" s="12"/>
      <c r="E138" s="12"/>
      <c r="F138" s="12"/>
      <c r="G138" s="12"/>
    </row>
    <row r="139" spans="1:7" ht="7.35" customHeight="1">
      <c r="A139" s="12"/>
      <c r="B139" s="12"/>
      <c r="C139" s="12"/>
      <c r="D139" s="12"/>
      <c r="E139" s="12"/>
      <c r="F139" s="12"/>
      <c r="G139" s="12"/>
    </row>
    <row r="140" spans="1:7" ht="7.35" customHeight="1">
      <c r="A140" s="12"/>
      <c r="B140" s="12"/>
      <c r="C140" s="12"/>
      <c r="D140" s="12"/>
      <c r="E140" s="12"/>
      <c r="F140" s="12"/>
      <c r="G140" s="12"/>
    </row>
    <row r="141" spans="1:7" ht="7.35" customHeight="1">
      <c r="A141" s="12"/>
      <c r="B141" s="12"/>
      <c r="C141" s="12"/>
      <c r="D141" s="12"/>
      <c r="E141" s="12"/>
      <c r="F141" s="12"/>
      <c r="G141" s="12"/>
    </row>
    <row r="142" spans="1:7" ht="7.35" customHeight="1">
      <c r="A142" s="12"/>
      <c r="B142" s="12"/>
      <c r="C142" s="12"/>
      <c r="D142" s="12"/>
      <c r="E142" s="12"/>
      <c r="F142" s="12"/>
      <c r="G142" s="12"/>
    </row>
    <row r="143" spans="1:7" ht="7.35" customHeight="1">
      <c r="A143" s="12"/>
      <c r="B143" s="12"/>
      <c r="C143" s="12"/>
      <c r="D143" s="12"/>
      <c r="E143" s="12"/>
      <c r="F143" s="12"/>
      <c r="G143" s="12"/>
    </row>
    <row r="144" spans="1:7" ht="7.35" customHeight="1">
      <c r="A144" s="12"/>
      <c r="B144" s="12"/>
      <c r="C144" s="12"/>
      <c r="D144" s="12"/>
      <c r="E144" s="12"/>
      <c r="F144" s="12"/>
      <c r="G144" s="12"/>
    </row>
    <row r="145" spans="1:7" ht="7.35" customHeight="1">
      <c r="A145" s="12"/>
      <c r="B145" s="12"/>
      <c r="C145" s="12"/>
      <c r="D145" s="12"/>
      <c r="E145" s="12"/>
      <c r="F145" s="12"/>
      <c r="G145" s="12"/>
    </row>
    <row r="146" spans="1:7" ht="7.35" customHeight="1">
      <c r="A146" s="12"/>
      <c r="B146" s="12"/>
      <c r="C146" s="12"/>
      <c r="D146" s="12"/>
      <c r="E146" s="12"/>
      <c r="F146" s="12"/>
      <c r="G146" s="12"/>
    </row>
    <row r="147" spans="1:7" ht="7.35" customHeight="1">
      <c r="A147" s="12"/>
      <c r="B147" s="12"/>
      <c r="C147" s="12"/>
      <c r="D147" s="12"/>
      <c r="E147" s="12"/>
      <c r="F147" s="12"/>
      <c r="G147" s="12"/>
    </row>
    <row r="148" spans="1:7" ht="7.35" customHeight="1">
      <c r="A148" s="12"/>
      <c r="B148" s="12"/>
      <c r="C148" s="12"/>
      <c r="D148" s="12"/>
      <c r="E148" s="12"/>
      <c r="F148" s="12"/>
      <c r="G148" s="12"/>
    </row>
    <row r="149" spans="1:7" ht="7.35" customHeight="1">
      <c r="A149" s="12"/>
      <c r="B149" s="12"/>
      <c r="C149" s="12"/>
      <c r="D149" s="12"/>
      <c r="E149" s="12"/>
      <c r="F149" s="12"/>
      <c r="G149" s="12"/>
    </row>
    <row r="150" spans="1:7" ht="7.35" customHeight="1">
      <c r="A150" s="12"/>
      <c r="B150" s="12"/>
      <c r="C150" s="12"/>
      <c r="D150" s="12"/>
      <c r="E150" s="12"/>
      <c r="F150" s="12"/>
      <c r="G150" s="12"/>
    </row>
    <row r="151" spans="1:7" ht="7.35" customHeight="1">
      <c r="A151" s="12"/>
      <c r="B151" s="12"/>
      <c r="C151" s="12"/>
      <c r="D151" s="12"/>
      <c r="E151" s="12"/>
      <c r="F151" s="12"/>
      <c r="G151" s="12"/>
    </row>
    <row r="152" spans="1:7" ht="7.35" customHeight="1">
      <c r="A152" s="12"/>
      <c r="B152" s="12"/>
      <c r="C152" s="12"/>
      <c r="D152" s="12"/>
      <c r="E152" s="12"/>
      <c r="F152" s="12"/>
      <c r="G152" s="12"/>
    </row>
    <row r="153" spans="1:7" ht="7.35" customHeight="1">
      <c r="A153" s="12"/>
      <c r="B153" s="12"/>
      <c r="C153" s="12"/>
      <c r="D153" s="12"/>
      <c r="E153" s="12"/>
      <c r="F153" s="12"/>
      <c r="G153" s="12"/>
    </row>
    <row r="154" spans="1:7" ht="7.35" customHeight="1">
      <c r="A154" s="12"/>
      <c r="B154" s="12"/>
      <c r="C154" s="12"/>
      <c r="D154" s="12"/>
      <c r="E154" s="12"/>
      <c r="F154" s="12"/>
      <c r="G154" s="12"/>
    </row>
    <row r="155" spans="1:7" ht="7.35" customHeight="1">
      <c r="A155" s="12"/>
      <c r="B155" s="12"/>
      <c r="C155" s="12"/>
      <c r="D155" s="12"/>
      <c r="E155" s="12"/>
      <c r="F155" s="12"/>
      <c r="G155" s="12"/>
    </row>
    <row r="156" spans="1:7" ht="7.35" customHeight="1">
      <c r="A156" s="12"/>
      <c r="B156" s="12"/>
      <c r="C156" s="12"/>
      <c r="D156" s="12"/>
      <c r="E156" s="12"/>
      <c r="F156" s="12"/>
      <c r="G156" s="12"/>
    </row>
    <row r="157" spans="1:7" ht="7.35" customHeight="1">
      <c r="A157" s="12"/>
      <c r="B157" s="12"/>
      <c r="C157" s="12"/>
      <c r="D157" s="12"/>
      <c r="E157" s="12"/>
      <c r="F157" s="12"/>
      <c r="G157" s="12"/>
    </row>
    <row r="158" spans="1:7" ht="7.35" customHeight="1">
      <c r="A158" s="12"/>
      <c r="B158" s="12"/>
      <c r="C158" s="12"/>
      <c r="D158" s="12"/>
      <c r="E158" s="12"/>
      <c r="F158" s="12"/>
      <c r="G158" s="12"/>
    </row>
    <row r="159" spans="1:7" ht="7.35" customHeight="1">
      <c r="A159" s="12"/>
      <c r="B159" s="12"/>
      <c r="C159" s="12"/>
      <c r="D159" s="12"/>
      <c r="E159" s="12"/>
      <c r="F159" s="12"/>
      <c r="G159" s="12"/>
    </row>
    <row r="160" spans="1:7" ht="7.35" customHeight="1">
      <c r="A160" s="12"/>
      <c r="B160" s="12"/>
      <c r="C160" s="12"/>
      <c r="D160" s="12"/>
      <c r="E160" s="12"/>
      <c r="F160" s="12"/>
      <c r="G160" s="12"/>
    </row>
    <row r="161" spans="1:7" ht="7.35" customHeight="1">
      <c r="A161" s="12"/>
      <c r="B161" s="12"/>
      <c r="C161" s="12"/>
      <c r="D161" s="12"/>
      <c r="E161" s="12"/>
      <c r="F161" s="12"/>
      <c r="G161" s="12"/>
    </row>
    <row r="162" spans="1:7" ht="7.35" customHeight="1">
      <c r="A162" s="12"/>
      <c r="B162" s="12"/>
      <c r="C162" s="12"/>
      <c r="D162" s="12"/>
      <c r="E162" s="12"/>
      <c r="F162" s="12"/>
      <c r="G162" s="12"/>
    </row>
    <row r="163" spans="1:7" ht="7.35" customHeight="1">
      <c r="A163" s="12"/>
      <c r="B163" s="12"/>
      <c r="C163" s="12"/>
      <c r="D163" s="12"/>
      <c r="E163" s="12"/>
      <c r="F163" s="12"/>
      <c r="G163" s="12"/>
    </row>
    <row r="164" spans="1:7" ht="7.35" customHeight="1">
      <c r="A164" s="12"/>
      <c r="B164" s="12"/>
      <c r="C164" s="12"/>
      <c r="D164" s="12"/>
      <c r="E164" s="12"/>
      <c r="F164" s="12"/>
      <c r="G164" s="12"/>
    </row>
    <row r="165" spans="1:7" ht="7.35" customHeight="1">
      <c r="A165" s="12"/>
      <c r="B165" s="12"/>
      <c r="C165" s="12"/>
      <c r="D165" s="12"/>
      <c r="E165" s="12"/>
      <c r="F165" s="12"/>
      <c r="G165" s="12"/>
    </row>
    <row r="166" spans="1:7" ht="7.35" customHeight="1">
      <c r="A166" s="12"/>
      <c r="B166" s="12"/>
      <c r="C166" s="12"/>
      <c r="D166" s="12"/>
      <c r="E166" s="12"/>
      <c r="F166" s="12"/>
      <c r="G166" s="12"/>
    </row>
    <row r="167" spans="1:7" ht="7.35" customHeight="1">
      <c r="A167" s="12"/>
      <c r="B167" s="12"/>
      <c r="C167" s="12"/>
      <c r="D167" s="12"/>
      <c r="E167" s="12"/>
      <c r="F167" s="12"/>
      <c r="G167" s="12"/>
    </row>
    <row r="168" spans="1:7" ht="7.35" customHeight="1">
      <c r="A168" s="12"/>
      <c r="B168" s="12"/>
      <c r="C168" s="12"/>
      <c r="D168" s="12"/>
      <c r="E168" s="12"/>
      <c r="F168" s="12"/>
      <c r="G168" s="12"/>
    </row>
    <row r="169" spans="1:7" ht="7.35" customHeight="1">
      <c r="A169" s="12"/>
      <c r="B169" s="12"/>
      <c r="C169" s="12"/>
      <c r="D169" s="12"/>
      <c r="E169" s="12"/>
      <c r="F169" s="12"/>
      <c r="G169" s="12"/>
    </row>
    <row r="170" spans="1:7" ht="7.35" customHeight="1">
      <c r="A170" s="12"/>
      <c r="B170" s="12"/>
      <c r="C170" s="12"/>
      <c r="D170" s="12"/>
      <c r="E170" s="12"/>
      <c r="F170" s="12"/>
      <c r="G170" s="12"/>
    </row>
    <row r="171" spans="1:7" ht="7.35" customHeight="1">
      <c r="A171" s="12"/>
      <c r="B171" s="12"/>
      <c r="C171" s="12"/>
      <c r="D171" s="12"/>
      <c r="E171" s="12"/>
      <c r="F171" s="12"/>
      <c r="G171" s="12"/>
    </row>
    <row r="172" spans="1:7" ht="7.35" customHeight="1">
      <c r="A172" s="12"/>
      <c r="B172" s="12"/>
      <c r="C172" s="12"/>
      <c r="D172" s="12"/>
      <c r="E172" s="12"/>
      <c r="F172" s="12"/>
      <c r="G172" s="12"/>
    </row>
    <row r="173" spans="1:7" ht="7.35" customHeight="1">
      <c r="A173" s="12"/>
      <c r="B173" s="12"/>
      <c r="C173" s="12"/>
      <c r="D173" s="12"/>
      <c r="E173" s="12"/>
      <c r="F173" s="12"/>
      <c r="G173" s="12"/>
    </row>
    <row r="174" spans="1:7" ht="7.35" customHeight="1">
      <c r="A174" s="12"/>
      <c r="B174" s="12"/>
      <c r="C174" s="12"/>
      <c r="D174" s="12"/>
      <c r="E174" s="12"/>
      <c r="F174" s="12"/>
      <c r="G174" s="12"/>
    </row>
    <row r="175" spans="1:7" ht="7.35" customHeight="1">
      <c r="A175" s="12"/>
      <c r="B175" s="12"/>
      <c r="C175" s="12"/>
      <c r="D175" s="12"/>
      <c r="E175" s="12"/>
      <c r="F175" s="12"/>
      <c r="G175" s="12"/>
    </row>
    <row r="176" spans="1:7" ht="7.35" customHeight="1">
      <c r="A176" s="12"/>
      <c r="B176" s="12"/>
      <c r="C176" s="12"/>
      <c r="D176" s="12"/>
      <c r="E176" s="12"/>
      <c r="F176" s="12"/>
      <c r="G176" s="12"/>
    </row>
    <row r="177" spans="1:7" ht="7.35" customHeight="1">
      <c r="A177" s="12"/>
      <c r="B177" s="12"/>
      <c r="C177" s="12"/>
      <c r="D177" s="12"/>
      <c r="E177" s="12"/>
      <c r="F177" s="12"/>
      <c r="G177" s="12"/>
    </row>
    <row r="178" spans="1:7" ht="7.35" customHeight="1">
      <c r="A178" s="12"/>
      <c r="B178" s="12"/>
      <c r="C178" s="12"/>
      <c r="D178" s="12"/>
      <c r="E178" s="12"/>
      <c r="F178" s="12"/>
      <c r="G178" s="12"/>
    </row>
    <row r="179" spans="1:7" ht="7.35" customHeight="1">
      <c r="A179" s="12"/>
      <c r="B179" s="12"/>
      <c r="C179" s="12"/>
      <c r="D179" s="12"/>
      <c r="E179" s="12"/>
      <c r="F179" s="12"/>
      <c r="G179" s="12"/>
    </row>
    <row r="180" spans="1:7" ht="7.35" customHeight="1">
      <c r="A180" s="12"/>
      <c r="B180" s="12"/>
      <c r="C180" s="12"/>
      <c r="D180" s="12"/>
      <c r="E180" s="12"/>
      <c r="F180" s="12"/>
      <c r="G180" s="12"/>
    </row>
    <row r="181" spans="1:7" ht="7.35" customHeight="1">
      <c r="A181" s="12"/>
      <c r="B181" s="12"/>
      <c r="C181" s="12"/>
      <c r="D181" s="12"/>
      <c r="E181" s="12"/>
      <c r="F181" s="12"/>
      <c r="G181" s="12"/>
    </row>
    <row r="182" spans="1:7" ht="7.35" customHeight="1">
      <c r="A182" s="12"/>
      <c r="B182" s="12"/>
      <c r="C182" s="12"/>
      <c r="D182" s="12"/>
      <c r="E182" s="12"/>
      <c r="F182" s="12"/>
      <c r="G182" s="12"/>
    </row>
    <row r="183" spans="1:7" ht="7.35" customHeight="1">
      <c r="A183" s="12"/>
      <c r="B183" s="12"/>
      <c r="C183" s="12"/>
      <c r="D183" s="12"/>
      <c r="E183" s="12"/>
      <c r="F183" s="12"/>
      <c r="G183" s="12"/>
    </row>
    <row r="184" spans="1:7" ht="7.35" customHeight="1">
      <c r="A184" s="12"/>
      <c r="B184" s="12"/>
      <c r="C184" s="12"/>
      <c r="D184" s="12"/>
      <c r="E184" s="12"/>
      <c r="F184" s="12"/>
      <c r="G184" s="12"/>
    </row>
    <row r="185" spans="1:7" ht="7.35" customHeight="1">
      <c r="A185" s="12"/>
      <c r="B185" s="12"/>
      <c r="C185" s="12"/>
      <c r="D185" s="12"/>
      <c r="E185" s="12"/>
      <c r="F185" s="12"/>
      <c r="G185" s="12"/>
    </row>
    <row r="186" spans="1:7" ht="7.35" customHeight="1">
      <c r="A186" s="12"/>
      <c r="B186" s="12"/>
      <c r="C186" s="12"/>
      <c r="D186" s="12"/>
      <c r="E186" s="12"/>
      <c r="F186" s="12"/>
      <c r="G186" s="12"/>
    </row>
    <row r="187" spans="1:7" ht="7.35" customHeight="1">
      <c r="A187" s="12"/>
      <c r="B187" s="12"/>
      <c r="C187" s="12"/>
      <c r="D187" s="12"/>
      <c r="E187" s="12"/>
      <c r="F187" s="12"/>
      <c r="G187" s="12"/>
    </row>
    <row r="188" spans="1:7" ht="7.35" customHeight="1">
      <c r="A188" s="12"/>
      <c r="B188" s="12"/>
      <c r="C188" s="12"/>
      <c r="D188" s="12"/>
      <c r="E188" s="12"/>
      <c r="F188" s="12"/>
      <c r="G188" s="12"/>
    </row>
    <row r="189" spans="1:7" ht="7.35" customHeight="1">
      <c r="A189" s="12"/>
      <c r="B189" s="12"/>
      <c r="C189" s="12"/>
      <c r="D189" s="12"/>
      <c r="E189" s="12"/>
      <c r="F189" s="12"/>
      <c r="G189" s="12"/>
    </row>
    <row r="190" spans="1:7" ht="7.35" customHeight="1">
      <c r="A190" s="12"/>
      <c r="B190" s="12"/>
      <c r="C190" s="12"/>
      <c r="D190" s="12"/>
      <c r="E190" s="12"/>
      <c r="F190" s="12"/>
      <c r="G190" s="12"/>
    </row>
    <row r="191" spans="1:7" ht="7.35" customHeight="1">
      <c r="A191" s="12"/>
      <c r="B191" s="12"/>
      <c r="C191" s="12"/>
      <c r="D191" s="12"/>
      <c r="E191" s="12"/>
      <c r="F191" s="12"/>
      <c r="G191" s="12"/>
    </row>
    <row r="192" spans="1:7" ht="7.35" customHeight="1">
      <c r="A192" s="12"/>
      <c r="B192" s="12"/>
      <c r="C192" s="12"/>
      <c r="D192" s="12"/>
      <c r="E192" s="12"/>
      <c r="F192" s="12"/>
      <c r="G192" s="12"/>
    </row>
    <row r="193" spans="1:7" ht="7.35" customHeight="1">
      <c r="A193" s="12"/>
      <c r="B193" s="12"/>
      <c r="C193" s="12"/>
      <c r="D193" s="12"/>
      <c r="E193" s="12"/>
      <c r="F193" s="12"/>
      <c r="G193" s="12"/>
    </row>
    <row r="194" spans="1:7" ht="7.35" customHeight="1">
      <c r="A194" s="12"/>
      <c r="B194" s="12"/>
      <c r="C194" s="12"/>
      <c r="D194" s="12"/>
      <c r="E194" s="12"/>
      <c r="F194" s="12"/>
      <c r="G194" s="12"/>
    </row>
    <row r="195" spans="1:7" ht="7.35" customHeight="1">
      <c r="A195" s="12"/>
      <c r="B195" s="12"/>
      <c r="C195" s="12"/>
      <c r="D195" s="12"/>
      <c r="E195" s="12"/>
      <c r="F195" s="12"/>
      <c r="G195" s="12"/>
    </row>
    <row r="196" spans="1:7" ht="7.35" customHeight="1">
      <c r="A196" s="12"/>
      <c r="B196" s="12"/>
      <c r="C196" s="12"/>
      <c r="D196" s="12"/>
      <c r="E196" s="12"/>
      <c r="F196" s="12"/>
      <c r="G196" s="12"/>
    </row>
    <row r="197" spans="1:7" ht="7.35" customHeight="1">
      <c r="A197" s="12"/>
      <c r="B197" s="12"/>
      <c r="C197" s="12"/>
      <c r="D197" s="12"/>
      <c r="E197" s="12"/>
      <c r="F197" s="12"/>
      <c r="G197" s="12"/>
    </row>
    <row r="198" spans="1:7" ht="7.35" customHeight="1">
      <c r="A198" s="12"/>
      <c r="B198" s="12"/>
      <c r="C198" s="12"/>
      <c r="D198" s="12"/>
      <c r="E198" s="12"/>
      <c r="F198" s="12"/>
      <c r="G198" s="12"/>
    </row>
    <row r="199" spans="1:7" ht="7.35" customHeight="1">
      <c r="A199" s="12"/>
      <c r="B199" s="12"/>
      <c r="C199" s="12"/>
      <c r="D199" s="12"/>
      <c r="E199" s="12"/>
      <c r="F199" s="12"/>
      <c r="G199" s="12"/>
    </row>
    <row r="200" spans="1:7" ht="7.35" customHeight="1">
      <c r="A200" s="12"/>
      <c r="B200" s="12"/>
      <c r="C200" s="12"/>
      <c r="D200" s="12"/>
      <c r="E200" s="12"/>
      <c r="F200" s="12"/>
      <c r="G200" s="12"/>
    </row>
    <row r="201" spans="1:7" ht="7.35" customHeight="1">
      <c r="A201" s="12"/>
      <c r="B201" s="12"/>
      <c r="C201" s="12"/>
      <c r="D201" s="12"/>
      <c r="E201" s="12"/>
      <c r="F201" s="12"/>
      <c r="G20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defaultColWidth="8.7109375" defaultRowHeight="12.75" customHeight="1"/>
  <sheetData>
    <row r="1" spans="1:2" ht="12.75" customHeight="1">
      <c r="A1" t="s">
        <v>867</v>
      </c>
      <c r="B1" t="s">
        <v>5326</v>
      </c>
    </row>
    <row r="2" spans="1:2" ht="12.75" customHeight="1">
      <c r="A2" t="s">
        <v>394</v>
      </c>
      <c r="B2" t="s">
        <v>394</v>
      </c>
    </row>
    <row r="3" spans="1:2" ht="12.75" customHeight="1">
      <c r="A3" t="s">
        <v>12</v>
      </c>
      <c r="B3" t="s">
        <v>143</v>
      </c>
    </row>
    <row r="4" spans="1:2" ht="12.75" customHeight="1">
      <c r="A4" t="s">
        <v>14</v>
      </c>
      <c r="B4" t="s">
        <v>604</v>
      </c>
    </row>
    <row r="5" spans="1:2" ht="12.75" customHeight="1">
      <c r="A5" t="s">
        <v>16</v>
      </c>
      <c r="B5" t="s">
        <v>625</v>
      </c>
    </row>
    <row r="6" spans="1:2" ht="12.75" customHeight="1">
      <c r="A6" t="s">
        <v>18</v>
      </c>
      <c r="B6" t="s">
        <v>641</v>
      </c>
    </row>
    <row r="7" spans="1:2" ht="12.75" customHeight="1">
      <c r="A7" t="s">
        <v>20</v>
      </c>
      <c r="B7" t="s">
        <v>1462</v>
      </c>
    </row>
    <row r="8" spans="1:2" ht="12.75" customHeight="1">
      <c r="A8" t="s">
        <v>22</v>
      </c>
      <c r="B8" t="s">
        <v>1566</v>
      </c>
    </row>
    <row r="9" spans="1:2" ht="12.75" customHeight="1">
      <c r="A9" t="s">
        <v>24</v>
      </c>
      <c r="B9" t="s">
        <v>1680</v>
      </c>
    </row>
    <row r="10" spans="1:2" ht="12.75" customHeight="1">
      <c r="A10" t="s">
        <v>26</v>
      </c>
      <c r="B10" t="s">
        <v>1778</v>
      </c>
    </row>
    <row r="11" spans="1:2" ht="12.75" customHeight="1">
      <c r="A11" t="s">
        <v>28</v>
      </c>
      <c r="B11" t="s">
        <v>1884</v>
      </c>
    </row>
    <row r="12" spans="1:2" ht="12.75" customHeight="1">
      <c r="A12" t="s">
        <v>30</v>
      </c>
      <c r="B12" t="s">
        <v>697</v>
      </c>
    </row>
    <row r="13" spans="1:2" ht="12.75" customHeight="1">
      <c r="A13" t="s">
        <v>32</v>
      </c>
      <c r="B13" t="s">
        <v>2096</v>
      </c>
    </row>
    <row r="14" spans="1:2" ht="12.75" customHeight="1">
      <c r="A14" t="s">
        <v>34</v>
      </c>
      <c r="B14" t="s">
        <v>698</v>
      </c>
    </row>
    <row r="15" spans="1:2" ht="12.75" customHeight="1">
      <c r="A15" t="s">
        <v>36</v>
      </c>
      <c r="B15" t="s">
        <v>700</v>
      </c>
    </row>
    <row r="16" spans="1:2" ht="12.75" customHeight="1">
      <c r="A16" t="s">
        <v>38</v>
      </c>
      <c r="B16" t="s">
        <v>702</v>
      </c>
    </row>
    <row r="17" spans="1:2" ht="12.75" customHeight="1">
      <c r="A17" t="s">
        <v>40</v>
      </c>
      <c r="B17" t="s">
        <v>703</v>
      </c>
    </row>
    <row r="18" spans="1:2" ht="12.75" customHeight="1">
      <c r="A18" t="s">
        <v>42</v>
      </c>
      <c r="B18" t="s">
        <v>2557</v>
      </c>
    </row>
    <row r="19" spans="1:2" ht="12.75" customHeight="1">
      <c r="A19" t="s">
        <v>44</v>
      </c>
      <c r="B19" t="s">
        <v>705</v>
      </c>
    </row>
    <row r="20" spans="1:2" ht="12.75" customHeight="1">
      <c r="A20" t="s">
        <v>46</v>
      </c>
      <c r="B20" t="s">
        <v>2756</v>
      </c>
    </row>
    <row r="21" spans="1:2" ht="12.75" customHeight="1">
      <c r="A21" t="s">
        <v>48</v>
      </c>
      <c r="B21" t="s">
        <v>2877</v>
      </c>
    </row>
    <row r="22" spans="1:2" ht="12.75" customHeight="1">
      <c r="A22" t="s">
        <v>50</v>
      </c>
      <c r="B22" t="s">
        <v>707</v>
      </c>
    </row>
    <row r="23" spans="1:2" ht="12.75" customHeight="1">
      <c r="A23" t="s">
        <v>52</v>
      </c>
      <c r="B23" t="s">
        <v>372</v>
      </c>
    </row>
    <row r="24" spans="1:2" ht="12.75" customHeight="1">
      <c r="A24" t="s">
        <v>54</v>
      </c>
      <c r="B24" t="s">
        <v>374</v>
      </c>
    </row>
    <row r="25" spans="1:2" ht="12.75" customHeight="1">
      <c r="A25" t="s">
        <v>56</v>
      </c>
      <c r="B25" t="s">
        <v>376</v>
      </c>
    </row>
    <row r="26" spans="1:2" ht="12.75" customHeight="1">
      <c r="A26" t="s">
        <v>58</v>
      </c>
      <c r="B26" t="s">
        <v>379</v>
      </c>
    </row>
    <row r="27" spans="1:2" ht="12.75" customHeight="1">
      <c r="A27" t="s">
        <v>5303</v>
      </c>
      <c r="B27" t="s">
        <v>381</v>
      </c>
    </row>
    <row r="28" spans="1:2" ht="12.75" customHeight="1">
      <c r="A28" t="s">
        <v>62</v>
      </c>
      <c r="B28" t="s">
        <v>384</v>
      </c>
    </row>
    <row r="29" spans="1:2" ht="12.75" customHeight="1">
      <c r="A29" t="s">
        <v>5304</v>
      </c>
      <c r="B29" t="s">
        <v>388</v>
      </c>
    </row>
    <row r="30" spans="1:2" ht="12.75" customHeight="1">
      <c r="A30" t="s">
        <v>3884</v>
      </c>
      <c r="B30" t="s">
        <v>3884</v>
      </c>
    </row>
    <row r="31" spans="1:2" ht="12.75" customHeight="1">
      <c r="A31" t="s">
        <v>68</v>
      </c>
      <c r="B31" t="s">
        <v>68</v>
      </c>
    </row>
    <row r="32" spans="1:2" ht="12.75" customHeight="1">
      <c r="A32" t="s">
        <v>70</v>
      </c>
      <c r="B32" t="s">
        <v>70</v>
      </c>
    </row>
    <row r="33" spans="1:2" ht="12.75" customHeight="1">
      <c r="A33" t="s">
        <v>5305</v>
      </c>
      <c r="B33" t="s">
        <v>5305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defaultColWidth="8.7109375" defaultRowHeight="12.75"/>
  <cols>
    <col min="1" max="1" width="22" customWidth="1"/>
    <col min="2" max="2" width="14" customWidth="1"/>
    <col min="3" max="3" width="34" customWidth="1"/>
    <col min="4" max="4" width="38" customWidth="1"/>
    <col min="5" max="5" width="7.5703125" customWidth="1"/>
    <col min="6" max="6" width="18" customWidth="1"/>
    <col min="7" max="7" width="26" customWidth="1"/>
    <col min="8" max="8" width="14" customWidth="1"/>
  </cols>
  <sheetData>
    <row r="1" spans="1:8" ht="39.6" customHeight="1">
      <c r="A1" s="890" t="s">
        <v>5327</v>
      </c>
      <c r="B1" s="888"/>
      <c r="C1" s="888"/>
      <c r="D1" s="888"/>
      <c r="E1" s="888"/>
      <c r="F1" s="888"/>
      <c r="G1" s="888"/>
      <c r="H1" s="889"/>
    </row>
    <row r="2" spans="1:8">
      <c r="A2" s="887" t="s">
        <v>5328</v>
      </c>
      <c r="B2" s="888"/>
      <c r="C2" s="888"/>
      <c r="D2" s="888"/>
      <c r="E2" s="888"/>
      <c r="F2" s="888"/>
      <c r="G2" s="888"/>
      <c r="H2" s="889"/>
    </row>
    <row r="3" spans="1:8">
      <c r="A3" s="154"/>
      <c r="B3" s="154"/>
      <c r="C3" s="154"/>
      <c r="D3" s="154"/>
      <c r="E3" s="154"/>
      <c r="F3" s="154"/>
      <c r="G3" s="154"/>
      <c r="H3" s="154"/>
    </row>
    <row r="4" spans="1:8" ht="28.5">
      <c r="A4" s="155" t="s">
        <v>5329</v>
      </c>
      <c r="B4" s="155" t="s">
        <v>5330</v>
      </c>
      <c r="C4" s="155" t="s">
        <v>5331</v>
      </c>
      <c r="D4" s="155" t="s">
        <v>11</v>
      </c>
      <c r="E4" s="155" t="s">
        <v>5332</v>
      </c>
      <c r="F4" s="155" t="s">
        <v>77</v>
      </c>
      <c r="G4" s="155" t="s">
        <v>5333</v>
      </c>
      <c r="H4" s="155" t="s">
        <v>5334</v>
      </c>
    </row>
    <row r="5" spans="1:8">
      <c r="A5" s="154" t="s">
        <v>5335</v>
      </c>
      <c r="B5" s="154" t="s">
        <v>5336</v>
      </c>
      <c r="C5" s="154" t="s">
        <v>5337</v>
      </c>
      <c r="D5" s="154" t="s">
        <v>5338</v>
      </c>
      <c r="E5" s="154"/>
      <c r="F5" s="154" t="s">
        <v>175</v>
      </c>
      <c r="G5" s="154" t="s">
        <v>5339</v>
      </c>
      <c r="H5" s="154">
        <v>1</v>
      </c>
    </row>
    <row r="6" spans="1:8">
      <c r="A6" s="154" t="s">
        <v>5340</v>
      </c>
      <c r="B6" s="154" t="s">
        <v>5341</v>
      </c>
      <c r="C6" s="154" t="s">
        <v>5342</v>
      </c>
      <c r="D6" s="154" t="s">
        <v>5343</v>
      </c>
      <c r="E6" s="154"/>
      <c r="F6" s="154" t="s">
        <v>5344</v>
      </c>
      <c r="G6" s="154" t="s">
        <v>5345</v>
      </c>
      <c r="H6" s="154">
        <v>2</v>
      </c>
    </row>
    <row r="7" spans="1:8">
      <c r="A7" s="154" t="s">
        <v>5346</v>
      </c>
      <c r="B7" s="154" t="s">
        <v>5347</v>
      </c>
      <c r="C7" s="154" t="s">
        <v>5348</v>
      </c>
      <c r="D7" s="154" t="s">
        <v>5349</v>
      </c>
      <c r="E7" s="154"/>
      <c r="F7" s="154" t="s">
        <v>5350</v>
      </c>
      <c r="G7" s="154" t="s">
        <v>5351</v>
      </c>
      <c r="H7" s="154">
        <v>3</v>
      </c>
    </row>
    <row r="8" spans="1:8">
      <c r="A8" s="154" t="s">
        <v>5352</v>
      </c>
      <c r="B8" s="154" t="s">
        <v>5353</v>
      </c>
      <c r="C8" s="154" t="s">
        <v>5354</v>
      </c>
      <c r="D8" s="154" t="s">
        <v>5355</v>
      </c>
      <c r="E8" s="154"/>
      <c r="F8" s="154" t="s">
        <v>492</v>
      </c>
      <c r="G8" s="154" t="s">
        <v>5356</v>
      </c>
      <c r="H8" s="154">
        <v>4</v>
      </c>
    </row>
    <row r="9" spans="1:8">
      <c r="A9" s="154" t="s">
        <v>5357</v>
      </c>
      <c r="B9" s="154" t="s">
        <v>5358</v>
      </c>
      <c r="C9" s="154" t="s">
        <v>5359</v>
      </c>
      <c r="D9" s="154" t="s">
        <v>5360</v>
      </c>
      <c r="E9" s="154"/>
      <c r="F9" s="154" t="s">
        <v>484</v>
      </c>
      <c r="G9" s="154" t="s">
        <v>5361</v>
      </c>
      <c r="H9" s="154">
        <v>5</v>
      </c>
    </row>
    <row r="10" spans="1:8">
      <c r="A10" s="154" t="s">
        <v>5362</v>
      </c>
      <c r="B10" s="154" t="s">
        <v>5363</v>
      </c>
      <c r="C10" s="154" t="s">
        <v>5364</v>
      </c>
      <c r="D10" s="154" t="s">
        <v>5365</v>
      </c>
      <c r="E10" s="154"/>
      <c r="F10" s="154" t="s">
        <v>502</v>
      </c>
      <c r="G10" s="154" t="s">
        <v>5366</v>
      </c>
      <c r="H10" s="154">
        <v>6</v>
      </c>
    </row>
    <row r="11" spans="1:8">
      <c r="A11" s="154"/>
      <c r="B11" s="154"/>
      <c r="C11" s="154"/>
      <c r="D11" s="154"/>
      <c r="E11" s="154"/>
      <c r="F11" s="154"/>
      <c r="G11" s="154"/>
      <c r="H11" s="154"/>
    </row>
    <row r="12" spans="1:8" ht="28.5">
      <c r="A12" s="155" t="s">
        <v>5367</v>
      </c>
      <c r="B12" s="155" t="s">
        <v>544</v>
      </c>
      <c r="C12" s="155" t="s">
        <v>5368</v>
      </c>
      <c r="D12" s="155" t="s">
        <v>5369</v>
      </c>
      <c r="E12" s="155" t="s">
        <v>5332</v>
      </c>
      <c r="F12" s="155" t="s">
        <v>5333</v>
      </c>
      <c r="G12" s="155" t="s">
        <v>5368</v>
      </c>
      <c r="H12" s="155" t="s">
        <v>5370</v>
      </c>
    </row>
    <row r="13" spans="1:8">
      <c r="A13" s="154" t="s">
        <v>5371</v>
      </c>
      <c r="B13" s="154">
        <v>0.9</v>
      </c>
      <c r="C13" s="154" t="s">
        <v>5372</v>
      </c>
      <c r="D13" s="154" t="s">
        <v>5373</v>
      </c>
      <c r="E13" s="154"/>
      <c r="F13" s="154" t="s">
        <v>5374</v>
      </c>
      <c r="G13" s="154" t="s">
        <v>5375</v>
      </c>
      <c r="H13" s="154" t="s">
        <v>5376</v>
      </c>
    </row>
    <row r="14" spans="1:8" ht="25.5">
      <c r="A14" s="154" t="s">
        <v>5377</v>
      </c>
      <c r="B14" s="154">
        <v>0.65</v>
      </c>
      <c r="C14" s="154" t="s">
        <v>5378</v>
      </c>
      <c r="D14" s="154" t="s">
        <v>5373</v>
      </c>
      <c r="E14" s="154"/>
      <c r="F14" s="154" t="s">
        <v>5379</v>
      </c>
      <c r="G14" s="154" t="s">
        <v>5380</v>
      </c>
      <c r="H14" s="154" t="s">
        <v>5381</v>
      </c>
    </row>
    <row r="15" spans="1:8" ht="25.5">
      <c r="A15" s="154" t="s">
        <v>5382</v>
      </c>
      <c r="B15" s="154">
        <v>7</v>
      </c>
      <c r="C15" s="154" t="s">
        <v>5383</v>
      </c>
      <c r="D15" s="154" t="s">
        <v>5384</v>
      </c>
      <c r="E15" s="154"/>
      <c r="F15" s="154" t="s">
        <v>5385</v>
      </c>
      <c r="G15" s="154" t="s">
        <v>5386</v>
      </c>
      <c r="H15" s="154" t="s">
        <v>5387</v>
      </c>
    </row>
    <row r="16" spans="1:8" ht="25.5">
      <c r="A16" s="154" t="s">
        <v>5388</v>
      </c>
      <c r="B16" s="154">
        <v>1</v>
      </c>
      <c r="C16" s="154" t="s">
        <v>5389</v>
      </c>
      <c r="D16" s="154" t="s">
        <v>5390</v>
      </c>
      <c r="E16" s="154"/>
      <c r="F16" s="154" t="s">
        <v>5391</v>
      </c>
      <c r="G16" s="154" t="s">
        <v>5392</v>
      </c>
      <c r="H16" s="154" t="s">
        <v>5393</v>
      </c>
    </row>
    <row r="17" spans="1:8">
      <c r="A17" s="154"/>
      <c r="B17" s="154"/>
      <c r="C17" s="154"/>
      <c r="D17" s="154"/>
      <c r="E17" s="154"/>
      <c r="F17" s="154"/>
      <c r="G17" s="154"/>
      <c r="H17" s="154"/>
    </row>
    <row r="18" spans="1:8" ht="28.5">
      <c r="A18" s="156" t="s">
        <v>5394</v>
      </c>
      <c r="B18" s="156" t="s">
        <v>5395</v>
      </c>
      <c r="C18" s="156" t="s">
        <v>5396</v>
      </c>
      <c r="D18" s="156"/>
      <c r="E18" s="156" t="s">
        <v>5332</v>
      </c>
      <c r="F18" s="156" t="s">
        <v>5397</v>
      </c>
      <c r="G18" s="156" t="s">
        <v>5398</v>
      </c>
      <c r="H18" s="156"/>
    </row>
    <row r="19" spans="1:8" ht="25.5">
      <c r="A19" s="154" t="s">
        <v>5399</v>
      </c>
      <c r="B19" s="154" t="s">
        <v>5400</v>
      </c>
      <c r="C19" s="154" t="s">
        <v>5401</v>
      </c>
      <c r="D19" s="154"/>
      <c r="E19" s="154"/>
      <c r="F19" s="154" t="s">
        <v>77</v>
      </c>
      <c r="G19" s="154" t="s">
        <v>5402</v>
      </c>
      <c r="H19" s="154"/>
    </row>
    <row r="20" spans="1:8" ht="25.5">
      <c r="A20" s="154" t="s">
        <v>5403</v>
      </c>
      <c r="B20" s="154" t="s">
        <v>5404</v>
      </c>
      <c r="C20" s="154" t="s">
        <v>5405</v>
      </c>
      <c r="D20" s="154"/>
      <c r="E20" s="154"/>
      <c r="F20" s="154" t="s">
        <v>224</v>
      </c>
      <c r="G20" s="154" t="s">
        <v>5406</v>
      </c>
      <c r="H20" s="154"/>
    </row>
    <row r="21" spans="1:8" ht="25.5">
      <c r="A21" s="154" t="s">
        <v>5407</v>
      </c>
      <c r="B21" s="154" t="s">
        <v>5408</v>
      </c>
      <c r="C21" s="154" t="s">
        <v>5409</v>
      </c>
      <c r="D21" s="154"/>
      <c r="E21" s="154"/>
      <c r="F21" s="154" t="s">
        <v>216</v>
      </c>
      <c r="G21" s="154" t="s">
        <v>5410</v>
      </c>
      <c r="H21" s="154"/>
    </row>
    <row r="22" spans="1:8">
      <c r="A22" s="154" t="s">
        <v>5411</v>
      </c>
      <c r="B22" s="154" t="s">
        <v>5412</v>
      </c>
      <c r="C22" s="154" t="s">
        <v>5413</v>
      </c>
      <c r="D22" s="154"/>
      <c r="E22" s="154"/>
      <c r="F22" s="154" t="s">
        <v>5414</v>
      </c>
      <c r="G22" s="154" t="s">
        <v>5415</v>
      </c>
      <c r="H22" s="154"/>
    </row>
    <row r="23" spans="1:8">
      <c r="A23" s="154" t="s">
        <v>5416</v>
      </c>
      <c r="B23" s="154" t="s">
        <v>515</v>
      </c>
      <c r="C23" s="154" t="s">
        <v>5417</v>
      </c>
      <c r="D23" s="154"/>
      <c r="E23" s="154"/>
      <c r="F23" s="154"/>
      <c r="G23" s="154"/>
      <c r="H23" s="154"/>
    </row>
    <row r="24" spans="1:8" ht="25.5">
      <c r="A24" s="154" t="s">
        <v>179</v>
      </c>
      <c r="B24" s="154" t="s">
        <v>5418</v>
      </c>
      <c r="C24" s="154" t="s">
        <v>5419</v>
      </c>
      <c r="D24" s="154"/>
      <c r="E24" s="154"/>
      <c r="F24" s="154"/>
      <c r="G24" s="154"/>
      <c r="H24" s="154"/>
    </row>
    <row r="25" spans="1:8">
      <c r="A25" s="154"/>
      <c r="B25" s="154"/>
      <c r="C25" s="154"/>
      <c r="D25" s="154"/>
      <c r="E25" s="154"/>
      <c r="F25" s="154"/>
      <c r="G25" s="154"/>
      <c r="H25" s="154"/>
    </row>
    <row r="26" spans="1:8" ht="14.25">
      <c r="A26" s="157" t="s">
        <v>5420</v>
      </c>
      <c r="B26" s="157"/>
      <c r="C26" s="157"/>
      <c r="D26" s="157"/>
      <c r="E26" s="157"/>
      <c r="F26" s="157"/>
      <c r="G26" s="157"/>
      <c r="H26" s="157"/>
    </row>
    <row r="27" spans="1:8" ht="38.25">
      <c r="A27" s="154" t="s">
        <v>5421</v>
      </c>
      <c r="B27" s="154"/>
      <c r="C27" s="154"/>
      <c r="D27" s="154"/>
      <c r="E27" s="154"/>
      <c r="F27" s="154"/>
      <c r="G27" s="154"/>
      <c r="H27" s="154"/>
    </row>
    <row r="28" spans="1:8" ht="51">
      <c r="A28" s="154" t="s">
        <v>5422</v>
      </c>
      <c r="B28" s="154"/>
      <c r="C28" s="154"/>
      <c r="D28" s="154"/>
      <c r="E28" s="154"/>
      <c r="F28" s="154"/>
      <c r="G28" s="154"/>
      <c r="H28" s="154"/>
    </row>
    <row r="29" spans="1:8" ht="38.25">
      <c r="A29" s="154" t="s">
        <v>5423</v>
      </c>
      <c r="B29" s="154"/>
      <c r="C29" s="154"/>
      <c r="D29" s="154"/>
      <c r="E29" s="154"/>
      <c r="F29" s="154"/>
      <c r="G29" s="154"/>
      <c r="H29" s="154"/>
    </row>
    <row r="30" spans="1:8" ht="38.25">
      <c r="A30" s="154" t="s">
        <v>5424</v>
      </c>
      <c r="B30" s="154"/>
      <c r="C30" s="154"/>
      <c r="D30" s="154"/>
      <c r="E30" s="154"/>
      <c r="F30" s="154"/>
      <c r="G30" s="154"/>
      <c r="H30" s="154"/>
    </row>
  </sheetData>
  <mergeCells count="2">
    <mergeCell ref="A2:H2"/>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V49"/>
  <sheetViews>
    <sheetView workbookViewId="0">
      <selection activeCell="K24" sqref="K24"/>
    </sheetView>
  </sheetViews>
  <sheetFormatPr defaultColWidth="8.7109375" defaultRowHeight="12.75" customHeight="1"/>
  <cols>
    <col min="1" max="1" width="45.5703125" style="8" customWidth="1"/>
    <col min="2" max="2" width="23.7109375" customWidth="1"/>
    <col min="3" max="3" width="27" style="8" customWidth="1"/>
    <col min="5" max="5" width="18" style="8" customWidth="1"/>
    <col min="7" max="7" width="18" style="8" customWidth="1"/>
    <col min="8" max="8" width="26.42578125" customWidth="1"/>
    <col min="9" max="9" width="22" style="8" customWidth="1"/>
    <col min="11" max="11" width="10.42578125" bestFit="1" customWidth="1"/>
    <col min="12" max="12" width="13.140625" bestFit="1" customWidth="1"/>
    <col min="13" max="13" width="27.85546875" bestFit="1" customWidth="1"/>
  </cols>
  <sheetData>
    <row r="1" spans="1:22" s="192" customFormat="1" ht="10.15" customHeight="1">
      <c r="A1" s="540" t="s">
        <v>495</v>
      </c>
      <c r="B1" s="541"/>
      <c r="C1" s="541"/>
      <c r="D1" s="541"/>
      <c r="E1" s="541"/>
      <c r="F1" s="541"/>
      <c r="G1" s="541"/>
      <c r="H1" s="541"/>
      <c r="I1" s="541"/>
      <c r="J1" s="541"/>
    </row>
    <row r="2" spans="1:22" s="192" customFormat="1" ht="10.15" customHeight="1">
      <c r="A2" s="542" t="s">
        <v>496</v>
      </c>
      <c r="B2" s="541"/>
      <c r="C2" s="541"/>
      <c r="D2" s="541"/>
      <c r="E2" s="541"/>
      <c r="F2" s="541"/>
      <c r="G2" s="541"/>
      <c r="H2" s="541"/>
      <c r="I2" s="541"/>
      <c r="J2" s="541"/>
    </row>
    <row r="3" spans="1:22" s="192" customFormat="1" ht="15">
      <c r="A3" s="541"/>
      <c r="C3" s="541"/>
      <c r="E3" s="541"/>
      <c r="G3" s="541"/>
      <c r="I3" s="541"/>
    </row>
    <row r="4" spans="1:22" s="192" customFormat="1" ht="10.15" customHeight="1">
      <c r="A4" s="543" t="s">
        <v>77</v>
      </c>
      <c r="C4" s="543" t="s">
        <v>224</v>
      </c>
      <c r="E4" s="543" t="s">
        <v>257</v>
      </c>
      <c r="G4" s="543" t="s">
        <v>215</v>
      </c>
      <c r="I4" s="543" t="s">
        <v>497</v>
      </c>
      <c r="K4" s="892" t="s">
        <v>5653</v>
      </c>
      <c r="L4" s="586"/>
      <c r="M4" s="586"/>
      <c r="N4" s="539" t="s">
        <v>5763</v>
      </c>
      <c r="O4" s="539" t="s">
        <v>493</v>
      </c>
      <c r="P4" s="539" t="s">
        <v>284</v>
      </c>
      <c r="Q4" s="539" t="s">
        <v>216</v>
      </c>
      <c r="R4" s="539" t="s">
        <v>5767</v>
      </c>
      <c r="S4" s="539" t="s">
        <v>215</v>
      </c>
      <c r="T4" s="539" t="s">
        <v>5916</v>
      </c>
      <c r="U4" s="539" t="s">
        <v>5883</v>
      </c>
      <c r="V4" s="539" t="s">
        <v>5952</v>
      </c>
    </row>
    <row r="5" spans="1:22" s="192" customFormat="1" ht="10.15" customHeight="1">
      <c r="A5" s="544" t="s">
        <v>235</v>
      </c>
      <c r="C5" s="544" t="s">
        <v>498</v>
      </c>
      <c r="E5" s="544" t="s">
        <v>498</v>
      </c>
      <c r="G5" s="544" t="s">
        <v>498</v>
      </c>
      <c r="I5" s="544" t="s">
        <v>487</v>
      </c>
      <c r="K5" s="545" t="s">
        <v>77</v>
      </c>
      <c r="L5" s="545" t="s">
        <v>5654</v>
      </c>
      <c r="M5" s="545" t="s">
        <v>5644</v>
      </c>
      <c r="N5" s="192" t="s">
        <v>5225</v>
      </c>
      <c r="O5" s="192" t="s">
        <v>5899</v>
      </c>
      <c r="P5" s="192" t="s">
        <v>732</v>
      </c>
      <c r="Q5" s="192" t="s">
        <v>229</v>
      </c>
      <c r="R5" s="192" t="s">
        <v>5917</v>
      </c>
      <c r="S5" s="192" t="s">
        <v>5896</v>
      </c>
      <c r="T5" s="192" t="s">
        <v>392</v>
      </c>
      <c r="U5" s="192" t="s">
        <v>5918</v>
      </c>
      <c r="V5" s="192" t="s">
        <v>484</v>
      </c>
    </row>
    <row r="6" spans="1:22" s="192" customFormat="1" ht="10.15" customHeight="1">
      <c r="A6" s="544" t="s">
        <v>230</v>
      </c>
      <c r="C6" s="544" t="s">
        <v>488</v>
      </c>
      <c r="E6" s="544" t="s">
        <v>488</v>
      </c>
      <c r="G6" s="544" t="s">
        <v>488</v>
      </c>
      <c r="I6" s="544" t="s">
        <v>499</v>
      </c>
      <c r="K6" s="313" t="s">
        <v>484</v>
      </c>
      <c r="L6" s="313" t="s">
        <v>392</v>
      </c>
      <c r="M6" s="313" t="s">
        <v>348</v>
      </c>
      <c r="N6" s="192" t="s">
        <v>264</v>
      </c>
      <c r="O6" s="192" t="s">
        <v>5912</v>
      </c>
      <c r="P6" s="192" t="s">
        <v>3463</v>
      </c>
      <c r="Q6" s="192" t="s">
        <v>5774</v>
      </c>
      <c r="R6" s="192" t="s">
        <v>5775</v>
      </c>
      <c r="S6" s="192" t="s">
        <v>5898</v>
      </c>
      <c r="T6" s="192" t="s">
        <v>1096</v>
      </c>
      <c r="U6" s="192" t="s">
        <v>5919</v>
      </c>
      <c r="V6" s="192" t="s">
        <v>235</v>
      </c>
    </row>
    <row r="7" spans="1:22" s="192" customFormat="1" ht="10.15" customHeight="1">
      <c r="A7" s="544" t="s">
        <v>348</v>
      </c>
      <c r="C7" s="544" t="s">
        <v>391</v>
      </c>
      <c r="E7" s="544" t="s">
        <v>391</v>
      </c>
      <c r="G7" s="544" t="s">
        <v>391</v>
      </c>
      <c r="I7" s="544" t="s">
        <v>500</v>
      </c>
      <c r="K7" s="313" t="s">
        <v>230</v>
      </c>
      <c r="L7" s="313" t="s">
        <v>1096</v>
      </c>
      <c r="M7" s="313" t="s">
        <v>546</v>
      </c>
      <c r="N7" s="192" t="s">
        <v>152</v>
      </c>
      <c r="O7" s="192" t="s">
        <v>5920</v>
      </c>
      <c r="P7" s="192" t="s">
        <v>146</v>
      </c>
      <c r="Q7" s="192" t="s">
        <v>5771</v>
      </c>
      <c r="R7" s="192" t="s">
        <v>5780</v>
      </c>
      <c r="S7" s="192" t="s">
        <v>5902</v>
      </c>
      <c r="U7" s="192" t="s">
        <v>5921</v>
      </c>
      <c r="V7" s="192" t="s">
        <v>230</v>
      </c>
    </row>
    <row r="8" spans="1:22" s="192" customFormat="1" ht="10.15" customHeight="1">
      <c r="A8" s="544" t="s">
        <v>501</v>
      </c>
      <c r="C8" s="544" t="s">
        <v>492</v>
      </c>
      <c r="E8" s="541"/>
      <c r="G8" s="544" t="s">
        <v>492</v>
      </c>
      <c r="I8" s="544" t="s">
        <v>483</v>
      </c>
      <c r="K8" s="313" t="s">
        <v>482</v>
      </c>
      <c r="L8" s="313" t="s">
        <v>679</v>
      </c>
      <c r="M8" s="313" t="s">
        <v>547</v>
      </c>
      <c r="N8" s="192" t="s">
        <v>5922</v>
      </c>
      <c r="O8" s="192" t="s">
        <v>4797</v>
      </c>
      <c r="P8" s="192" t="s">
        <v>157</v>
      </c>
      <c r="Q8" s="192" t="s">
        <v>5923</v>
      </c>
      <c r="R8" s="192" t="s">
        <v>5794</v>
      </c>
      <c r="U8" s="192" t="s">
        <v>5903</v>
      </c>
      <c r="V8" s="192" t="s">
        <v>5761</v>
      </c>
    </row>
    <row r="9" spans="1:22" s="192" customFormat="1" ht="10.15" customHeight="1">
      <c r="A9" s="544" t="s">
        <v>502</v>
      </c>
      <c r="C9" s="541"/>
      <c r="E9" s="541"/>
      <c r="G9" s="541"/>
      <c r="I9" s="544" t="s">
        <v>503</v>
      </c>
      <c r="K9" s="313" t="s">
        <v>5655</v>
      </c>
      <c r="L9" s="313"/>
      <c r="M9" s="313" t="s">
        <v>679</v>
      </c>
      <c r="N9" s="192" t="s">
        <v>5924</v>
      </c>
      <c r="O9" s="192" t="s">
        <v>5906</v>
      </c>
      <c r="P9" s="192" t="s">
        <v>3480</v>
      </c>
      <c r="Q9" s="192" t="s">
        <v>5925</v>
      </c>
      <c r="R9" s="192" t="s">
        <v>5926</v>
      </c>
      <c r="U9" s="192" t="s">
        <v>5909</v>
      </c>
      <c r="V9" s="192" t="s">
        <v>348</v>
      </c>
    </row>
    <row r="10" spans="1:22" s="192" customFormat="1" ht="10.15" customHeight="1">
      <c r="A10" s="544" t="s">
        <v>482</v>
      </c>
      <c r="C10" s="541"/>
      <c r="E10" s="541"/>
      <c r="G10" s="541"/>
      <c r="I10" s="544" t="s">
        <v>485</v>
      </c>
      <c r="K10" s="313" t="s">
        <v>5656</v>
      </c>
      <c r="L10" s="313"/>
      <c r="M10" s="313"/>
      <c r="N10" s="192" t="s">
        <v>4788</v>
      </c>
      <c r="O10" s="192" t="s">
        <v>5910</v>
      </c>
      <c r="P10" s="192" t="s">
        <v>3349</v>
      </c>
      <c r="Q10" s="192" t="s">
        <v>5927</v>
      </c>
      <c r="R10" s="192" t="s">
        <v>5928</v>
      </c>
      <c r="U10" s="192" t="s">
        <v>5929</v>
      </c>
      <c r="V10" s="192" t="s">
        <v>5655</v>
      </c>
    </row>
    <row r="11" spans="1:22" s="192" customFormat="1" ht="10.15" customHeight="1">
      <c r="A11" s="544" t="s">
        <v>484</v>
      </c>
      <c r="C11" s="541"/>
      <c r="E11" s="541"/>
      <c r="G11" s="541"/>
      <c r="I11" s="544" t="s">
        <v>486</v>
      </c>
      <c r="N11" s="192" t="s">
        <v>5782</v>
      </c>
      <c r="O11" s="192" t="s">
        <v>485</v>
      </c>
      <c r="P11" s="192" t="s">
        <v>5456</v>
      </c>
      <c r="Q11" s="192" t="s">
        <v>5930</v>
      </c>
      <c r="R11" s="192" t="s">
        <v>5931</v>
      </c>
      <c r="U11" s="192" t="s">
        <v>5915</v>
      </c>
      <c r="V11" s="192" t="s">
        <v>501</v>
      </c>
    </row>
    <row r="12" spans="1:22" s="192" customFormat="1" ht="10.15" customHeight="1">
      <c r="A12" s="541"/>
      <c r="C12" s="541"/>
      <c r="E12" s="541"/>
      <c r="G12" s="541"/>
      <c r="I12" s="541"/>
      <c r="K12" s="892" t="s">
        <v>5657</v>
      </c>
      <c r="L12" s="586"/>
      <c r="M12" s="586"/>
      <c r="N12" s="192" t="s">
        <v>5932</v>
      </c>
      <c r="O12" s="192" t="s">
        <v>486</v>
      </c>
      <c r="P12" s="192" t="s">
        <v>5457</v>
      </c>
      <c r="Q12" s="192" t="s">
        <v>5238</v>
      </c>
      <c r="R12" s="192" t="s">
        <v>5933</v>
      </c>
      <c r="U12" s="192" t="s">
        <v>5897</v>
      </c>
      <c r="V12" s="192" t="s">
        <v>5656</v>
      </c>
    </row>
    <row r="13" spans="1:22" s="192" customFormat="1">
      <c r="A13" s="530" t="s">
        <v>5763</v>
      </c>
      <c r="B13" s="530" t="s">
        <v>493</v>
      </c>
      <c r="C13" s="530" t="s">
        <v>284</v>
      </c>
      <c r="D13" s="530" t="s">
        <v>216</v>
      </c>
      <c r="E13" s="530" t="s">
        <v>5767</v>
      </c>
      <c r="F13" s="530" t="s">
        <v>215</v>
      </c>
      <c r="G13" s="530" t="s">
        <v>5916</v>
      </c>
      <c r="H13" s="530" t="s">
        <v>5883</v>
      </c>
      <c r="I13" s="530" t="s">
        <v>77</v>
      </c>
    </row>
    <row r="14" spans="1:22" s="192" customFormat="1">
      <c r="A14" s="192" t="s">
        <v>5225</v>
      </c>
      <c r="B14" s="192" t="s">
        <v>5899</v>
      </c>
      <c r="C14" s="192" t="s">
        <v>732</v>
      </c>
      <c r="D14" s="192" t="s">
        <v>229</v>
      </c>
      <c r="E14" s="192" t="s">
        <v>5917</v>
      </c>
      <c r="F14" s="192" t="s">
        <v>5896</v>
      </c>
      <c r="G14" s="192" t="s">
        <v>392</v>
      </c>
      <c r="H14" s="192" t="s">
        <v>5918</v>
      </c>
      <c r="I14" s="192" t="s">
        <v>484</v>
      </c>
    </row>
    <row r="15" spans="1:22" s="192" customFormat="1">
      <c r="A15" s="192" t="s">
        <v>264</v>
      </c>
      <c r="B15" s="192" t="s">
        <v>5912</v>
      </c>
      <c r="C15" s="192" t="s">
        <v>3463</v>
      </c>
      <c r="D15" s="192" t="s">
        <v>5774</v>
      </c>
      <c r="E15" s="192" t="s">
        <v>5775</v>
      </c>
      <c r="F15" s="192" t="s">
        <v>5898</v>
      </c>
      <c r="G15" s="192" t="s">
        <v>1096</v>
      </c>
      <c r="H15" s="192" t="s">
        <v>5919</v>
      </c>
      <c r="I15" s="192" t="s">
        <v>235</v>
      </c>
    </row>
    <row r="16" spans="1:22" s="192" customFormat="1">
      <c r="A16" s="192" t="s">
        <v>152</v>
      </c>
      <c r="B16" s="192" t="s">
        <v>5920</v>
      </c>
      <c r="C16" s="192" t="s">
        <v>146</v>
      </c>
      <c r="D16" s="192" t="s">
        <v>5771</v>
      </c>
      <c r="E16" s="192" t="s">
        <v>5780</v>
      </c>
      <c r="F16" s="192" t="s">
        <v>5902</v>
      </c>
      <c r="H16" s="192" t="s">
        <v>5921</v>
      </c>
      <c r="I16" s="192" t="s">
        <v>230</v>
      </c>
    </row>
    <row r="17" spans="1:10" s="192" customFormat="1">
      <c r="A17" s="192" t="s">
        <v>5922</v>
      </c>
      <c r="B17" s="192" t="s">
        <v>4797</v>
      </c>
      <c r="C17" s="192" t="s">
        <v>157</v>
      </c>
      <c r="D17" s="192" t="s">
        <v>5923</v>
      </c>
      <c r="E17" s="192" t="s">
        <v>5794</v>
      </c>
      <c r="H17" s="192" t="s">
        <v>5903</v>
      </c>
      <c r="I17" s="192" t="s">
        <v>5761</v>
      </c>
    </row>
    <row r="18" spans="1:10" s="192" customFormat="1">
      <c r="A18" s="192" t="s">
        <v>5924</v>
      </c>
      <c r="B18" s="192" t="s">
        <v>5906</v>
      </c>
      <c r="C18" s="192" t="s">
        <v>3480</v>
      </c>
      <c r="D18" s="192" t="s">
        <v>5925</v>
      </c>
      <c r="E18" s="192" t="s">
        <v>5926</v>
      </c>
      <c r="H18" s="192" t="s">
        <v>5909</v>
      </c>
      <c r="I18" s="192" t="s">
        <v>348</v>
      </c>
    </row>
    <row r="19" spans="1:10" s="192" customFormat="1">
      <c r="A19" s="192" t="s">
        <v>4788</v>
      </c>
      <c r="B19" s="192" t="s">
        <v>5910</v>
      </c>
      <c r="C19" s="192" t="s">
        <v>3349</v>
      </c>
      <c r="D19" s="192" t="s">
        <v>5927</v>
      </c>
      <c r="E19" s="192" t="s">
        <v>5928</v>
      </c>
      <c r="H19" s="192" t="s">
        <v>5929</v>
      </c>
      <c r="I19" s="192" t="s">
        <v>5655</v>
      </c>
    </row>
    <row r="20" spans="1:10" s="192" customFormat="1">
      <c r="A20" s="192" t="s">
        <v>5782</v>
      </c>
      <c r="B20" s="192" t="s">
        <v>485</v>
      </c>
      <c r="C20" s="192" t="s">
        <v>5456</v>
      </c>
      <c r="D20" s="192" t="s">
        <v>5930</v>
      </c>
      <c r="E20" s="192" t="s">
        <v>5931</v>
      </c>
      <c r="H20" s="192" t="s">
        <v>5915</v>
      </c>
      <c r="I20" s="192" t="s">
        <v>501</v>
      </c>
    </row>
    <row r="21" spans="1:10" s="192" customFormat="1">
      <c r="A21" s="192" t="s">
        <v>5932</v>
      </c>
      <c r="B21" s="192" t="s">
        <v>486</v>
      </c>
      <c r="C21" s="192" t="s">
        <v>5457</v>
      </c>
      <c r="D21" s="192" t="s">
        <v>5238</v>
      </c>
      <c r="E21" s="192" t="s">
        <v>5933</v>
      </c>
      <c r="H21" s="192" t="s">
        <v>5897</v>
      </c>
      <c r="I21" s="192" t="s">
        <v>5656</v>
      </c>
    </row>
    <row r="22" spans="1:10" s="192" customFormat="1">
      <c r="A22" s="192" t="s">
        <v>485</v>
      </c>
      <c r="B22" s="192" t="s">
        <v>5904</v>
      </c>
      <c r="C22" s="192" t="s">
        <v>5934</v>
      </c>
      <c r="D22" s="192" t="s">
        <v>5935</v>
      </c>
      <c r="H22" s="192" t="s">
        <v>5914</v>
      </c>
      <c r="I22" s="192" t="s">
        <v>482</v>
      </c>
    </row>
    <row r="23" spans="1:10" s="192" customFormat="1">
      <c r="A23" s="192" t="s">
        <v>5793</v>
      </c>
      <c r="B23" s="192" t="s">
        <v>491</v>
      </c>
      <c r="C23" s="192" t="s">
        <v>485</v>
      </c>
      <c r="D23" s="192" t="s">
        <v>5936</v>
      </c>
      <c r="H23" s="192" t="s">
        <v>5937</v>
      </c>
      <c r="I23" s="192" t="s">
        <v>502</v>
      </c>
    </row>
    <row r="24" spans="1:10" s="192" customFormat="1">
      <c r="A24" s="192" t="s">
        <v>573</v>
      </c>
      <c r="B24" s="192" t="s">
        <v>5938</v>
      </c>
      <c r="C24" s="192" t="s">
        <v>5913</v>
      </c>
      <c r="D24" s="192" t="s">
        <v>5939</v>
      </c>
      <c r="I24" s="192" t="s">
        <v>5940</v>
      </c>
    </row>
    <row r="25" spans="1:10" s="192" customFormat="1">
      <c r="A25" s="192" t="s">
        <v>5941</v>
      </c>
      <c r="C25" s="192" t="s">
        <v>5907</v>
      </c>
    </row>
    <row r="26" spans="1:10" s="192" customFormat="1">
      <c r="A26" s="192" t="s">
        <v>5942</v>
      </c>
      <c r="C26" s="192" t="s">
        <v>5910</v>
      </c>
    </row>
    <row r="27" spans="1:10" s="192" customFormat="1">
      <c r="A27" s="192" t="s">
        <v>5787</v>
      </c>
    </row>
    <row r="28" spans="1:10" s="192" customFormat="1">
      <c r="A28" s="192" t="s">
        <v>5777</v>
      </c>
    </row>
    <row r="29" spans="1:10" s="192" customFormat="1">
      <c r="A29" s="192" t="s">
        <v>5943</v>
      </c>
    </row>
    <row r="30" spans="1:10" s="192" customFormat="1">
      <c r="A30" s="192" t="s">
        <v>5944</v>
      </c>
    </row>
    <row r="31" spans="1:10" s="192" customFormat="1">
      <c r="A31" s="192" t="s">
        <v>5945</v>
      </c>
    </row>
    <row r="32" spans="1:10" ht="12.75" customHeight="1">
      <c r="A32" s="9" t="s">
        <v>495</v>
      </c>
      <c r="B32" s="8"/>
      <c r="D32" s="8"/>
      <c r="F32" s="8"/>
      <c r="H32" s="8"/>
      <c r="J32" s="8"/>
    </row>
    <row r="33" spans="1:13" ht="12.75" customHeight="1">
      <c r="A33" s="10" t="s">
        <v>496</v>
      </c>
      <c r="B33" s="8"/>
      <c r="D33" s="8"/>
      <c r="F33" s="8"/>
      <c r="H33" s="8"/>
      <c r="J33" s="8"/>
    </row>
    <row r="35" spans="1:13" ht="12.75" customHeight="1">
      <c r="A35" s="76" t="s">
        <v>77</v>
      </c>
      <c r="C35" s="76" t="s">
        <v>224</v>
      </c>
      <c r="E35" s="76" t="s">
        <v>257</v>
      </c>
      <c r="G35" s="76" t="s">
        <v>215</v>
      </c>
      <c r="I35" s="76" t="s">
        <v>497</v>
      </c>
      <c r="K35" s="891" t="s">
        <v>5653</v>
      </c>
      <c r="L35" s="586"/>
      <c r="M35" s="586"/>
    </row>
    <row r="36" spans="1:13" ht="12.75" customHeight="1">
      <c r="A36" s="77" t="s">
        <v>235</v>
      </c>
      <c r="C36" s="77" t="s">
        <v>498</v>
      </c>
      <c r="E36" s="77" t="s">
        <v>498</v>
      </c>
      <c r="G36" s="77" t="s">
        <v>498</v>
      </c>
      <c r="I36" s="77" t="s">
        <v>487</v>
      </c>
      <c r="K36" s="312" t="s">
        <v>77</v>
      </c>
      <c r="L36" s="312" t="s">
        <v>5654</v>
      </c>
      <c r="M36" s="312" t="s">
        <v>5644</v>
      </c>
    </row>
    <row r="37" spans="1:13" ht="12.75" customHeight="1">
      <c r="A37" s="77" t="s">
        <v>230</v>
      </c>
      <c r="C37" s="77" t="s">
        <v>488</v>
      </c>
      <c r="E37" s="77" t="s">
        <v>488</v>
      </c>
      <c r="G37" s="77" t="s">
        <v>488</v>
      </c>
      <c r="I37" s="77" t="s">
        <v>499</v>
      </c>
      <c r="K37" s="313" t="s">
        <v>484</v>
      </c>
      <c r="L37" s="313" t="s">
        <v>392</v>
      </c>
      <c r="M37" s="313" t="s">
        <v>348</v>
      </c>
    </row>
    <row r="38" spans="1:13" ht="12.75" customHeight="1">
      <c r="A38" s="77" t="s">
        <v>348</v>
      </c>
      <c r="C38" s="77" t="s">
        <v>391</v>
      </c>
      <c r="E38" s="77" t="s">
        <v>391</v>
      </c>
      <c r="G38" s="77" t="s">
        <v>391</v>
      </c>
      <c r="I38" s="77" t="s">
        <v>500</v>
      </c>
      <c r="K38" s="313" t="s">
        <v>230</v>
      </c>
      <c r="L38" s="313" t="s">
        <v>1096</v>
      </c>
      <c r="M38" s="313" t="s">
        <v>546</v>
      </c>
    </row>
    <row r="39" spans="1:13" ht="12.75" customHeight="1">
      <c r="A39" s="77" t="s">
        <v>501</v>
      </c>
      <c r="C39" s="77" t="s">
        <v>492</v>
      </c>
      <c r="G39" s="77" t="s">
        <v>492</v>
      </c>
      <c r="I39" s="77" t="s">
        <v>483</v>
      </c>
      <c r="K39" s="313" t="s">
        <v>482</v>
      </c>
      <c r="L39" s="313" t="s">
        <v>679</v>
      </c>
      <c r="M39" s="313" t="s">
        <v>547</v>
      </c>
    </row>
    <row r="40" spans="1:13" ht="12.75" customHeight="1">
      <c r="A40" s="77" t="s">
        <v>502</v>
      </c>
      <c r="I40" s="77" t="s">
        <v>503</v>
      </c>
      <c r="K40" s="313" t="s">
        <v>5655</v>
      </c>
      <c r="L40" s="313"/>
      <c r="M40" s="313" t="s">
        <v>679</v>
      </c>
    </row>
    <row r="41" spans="1:13" ht="12.75" customHeight="1">
      <c r="A41" s="77" t="s">
        <v>482</v>
      </c>
      <c r="I41" s="77" t="s">
        <v>485</v>
      </c>
      <c r="K41" s="313" t="s">
        <v>5656</v>
      </c>
      <c r="L41" s="313"/>
      <c r="M41" s="313"/>
    </row>
    <row r="42" spans="1:13" ht="12.75" customHeight="1">
      <c r="A42" s="77" t="s">
        <v>484</v>
      </c>
      <c r="I42" s="77" t="s">
        <v>486</v>
      </c>
      <c r="K42" s="192"/>
      <c r="L42" s="192"/>
      <c r="M42" s="192"/>
    </row>
    <row r="43" spans="1:13" ht="12.75" customHeight="1">
      <c r="K43" s="891" t="s">
        <v>5657</v>
      </c>
      <c r="L43" s="586"/>
      <c r="M43" s="586"/>
    </row>
    <row r="44" spans="1:13" ht="12.75" customHeight="1">
      <c r="K44" s="314" t="s">
        <v>5636</v>
      </c>
      <c r="L44" s="313" t="s">
        <v>5658</v>
      </c>
      <c r="M44" s="313" t="s">
        <v>5659</v>
      </c>
    </row>
    <row r="45" spans="1:13" ht="12.75" customHeight="1">
      <c r="K45" s="314" t="s">
        <v>5641</v>
      </c>
      <c r="L45" s="313" t="s">
        <v>5660</v>
      </c>
      <c r="M45" s="313" t="s">
        <v>5661</v>
      </c>
    </row>
    <row r="46" spans="1:13" ht="12.75" customHeight="1">
      <c r="K46" s="314" t="s">
        <v>5647</v>
      </c>
      <c r="L46" s="313" t="s">
        <v>5662</v>
      </c>
      <c r="M46" s="313" t="s">
        <v>5663</v>
      </c>
    </row>
    <row r="47" spans="1:13" ht="12.75" customHeight="1">
      <c r="K47" s="314" t="s">
        <v>5649</v>
      </c>
      <c r="L47" s="313" t="s">
        <v>5664</v>
      </c>
      <c r="M47" s="313" t="s">
        <v>5663</v>
      </c>
    </row>
    <row r="48" spans="1:13" ht="12.75" customHeight="1">
      <c r="K48" s="314" t="s">
        <v>5651</v>
      </c>
      <c r="L48" s="313" t="s">
        <v>5662</v>
      </c>
      <c r="M48" s="313" t="s">
        <v>5663</v>
      </c>
    </row>
    <row r="49" spans="11:13" ht="12.75" customHeight="1">
      <c r="K49" s="314" t="s">
        <v>5665</v>
      </c>
      <c r="L49" s="313" t="s">
        <v>5666</v>
      </c>
      <c r="M49" s="313" t="s">
        <v>5667</v>
      </c>
    </row>
  </sheetData>
  <mergeCells count="4">
    <mergeCell ref="K35:M35"/>
    <mergeCell ref="K43:M43"/>
    <mergeCell ref="K4:M4"/>
    <mergeCell ref="K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defaultColWidth="8.7109375" defaultRowHeight="15"/>
  <cols>
    <col min="1" max="1" width="61.140625" style="8" customWidth="1"/>
    <col min="2" max="2" width="42" style="8" customWidth="1"/>
    <col min="3" max="3" width="72" style="8" customWidth="1"/>
  </cols>
  <sheetData>
    <row r="1" spans="1:10" ht="6.95" customHeight="1">
      <c r="A1" s="9" t="s">
        <v>504</v>
      </c>
      <c r="D1" s="8"/>
      <c r="E1" s="8"/>
      <c r="F1" s="8"/>
      <c r="G1" s="8"/>
      <c r="H1" s="8"/>
      <c r="I1" s="8"/>
      <c r="J1" s="8"/>
    </row>
    <row r="2" spans="1:10" ht="4.1500000000000004" customHeight="1">
      <c r="A2" s="10" t="s">
        <v>505</v>
      </c>
      <c r="D2" s="8"/>
      <c r="E2" s="8"/>
      <c r="F2" s="8"/>
      <c r="G2" s="8"/>
      <c r="H2" s="8"/>
      <c r="I2" s="8"/>
      <c r="J2" s="8"/>
    </row>
    <row r="4" spans="1:10" ht="5.0999999999999996" customHeight="1">
      <c r="A4" s="78" t="s">
        <v>506</v>
      </c>
      <c r="D4" s="8"/>
      <c r="E4" s="8"/>
      <c r="F4" s="8"/>
      <c r="G4" s="8"/>
      <c r="H4" s="8"/>
      <c r="I4" s="8"/>
      <c r="J4" s="8"/>
    </row>
    <row r="5" spans="1:10" ht="19.149999999999999" customHeight="1">
      <c r="A5" s="79" t="s">
        <v>507</v>
      </c>
      <c r="D5" s="8"/>
      <c r="E5" s="8"/>
      <c r="F5" s="8"/>
      <c r="G5" s="8"/>
      <c r="H5" s="8"/>
      <c r="I5" s="8"/>
      <c r="J5" s="8"/>
    </row>
    <row r="6" spans="1:10" ht="7.35" customHeight="1">
      <c r="J6" s="8"/>
    </row>
    <row r="7" spans="1:10" ht="7.35" customHeight="1">
      <c r="J7" s="8"/>
    </row>
    <row r="8" spans="1:10" ht="7.35" customHeight="1">
      <c r="J8" s="8"/>
    </row>
    <row r="9" spans="1:10" ht="7.35" customHeight="1">
      <c r="J9" s="8"/>
    </row>
    <row r="10" spans="1:10" ht="7.35" customHeight="1">
      <c r="J10" s="8"/>
    </row>
    <row r="11" spans="1:10" ht="7.35" customHeight="1">
      <c r="J11" s="8"/>
    </row>
    <row r="12" spans="1:10" ht="7.35" customHeight="1">
      <c r="D12" s="8"/>
      <c r="E12" s="8"/>
      <c r="F12" s="8"/>
      <c r="G12" s="8"/>
      <c r="H12" s="8"/>
      <c r="I12" s="8"/>
      <c r="J12" s="8"/>
    </row>
    <row r="15" spans="1:10" ht="5.65" customHeight="1">
      <c r="A15" s="50" t="s">
        <v>508</v>
      </c>
      <c r="B15" s="50" t="s">
        <v>2</v>
      </c>
      <c r="C15" s="50" t="s">
        <v>509</v>
      </c>
    </row>
    <row r="16" spans="1:10" ht="13.9" customHeight="1">
      <c r="A16" s="13" t="s">
        <v>510</v>
      </c>
      <c r="B16" s="13" t="s">
        <v>511</v>
      </c>
      <c r="C16" s="13" t="s">
        <v>512</v>
      </c>
    </row>
    <row r="17" spans="1:3" ht="5.45" customHeight="1">
      <c r="A17" s="13" t="s">
        <v>489</v>
      </c>
      <c r="B17" s="13" t="s">
        <v>513</v>
      </c>
      <c r="C17" s="13" t="s">
        <v>514</v>
      </c>
    </row>
    <row r="18" spans="1:3" ht="6.95" customHeight="1">
      <c r="A18" s="13" t="s">
        <v>515</v>
      </c>
      <c r="B18" s="13" t="s">
        <v>516</v>
      </c>
      <c r="C18" s="13" t="s">
        <v>517</v>
      </c>
    </row>
    <row r="19" spans="1:3" ht="6.95" customHeight="1">
      <c r="A19" s="13" t="s">
        <v>518</v>
      </c>
      <c r="B19" s="13" t="s">
        <v>519</v>
      </c>
      <c r="C19" s="13" t="s">
        <v>520</v>
      </c>
    </row>
    <row r="20" spans="1:3" ht="13.9" customHeight="1">
      <c r="A20" s="13" t="s">
        <v>199</v>
      </c>
      <c r="B20" s="13" t="s">
        <v>521</v>
      </c>
      <c r="C20" s="13" t="s">
        <v>520</v>
      </c>
    </row>
    <row r="21" spans="1:3" ht="5.45" customHeight="1">
      <c r="A21" s="13" t="s">
        <v>522</v>
      </c>
      <c r="B21" s="13" t="s">
        <v>523</v>
      </c>
      <c r="C21" s="13" t="s">
        <v>524</v>
      </c>
    </row>
    <row r="22" spans="1:3" ht="5.45" customHeight="1">
      <c r="A22" s="13" t="s">
        <v>490</v>
      </c>
      <c r="B22" s="13" t="s">
        <v>525</v>
      </c>
      <c r="C22" s="13" t="s">
        <v>526</v>
      </c>
    </row>
    <row r="23" spans="1:3" ht="6.95" customHeight="1">
      <c r="A23" s="13" t="s">
        <v>527</v>
      </c>
      <c r="B23" s="13" t="s">
        <v>528</v>
      </c>
      <c r="C23" s="13" t="s">
        <v>529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topLeftCell="A25" workbookViewId="0">
      <selection sqref="A1:P1"/>
    </sheetView>
  </sheetViews>
  <sheetFormatPr defaultColWidth="8.7109375" defaultRowHeight="15"/>
  <cols>
    <col min="1" max="7" width="16" style="8" customWidth="1"/>
    <col min="8" max="8" width="21.5703125" style="8" customWidth="1"/>
    <col min="9" max="12" width="16" style="8" customWidth="1"/>
    <col min="13" max="14" width="20" style="8" customWidth="1"/>
    <col min="15" max="15" width="31.7109375" style="8" customWidth="1"/>
    <col min="16" max="16" width="46.7109375" style="8" customWidth="1"/>
    <col min="17" max="17" width="12" customWidth="1"/>
  </cols>
  <sheetData>
    <row r="1" spans="1:17" ht="15" customHeight="1">
      <c r="A1" s="895" t="s">
        <v>530</v>
      </c>
      <c r="B1" s="896"/>
      <c r="C1" s="896"/>
      <c r="D1" s="896"/>
      <c r="E1" s="896"/>
      <c r="F1" s="896"/>
      <c r="G1" s="896"/>
      <c r="H1" s="896"/>
      <c r="I1" s="896"/>
      <c r="J1" s="896"/>
      <c r="K1" s="896"/>
      <c r="L1" s="896"/>
      <c r="M1" s="896"/>
      <c r="N1" s="896"/>
      <c r="O1" s="896"/>
      <c r="P1" s="896"/>
      <c r="Q1" s="80" t="str">
        <f>HYPERLINK("#'PMIS_Data'!A1","Data")</f>
        <v>Data</v>
      </c>
    </row>
    <row r="2" spans="1:17" ht="15" customHeight="1">
      <c r="A2" s="899" t="s">
        <v>531</v>
      </c>
      <c r="B2" s="896"/>
      <c r="C2" s="896"/>
      <c r="D2" s="896"/>
      <c r="E2" s="896"/>
      <c r="F2" s="896"/>
      <c r="G2" s="896"/>
      <c r="H2" s="896"/>
      <c r="I2" s="896"/>
      <c r="J2" s="896"/>
      <c r="K2" s="896"/>
      <c r="L2" s="896"/>
      <c r="M2" s="896"/>
      <c r="N2" s="896"/>
      <c r="O2" s="896"/>
      <c r="P2" s="896"/>
    </row>
    <row r="4" spans="1:17" ht="22.5" customHeight="1">
      <c r="A4" s="81" t="s">
        <v>532</v>
      </c>
      <c r="B4" s="82" t="s">
        <v>394</v>
      </c>
      <c r="C4" s="83"/>
      <c r="D4" s="83" t="s">
        <v>198</v>
      </c>
      <c r="E4" s="84">
        <v>46199.720539421287</v>
      </c>
      <c r="F4" s="83"/>
      <c r="G4" s="83" t="s">
        <v>533</v>
      </c>
      <c r="H4" s="900" t="str">
        <f>"30 formula-fed assessments / "&amp;SUM(PMIS_Data!$G$3:$G$32)&amp;" rooms / "&amp;COUNTA(PMIS_Data!$C$33:$C$260)&amp;" risks / "&amp;COUNTA(PMIS_Data!$C$266:$C$496)&amp;" questions"</f>
        <v>30 formula-fed assessments / 814 rooms / 66 risks / 231 questions</v>
      </c>
      <c r="I4" s="896"/>
      <c r="J4" s="83"/>
      <c r="K4" s="83" t="s">
        <v>205</v>
      </c>
      <c r="L4" s="83" t="s">
        <v>534</v>
      </c>
      <c r="M4" s="83"/>
      <c r="N4" s="83"/>
      <c r="O4" s="83"/>
      <c r="P4" s="83"/>
    </row>
    <row r="6" spans="1:17" ht="15" customHeight="1">
      <c r="A6" s="575" t="s">
        <v>535</v>
      </c>
      <c r="B6" s="896"/>
      <c r="C6" s="896"/>
      <c r="D6" s="85"/>
      <c r="E6" s="85"/>
      <c r="F6" s="85"/>
      <c r="G6" s="85"/>
      <c r="H6" s="85"/>
      <c r="I6" s="85"/>
      <c r="J6" s="85"/>
      <c r="K6" s="85"/>
      <c r="L6" s="85"/>
      <c r="M6" s="86"/>
      <c r="N6" s="86"/>
      <c r="O6" s="86"/>
      <c r="P6" s="86"/>
    </row>
    <row r="7" spans="1:17" s="87" customFormat="1" ht="17.25" customHeight="1">
      <c r="A7" s="903" t="s">
        <v>536</v>
      </c>
      <c r="B7" s="894"/>
      <c r="C7" s="893" t="s">
        <v>537</v>
      </c>
      <c r="D7" s="894"/>
      <c r="E7" s="893" t="s">
        <v>538</v>
      </c>
      <c r="F7" s="894"/>
      <c r="G7" s="893" t="s">
        <v>154</v>
      </c>
      <c r="H7" s="894"/>
      <c r="I7" s="893" t="s">
        <v>161</v>
      </c>
      <c r="J7" s="894"/>
      <c r="K7" s="893" t="s">
        <v>539</v>
      </c>
      <c r="L7" s="894"/>
      <c r="M7" s="893" t="s">
        <v>199</v>
      </c>
      <c r="N7" s="894"/>
      <c r="O7" s="893" t="s">
        <v>540</v>
      </c>
      <c r="P7" s="894"/>
    </row>
    <row r="8" spans="1:17" ht="16.5" customHeight="1">
      <c r="A8" s="902">
        <f>IF($B$4="Campus",COUNTA(PMIS_Data!$A$3:$A$32),1)</f>
        <v>30</v>
      </c>
      <c r="B8" s="896"/>
      <c r="C8" s="901">
        <f>IF($B$4="Campus",SUM(PMIS_Data!$G$3:$G$32),IFERROR(INDEX(PMIS_Data!$G$3:$G$32,MATCH($B$4,PMIS_Data!$A$3:$A$32,0)),0))</f>
        <v>814</v>
      </c>
      <c r="D8" s="896"/>
      <c r="E8" s="897">
        <f>IF($B$4="Campus",AVERAGE(PMIS_Data!$E$3:$E$32),IFERROR(INDEX(PMIS_Data!$E$3:$E$32,MATCH($B$4,PMIS_Data!$A$3:$A$32,0)),0))</f>
        <v>0.48333333333333334</v>
      </c>
      <c r="F8" s="896"/>
      <c r="G8" s="898">
        <f>IF($B$4="Campus",COUNTIF(PMIS_Data!$F$3:$F$32,"Yes"),IFERROR(INDEX(PMIS_Data!$F$3:$F$32,MATCH($B$4,PMIS_Data!$A$3:$A$32,0)),"No"))</f>
        <v>1</v>
      </c>
      <c r="H8" s="896"/>
      <c r="I8" s="901">
        <f>IF($B$4="Campus",COUNTIFS(PMIS_Data!$K$33:$K$260,"Open"),COUNTIFS(PMIS_Data!$A$33:$A$260,$B$4,PMIS_Data!$K$33:$K$260,"Open"))</f>
        <v>8</v>
      </c>
      <c r="J8" s="896"/>
      <c r="K8" s="901">
        <f>IF($B$4="Campus",COUNTIFS(PMIS_Data!$K$33:$K$260,"Open",PMIS_Data!$F$33:$F$260,"Critical"),COUNTIFS(PMIS_Data!$A$33:$A$260,$B$4,PMIS_Data!$K$33:$K$260,"Open",PMIS_Data!$F$33:$F$260,"Critical"))</f>
        <v>4</v>
      </c>
      <c r="L8" s="896"/>
      <c r="M8" s="901">
        <f>IF($B$4="Campus",COUNTIFS(PMIS_Data!$F$266:$F$496,"Open"),COUNTIFS(PMIS_Data!$A$266:$A$496,$B$4,PMIS_Data!$F$266:$F$496,"Open"))</f>
        <v>8</v>
      </c>
      <c r="N8" s="896"/>
      <c r="O8" s="901">
        <f>IF($B$4="Campus",COUNTIFS(PMIS_Data!$K$596:$K$822,"Open"),COUNTIFS(PMIS_Data!$A$596:$A$822,$B$4,PMIS_Data!$K$596:$K$822,"Open"))</f>
        <v>0</v>
      </c>
      <c r="P8" s="896"/>
    </row>
    <row r="9" spans="1:17" ht="16.5" customHeight="1">
      <c r="A9" s="896"/>
      <c r="B9" s="896"/>
      <c r="C9" s="896"/>
      <c r="D9" s="896"/>
      <c r="E9" s="896"/>
      <c r="F9" s="896"/>
      <c r="G9" s="896"/>
      <c r="H9" s="896"/>
      <c r="I9" s="896"/>
      <c r="J9" s="896"/>
      <c r="K9" s="896"/>
      <c r="L9" s="896"/>
      <c r="M9" s="896"/>
      <c r="N9" s="896"/>
      <c r="O9" s="896"/>
      <c r="P9" s="896"/>
    </row>
    <row r="11" spans="1:17" ht="19.5" customHeight="1">
      <c r="A11" s="88"/>
      <c r="B11" s="88"/>
      <c r="C11" s="88"/>
      <c r="D11" s="88"/>
      <c r="E11" s="88"/>
      <c r="F11" s="88"/>
      <c r="G11" s="88"/>
      <c r="H11" s="88"/>
      <c r="I11" s="88"/>
      <c r="J11" s="88"/>
      <c r="K11" s="88"/>
      <c r="L11" s="88"/>
      <c r="M11" s="88"/>
      <c r="N11" s="88"/>
      <c r="O11" s="88"/>
      <c r="P11" s="88"/>
    </row>
    <row r="12" spans="1:17" ht="27" customHeight="1">
      <c r="A12" s="575" t="s">
        <v>541</v>
      </c>
      <c r="B12" s="896"/>
      <c r="C12" s="896"/>
      <c r="D12" s="85"/>
      <c r="E12" s="85"/>
      <c r="F12" s="85"/>
      <c r="G12" s="85"/>
      <c r="H12" s="88"/>
      <c r="I12" s="575" t="s">
        <v>542</v>
      </c>
      <c r="J12" s="896"/>
      <c r="K12" s="896"/>
      <c r="L12" s="19"/>
      <c r="M12" s="52"/>
      <c r="N12" s="52"/>
      <c r="O12" s="52"/>
      <c r="P12" s="52"/>
    </row>
    <row r="13" spans="1:17" ht="15" customHeight="1">
      <c r="A13" s="89" t="s">
        <v>543</v>
      </c>
      <c r="B13" s="89" t="s">
        <v>544</v>
      </c>
      <c r="C13" s="89" t="s">
        <v>543</v>
      </c>
      <c r="D13" s="89" t="s">
        <v>544</v>
      </c>
      <c r="E13" s="89" t="s">
        <v>543</v>
      </c>
      <c r="F13" s="89" t="s">
        <v>544</v>
      </c>
      <c r="G13" s="89" t="s">
        <v>11</v>
      </c>
      <c r="H13" s="88"/>
      <c r="I13" s="89" t="s">
        <v>284</v>
      </c>
      <c r="J13" s="89" t="s">
        <v>545</v>
      </c>
      <c r="K13" s="89" t="s">
        <v>546</v>
      </c>
      <c r="L13" s="89" t="s">
        <v>547</v>
      </c>
      <c r="M13" s="90" t="s">
        <v>548</v>
      </c>
      <c r="N13" s="90" t="s">
        <v>11</v>
      </c>
      <c r="O13" s="90"/>
      <c r="P13" s="90"/>
    </row>
    <row r="14" spans="1:17" ht="41.25" customHeight="1">
      <c r="A14" s="91" t="s">
        <v>151</v>
      </c>
      <c r="B14" s="91" t="str">
        <f>IF($B$4="Campus","Campus Rollup",IFERROR(INDEX(PMIS_Data!$C$3:$C$32,MATCH($B$4,PMIS_Data!$A$3:$A$32,0)),""))</f>
        <v>Campus Rollup</v>
      </c>
      <c r="C14" s="91" t="s">
        <v>549</v>
      </c>
      <c r="D14" s="92">
        <f>IF($B$4="Campus",AVERAGE(PMIS_Data!$E$3:$E$32),IFERROR(INDEX(PMIS_Data!$E$3:$E$32,MATCH($B$4,PMIS_Data!$A$3:$A$32,0)),0))</f>
        <v>0.48333333333333334</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550</v>
      </c>
      <c r="O14" s="94"/>
      <c r="P14" s="94"/>
    </row>
    <row r="15" spans="1:17" ht="61.5" customHeight="1">
      <c r="A15" s="91" t="s">
        <v>551</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552</v>
      </c>
      <c r="O15" s="94"/>
      <c r="P15" s="94"/>
    </row>
    <row r="16" spans="1:17" ht="96" customHeight="1">
      <c r="A16" s="95" t="s">
        <v>553</v>
      </c>
      <c r="B16" s="906"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896"/>
      <c r="D16" s="896"/>
      <c r="E16" s="896"/>
      <c r="F16" s="896"/>
      <c r="G16" s="896"/>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1</v>
      </c>
      <c r="N16" s="94" t="s">
        <v>554</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27</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30</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30</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1</v>
      </c>
      <c r="N17" s="94" t="s">
        <v>555</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28</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23</v>
      </c>
      <c r="E18" s="91" t="s">
        <v>556</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24</v>
      </c>
      <c r="G18" s="91"/>
      <c r="H18" s="88"/>
      <c r="I18" s="91" t="s">
        <v>556</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557</v>
      </c>
      <c r="O18" s="94"/>
      <c r="P18" s="94"/>
    </row>
    <row r="19" spans="1:16" ht="27" customHeight="1">
      <c r="A19" s="91" t="s">
        <v>199</v>
      </c>
      <c r="B19" s="91">
        <f>IF($B$4="Campus",COUNTIFS(PMIS_Data!$F$266:$F$496,"Open"),COUNTIFS(PMIS_Data!$A$266:$A$496,$B$4,PMIS_Data!$F$266:$F$496,"Open"))</f>
        <v>8</v>
      </c>
      <c r="C19" s="91" t="s">
        <v>161</v>
      </c>
      <c r="D19" s="91">
        <f>IF($B$4="Campus",COUNTIFS(PMIS_Data!$K$33:$K$260,"Open"),COUNTIFS(PMIS_Data!$A$33:$A$260,$B$4,PMIS_Data!$K$33:$K$260,"Open"))</f>
        <v>8</v>
      </c>
      <c r="E19" s="91" t="s">
        <v>540</v>
      </c>
      <c r="F19" s="91">
        <f>IF($B$4="Campus",COUNTIFS(PMIS_Data!$K$596:$K$822,"Open"),COUNTIFS(PMIS_Data!$A$596:$A$822,$B$4,PMIS_Data!$K$596:$K$822,"Open"))</f>
        <v>0</v>
      </c>
      <c r="G19" s="91"/>
      <c r="H19" s="88"/>
      <c r="I19" s="91" t="s">
        <v>558</v>
      </c>
      <c r="J19" s="93">
        <f>IF($B$4="Campus",COUNTIFS(PMIS_Data!$E$33:$E$260,"*Site*",PMIS_Data!$K$33:$K$260,"Open")+COUNTIFS(PMIS_Data!$E$33:$E$260,"*duct*",PMIS_Data!$K$33:$K$260,"Open"),COUNTIFS(PMIS_Data!$A$33:$A$260,$B$4,PMIS_Data!$E$33:$E$260,"*Site*",PMIS_Data!$K$33:$K$260,"Open"))</f>
        <v>0</v>
      </c>
      <c r="K19" s="93"/>
      <c r="L19" s="93"/>
      <c r="M19" s="94"/>
      <c r="N19" s="94" t="s">
        <v>559</v>
      </c>
      <c r="O19" s="94"/>
      <c r="P19" s="94"/>
    </row>
    <row r="20" spans="1:16" ht="30.75" customHeight="1">
      <c r="A20" s="91" t="s">
        <v>154</v>
      </c>
      <c r="B20" s="97">
        <f>IF($B$4="Campus",COUNTIF(PMIS_Data!$F$3:$F$32,"Yes"),IFERROR(INDEX(PMIS_Data!$F$3:$F$32,MATCH($B$4,PMIS_Data!$A$3:$A$32,0)),"No"))</f>
        <v>1</v>
      </c>
      <c r="C20" s="91" t="s">
        <v>560</v>
      </c>
      <c r="D20" s="91" t="s">
        <v>561</v>
      </c>
      <c r="E20" s="91"/>
      <c r="F20" s="91"/>
      <c r="G20" s="91"/>
      <c r="H20" s="88"/>
      <c r="I20" s="91" t="s">
        <v>491</v>
      </c>
      <c r="J20" s="93">
        <f>IF($B$4="Campus",COUNTIFS(PMIS_Data!$K$596:$K$822,"Open"),COUNTIFS(PMIS_Data!$A$596:$A$822,$B$4,PMIS_Data!$K$596:$K$822,"Open"))</f>
        <v>0</v>
      </c>
      <c r="K20" s="93"/>
      <c r="L20" s="93"/>
      <c r="M20" s="94"/>
      <c r="N20" s="94" t="s">
        <v>562</v>
      </c>
      <c r="O20" s="94"/>
      <c r="P20" s="94"/>
    </row>
    <row r="21" spans="1:16" ht="20.25" customHeight="1">
      <c r="A21" s="98" t="s">
        <v>563</v>
      </c>
      <c r="B21" s="98"/>
      <c r="C21" s="98"/>
      <c r="D21" s="98"/>
      <c r="E21" s="98"/>
      <c r="F21" s="98"/>
      <c r="G21" s="98"/>
      <c r="H21" s="98"/>
      <c r="I21" s="98"/>
      <c r="J21" s="98"/>
      <c r="K21" s="98"/>
      <c r="L21" s="98"/>
      <c r="M21" s="98"/>
      <c r="N21" s="98"/>
      <c r="O21" s="98"/>
      <c r="P21" s="98"/>
    </row>
    <row r="22" spans="1:16" ht="21.75" hidden="1" customHeight="1">
      <c r="A22" s="907" t="s">
        <v>564</v>
      </c>
      <c r="B22" s="896"/>
      <c r="C22" s="896"/>
      <c r="D22" s="896"/>
      <c r="E22" s="896"/>
      <c r="F22" s="896"/>
      <c r="G22" s="896"/>
      <c r="H22" s="896"/>
      <c r="I22" s="896"/>
      <c r="J22" s="896"/>
      <c r="K22" s="896"/>
      <c r="L22" s="896"/>
      <c r="M22" s="99"/>
      <c r="N22" s="99"/>
      <c r="O22" s="99"/>
      <c r="P22" s="99"/>
    </row>
    <row r="23" spans="1:16" ht="33" customHeight="1">
      <c r="A23" s="908" t="s">
        <v>565</v>
      </c>
      <c r="B23" s="896"/>
      <c r="C23" s="896"/>
      <c r="D23" s="896"/>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566</v>
      </c>
      <c r="M24" s="90" t="s">
        <v>567</v>
      </c>
      <c r="N24" s="90" t="s">
        <v>556</v>
      </c>
      <c r="O24" s="90" t="s">
        <v>179</v>
      </c>
      <c r="P24" s="90" t="s">
        <v>568</v>
      </c>
    </row>
    <row r="25" spans="1:16" ht="102" customHeight="1">
      <c r="A25" s="101" t="str">
        <f>PMIS_Data!A3</f>
        <v>01</v>
      </c>
      <c r="B25" s="102" t="str">
        <f>PMIS_Data!B3</f>
        <v>B01_Assessment</v>
      </c>
      <c r="C25" s="103" t="str">
        <f>PMIS_Data!C3</f>
        <v>Yellow</v>
      </c>
      <c r="D25" s="104">
        <f>PMIS_Data!E3</f>
        <v>0.5</v>
      </c>
      <c r="E25" s="103">
        <f>PMIS_Data!G3</f>
        <v>29</v>
      </c>
      <c r="F25" s="105">
        <f>PMIS_Data!H3</f>
        <v>0</v>
      </c>
      <c r="G25" s="103">
        <f>PMIS_Data!I3</f>
        <v>0</v>
      </c>
      <c r="H25" s="103">
        <f>PMIS_Data!J3</f>
        <v>0</v>
      </c>
      <c r="I25" s="103" t="str">
        <f>PMIS_Data!K3</f>
        <v>Verify</v>
      </c>
      <c r="J25" s="103" t="str">
        <f>PMIS_Data!L3</f>
        <v>Verify</v>
      </c>
      <c r="K25" s="103" t="str">
        <f>PMIS_Data!M3</f>
        <v>Verify</v>
      </c>
      <c r="L25" s="103" t="str">
        <f>PMIS_Data!N3</f>
        <v>Verify</v>
      </c>
      <c r="M25" s="106" t="str">
        <f>PMIS_Data!O3</f>
        <v>Verify</v>
      </c>
      <c r="N25" s="106" t="str">
        <f>PMIS_Data!P3</f>
        <v>Verify</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0.5</v>
      </c>
      <c r="E26" s="103">
        <f>PMIS_Data!G4</f>
        <v>30</v>
      </c>
      <c r="F26" s="105">
        <f>PMIS_Data!H4</f>
        <v>0</v>
      </c>
      <c r="G26" s="103">
        <f>PMIS_Data!I4</f>
        <v>0</v>
      </c>
      <c r="H26" s="103">
        <f>PMIS_Data!J4</f>
        <v>0</v>
      </c>
      <c r="I26" s="103" t="str">
        <f>PMIS_Data!K4</f>
        <v>Verify</v>
      </c>
      <c r="J26" s="103" t="str">
        <f>PMIS_Data!L4</f>
        <v>Verify</v>
      </c>
      <c r="K26" s="103" t="str">
        <f>PMIS_Data!M4</f>
        <v>Verify</v>
      </c>
      <c r="L26" s="103" t="str">
        <f>PMIS_Data!N4</f>
        <v>Verify</v>
      </c>
      <c r="M26" s="106" t="str">
        <f>PMIS_Data!O4</f>
        <v>Verify</v>
      </c>
      <c r="N26" s="106" t="str">
        <f>PMIS_Data!P4</f>
        <v>Verify</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0.5</v>
      </c>
      <c r="E27" s="103">
        <f>PMIS_Data!G5</f>
        <v>29</v>
      </c>
      <c r="F27" s="105">
        <f>PMIS_Data!H5</f>
        <v>0</v>
      </c>
      <c r="G27" s="103">
        <f>PMIS_Data!I5</f>
        <v>0</v>
      </c>
      <c r="H27" s="103">
        <f>PMIS_Data!J5</f>
        <v>0</v>
      </c>
      <c r="I27" s="103" t="str">
        <f>PMIS_Data!K5</f>
        <v>Verify</v>
      </c>
      <c r="J27" s="103" t="str">
        <f>PMIS_Data!L5</f>
        <v>Verify</v>
      </c>
      <c r="K27" s="103" t="str">
        <f>PMIS_Data!M5</f>
        <v>Verify</v>
      </c>
      <c r="L27" s="103" t="str">
        <f>PMIS_Data!N5</f>
        <v>Verify</v>
      </c>
      <c r="M27" s="106" t="str">
        <f>PMIS_Data!O5</f>
        <v>Verify</v>
      </c>
      <c r="N27" s="106" t="str">
        <f>PMIS_Data!P5</f>
        <v>Verify</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0.5</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0.5</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0.5</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0.5</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0.5</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0.5</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0.5</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0.5</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0.5</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0.5</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0.5</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0.5</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0.5</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0.5</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0.5</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0.5</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0.5</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0.5</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v>
      </c>
      <c r="E46" s="103">
        <f>PMIS_Data!G24</f>
        <v>29</v>
      </c>
      <c r="F46" s="105">
        <f>PMIS_Data!H24</f>
        <v>0</v>
      </c>
      <c r="G46" s="103">
        <f>PMIS_Data!I24</f>
        <v>0</v>
      </c>
      <c r="H46" s="103">
        <f>PMIS_Data!J24</f>
        <v>0</v>
      </c>
      <c r="I46" s="103" t="str">
        <f>PMIS_Data!K24</f>
        <v>Verify</v>
      </c>
      <c r="J46" s="103" t="str">
        <f>PMIS_Data!L24</f>
        <v>Verify</v>
      </c>
      <c r="K46" s="103" t="str">
        <f>PMIS_Data!M24</f>
        <v>Verify</v>
      </c>
      <c r="L46" s="103" t="str">
        <f>PMIS_Data!N24</f>
        <v>Verify</v>
      </c>
      <c r="M46" s="106" t="str">
        <f>PMIS_Data!O24</f>
        <v>Verify</v>
      </c>
      <c r="N46" s="106" t="str">
        <f>PMIS_Data!P24</f>
        <v>Verify</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0.5</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0.5</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0.5</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0.5</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0.5</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0.5</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0.5</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0.5</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575" t="s">
        <v>569</v>
      </c>
      <c r="B55" s="896"/>
      <c r="C55" s="896"/>
      <c r="D55" s="108"/>
      <c r="E55" s="100"/>
      <c r="F55" s="100"/>
      <c r="G55" s="100"/>
      <c r="H55" s="100"/>
      <c r="I55" s="100"/>
      <c r="J55" s="100" t="s">
        <v>570</v>
      </c>
      <c r="K55" s="100"/>
      <c r="L55" s="100"/>
      <c r="M55" s="52"/>
      <c r="N55" s="52"/>
      <c r="O55" s="52"/>
      <c r="P55" s="52"/>
    </row>
    <row r="56" spans="1:16" ht="13.5" hidden="1" customHeight="1">
      <c r="A56" s="102" t="s">
        <v>142</v>
      </c>
      <c r="B56" s="102" t="s">
        <v>213</v>
      </c>
      <c r="C56" s="102" t="s">
        <v>275</v>
      </c>
      <c r="D56" s="102" t="s">
        <v>215</v>
      </c>
      <c r="E56" s="102" t="s">
        <v>571</v>
      </c>
      <c r="F56" s="102" t="s">
        <v>572</v>
      </c>
      <c r="G56" s="102" t="s">
        <v>216</v>
      </c>
      <c r="H56" s="102" t="s">
        <v>573</v>
      </c>
      <c r="I56" s="13"/>
      <c r="J56" s="102" t="s">
        <v>142</v>
      </c>
      <c r="K56" s="102" t="s">
        <v>221</v>
      </c>
      <c r="L56" s="102" t="s">
        <v>265</v>
      </c>
      <c r="M56" s="107" t="s">
        <v>77</v>
      </c>
      <c r="N56" s="107" t="s">
        <v>215</v>
      </c>
      <c r="O56" s="107" t="s">
        <v>222</v>
      </c>
      <c r="P56" s="107" t="s">
        <v>11</v>
      </c>
    </row>
    <row r="57" spans="1:16" ht="45" hidden="1" customHeight="1">
      <c r="A57" s="102" t="s">
        <v>70</v>
      </c>
      <c r="B57" s="102" t="s">
        <v>574</v>
      </c>
      <c r="C57" s="102" t="s">
        <v>575</v>
      </c>
      <c r="D57" s="102" t="s">
        <v>492</v>
      </c>
      <c r="E57" s="102" t="s">
        <v>391</v>
      </c>
      <c r="F57" s="102">
        <v>9</v>
      </c>
      <c r="G57" s="102" t="s">
        <v>576</v>
      </c>
      <c r="H57" s="102" t="s">
        <v>577</v>
      </c>
      <c r="I57" s="13"/>
      <c r="J57" s="102" t="s">
        <v>143</v>
      </c>
      <c r="K57" s="102" t="s">
        <v>578</v>
      </c>
      <c r="L57" s="102" t="s">
        <v>579</v>
      </c>
      <c r="M57" s="107" t="s">
        <v>235</v>
      </c>
      <c r="N57" s="107" t="s">
        <v>580</v>
      </c>
      <c r="O57" s="107" t="s">
        <v>581</v>
      </c>
      <c r="P57" s="107"/>
    </row>
    <row r="58" spans="1:16" ht="33.75" hidden="1" customHeight="1">
      <c r="A58" s="102" t="e">
        <f>PMIS_Data!#REF!</f>
        <v>#REF!</v>
      </c>
      <c r="B58" s="102" t="s">
        <v>582</v>
      </c>
      <c r="C58" s="102" t="s">
        <v>583</v>
      </c>
      <c r="D58" s="102" t="s">
        <v>492</v>
      </c>
      <c r="E58" s="102" t="s">
        <v>488</v>
      </c>
      <c r="F58" s="102">
        <v>8</v>
      </c>
      <c r="G58" s="102" t="s">
        <v>584</v>
      </c>
      <c r="H58" s="102" t="s">
        <v>585</v>
      </c>
      <c r="I58" s="13"/>
      <c r="J58" s="102" t="s">
        <v>143</v>
      </c>
      <c r="K58" s="102" t="s">
        <v>586</v>
      </c>
      <c r="L58" s="102" t="s">
        <v>587</v>
      </c>
      <c r="M58" s="107" t="s">
        <v>235</v>
      </c>
      <c r="N58" s="107" t="s">
        <v>588</v>
      </c>
      <c r="O58" s="107" t="s">
        <v>589</v>
      </c>
      <c r="P58" s="107"/>
    </row>
    <row r="59" spans="1:16" ht="33.75" hidden="1" customHeight="1">
      <c r="A59" s="102" t="s">
        <v>143</v>
      </c>
      <c r="B59" s="102" t="s">
        <v>590</v>
      </c>
      <c r="C59" s="102" t="s">
        <v>591</v>
      </c>
      <c r="D59" s="102" t="s">
        <v>492</v>
      </c>
      <c r="E59" s="102" t="s">
        <v>488</v>
      </c>
      <c r="F59" s="102">
        <v>8</v>
      </c>
      <c r="G59" s="102" t="s">
        <v>592</v>
      </c>
      <c r="H59" s="102" t="s">
        <v>593</v>
      </c>
      <c r="I59" s="13"/>
      <c r="J59" s="102" t="s">
        <v>143</v>
      </c>
      <c r="K59" s="102" t="s">
        <v>594</v>
      </c>
      <c r="L59" s="102" t="s">
        <v>595</v>
      </c>
      <c r="M59" s="107" t="s">
        <v>235</v>
      </c>
      <c r="N59" s="107" t="s">
        <v>596</v>
      </c>
      <c r="O59" s="107" t="s">
        <v>597</v>
      </c>
      <c r="P59" s="107"/>
    </row>
    <row r="60" spans="1:16" ht="45" hidden="1" customHeight="1">
      <c r="A60" s="102" t="s">
        <v>143</v>
      </c>
      <c r="B60" s="102" t="s">
        <v>598</v>
      </c>
      <c r="C60" s="102" t="s">
        <v>575</v>
      </c>
      <c r="D60" s="102" t="s">
        <v>492</v>
      </c>
      <c r="E60" s="102" t="s">
        <v>488</v>
      </c>
      <c r="F60" s="102">
        <v>8</v>
      </c>
      <c r="G60" s="102" t="s">
        <v>584</v>
      </c>
      <c r="H60" s="102" t="s">
        <v>599</v>
      </c>
      <c r="I60" s="13"/>
      <c r="J60" s="102" t="s">
        <v>143</v>
      </c>
      <c r="K60" s="102" t="s">
        <v>600</v>
      </c>
      <c r="L60" s="102" t="s">
        <v>601</v>
      </c>
      <c r="M60" s="107" t="s">
        <v>235</v>
      </c>
      <c r="N60" s="107" t="s">
        <v>602</v>
      </c>
      <c r="O60" s="107" t="s">
        <v>603</v>
      </c>
      <c r="P60" s="107"/>
    </row>
    <row r="61" spans="1:16" ht="33.75" hidden="1" customHeight="1">
      <c r="A61" s="102" t="s">
        <v>604</v>
      </c>
      <c r="B61" s="102" t="s">
        <v>605</v>
      </c>
      <c r="C61" s="102" t="s">
        <v>606</v>
      </c>
      <c r="D61" s="102" t="s">
        <v>492</v>
      </c>
      <c r="E61" s="102" t="s">
        <v>488</v>
      </c>
      <c r="F61" s="102">
        <v>8</v>
      </c>
      <c r="G61" s="102" t="s">
        <v>584</v>
      </c>
      <c r="H61" s="102" t="s">
        <v>607</v>
      </c>
      <c r="I61" s="13"/>
      <c r="J61" s="102" t="s">
        <v>143</v>
      </c>
      <c r="K61" s="102" t="s">
        <v>608</v>
      </c>
      <c r="L61" s="102" t="s">
        <v>609</v>
      </c>
      <c r="M61" s="107" t="s">
        <v>235</v>
      </c>
      <c r="N61" s="107" t="s">
        <v>610</v>
      </c>
      <c r="O61" s="107" t="s">
        <v>611</v>
      </c>
      <c r="P61" s="107"/>
    </row>
    <row r="62" spans="1:16" ht="33.75" hidden="1" customHeight="1">
      <c r="A62" s="102" t="s">
        <v>604</v>
      </c>
      <c r="B62" s="102" t="s">
        <v>612</v>
      </c>
      <c r="C62" s="102" t="s">
        <v>613</v>
      </c>
      <c r="D62" s="102" t="s">
        <v>492</v>
      </c>
      <c r="E62" s="102" t="s">
        <v>488</v>
      </c>
      <c r="F62" s="102">
        <v>8</v>
      </c>
      <c r="G62" s="102" t="s">
        <v>592</v>
      </c>
      <c r="H62" s="102" t="s">
        <v>614</v>
      </c>
      <c r="I62" s="13"/>
      <c r="J62" s="102" t="s">
        <v>143</v>
      </c>
      <c r="K62" s="102" t="s">
        <v>615</v>
      </c>
      <c r="L62" s="102" t="s">
        <v>616</v>
      </c>
      <c r="M62" s="107" t="s">
        <v>235</v>
      </c>
      <c r="N62" s="107" t="s">
        <v>617</v>
      </c>
      <c r="O62" s="107" t="s">
        <v>618</v>
      </c>
      <c r="P62" s="107"/>
    </row>
    <row r="63" spans="1:16" ht="45" hidden="1" customHeight="1">
      <c r="A63" s="102" t="s">
        <v>604</v>
      </c>
      <c r="B63" s="102" t="s">
        <v>619</v>
      </c>
      <c r="C63" s="102" t="s">
        <v>575</v>
      </c>
      <c r="D63" s="102" t="s">
        <v>492</v>
      </c>
      <c r="E63" s="102" t="s">
        <v>488</v>
      </c>
      <c r="F63" s="102">
        <v>8</v>
      </c>
      <c r="G63" s="102" t="s">
        <v>584</v>
      </c>
      <c r="H63" s="102" t="s">
        <v>620</v>
      </c>
      <c r="I63" s="13"/>
      <c r="J63" s="102" t="s">
        <v>143</v>
      </c>
      <c r="K63" s="102" t="s">
        <v>621</v>
      </c>
      <c r="L63" s="102" t="s">
        <v>622</v>
      </c>
      <c r="M63" s="107" t="s">
        <v>235</v>
      </c>
      <c r="N63" s="107" t="s">
        <v>623</v>
      </c>
      <c r="O63" s="107" t="s">
        <v>624</v>
      </c>
      <c r="P63" s="107"/>
    </row>
    <row r="64" spans="1:16" ht="33.75" hidden="1" customHeight="1">
      <c r="A64" s="107" t="s">
        <v>625</v>
      </c>
      <c r="B64" s="107" t="s">
        <v>626</v>
      </c>
      <c r="C64" s="107" t="s">
        <v>627</v>
      </c>
      <c r="D64" s="107" t="s">
        <v>492</v>
      </c>
      <c r="E64" s="107" t="s">
        <v>488</v>
      </c>
      <c r="F64" s="107">
        <v>8</v>
      </c>
      <c r="G64" s="107" t="s">
        <v>584</v>
      </c>
      <c r="H64" s="107" t="s">
        <v>628</v>
      </c>
      <c r="J64" s="107" t="s">
        <v>143</v>
      </c>
      <c r="K64" s="107" t="s">
        <v>629</v>
      </c>
      <c r="L64" s="107" t="s">
        <v>630</v>
      </c>
      <c r="M64" s="107" t="s">
        <v>235</v>
      </c>
      <c r="N64" s="107" t="s">
        <v>631</v>
      </c>
      <c r="O64" s="107" t="s">
        <v>632</v>
      </c>
      <c r="P64" s="107"/>
    </row>
    <row r="65" spans="1:16" ht="33.75" hidden="1" customHeight="1">
      <c r="A65" s="107" t="s">
        <v>625</v>
      </c>
      <c r="B65" s="107" t="s">
        <v>633</v>
      </c>
      <c r="C65" s="107" t="s">
        <v>634</v>
      </c>
      <c r="D65" s="107" t="s">
        <v>492</v>
      </c>
      <c r="E65" s="107" t="s">
        <v>488</v>
      </c>
      <c r="F65" s="107">
        <v>8</v>
      </c>
      <c r="G65" s="107" t="s">
        <v>592</v>
      </c>
      <c r="H65" s="107" t="s">
        <v>614</v>
      </c>
      <c r="J65" s="107" t="s">
        <v>604</v>
      </c>
      <c r="K65" s="107" t="s">
        <v>635</v>
      </c>
      <c r="L65" s="107" t="s">
        <v>579</v>
      </c>
      <c r="M65" s="107" t="s">
        <v>235</v>
      </c>
      <c r="N65" s="107" t="s">
        <v>580</v>
      </c>
      <c r="O65" s="107" t="s">
        <v>636</v>
      </c>
      <c r="P65" s="107"/>
    </row>
    <row r="66" spans="1:16" ht="45" hidden="1" customHeight="1">
      <c r="A66" s="107" t="s">
        <v>625</v>
      </c>
      <c r="B66" s="107" t="s">
        <v>637</v>
      </c>
      <c r="C66" s="107" t="s">
        <v>575</v>
      </c>
      <c r="D66" s="107" t="s">
        <v>492</v>
      </c>
      <c r="E66" s="107" t="s">
        <v>488</v>
      </c>
      <c r="F66" s="107">
        <v>8</v>
      </c>
      <c r="G66" s="107" t="s">
        <v>584</v>
      </c>
      <c r="H66" s="107" t="s">
        <v>638</v>
      </c>
      <c r="J66" s="107" t="s">
        <v>604</v>
      </c>
      <c r="K66" s="107" t="s">
        <v>639</v>
      </c>
      <c r="L66" s="107" t="s">
        <v>587</v>
      </c>
      <c r="M66" s="107" t="s">
        <v>235</v>
      </c>
      <c r="N66" s="107" t="s">
        <v>588</v>
      </c>
      <c r="O66" s="107" t="s">
        <v>640</v>
      </c>
      <c r="P66" s="107"/>
    </row>
    <row r="67" spans="1:16" ht="33.75" hidden="1" customHeight="1">
      <c r="A67" s="107" t="s">
        <v>641</v>
      </c>
      <c r="B67" s="107" t="s">
        <v>642</v>
      </c>
      <c r="C67" s="107" t="s">
        <v>575</v>
      </c>
      <c r="D67" s="107" t="s">
        <v>492</v>
      </c>
      <c r="E67" s="107" t="s">
        <v>488</v>
      </c>
      <c r="F67" s="107">
        <v>8</v>
      </c>
      <c r="G67" s="107" t="s">
        <v>643</v>
      </c>
      <c r="H67" s="107" t="s">
        <v>644</v>
      </c>
      <c r="J67" s="107" t="s">
        <v>604</v>
      </c>
      <c r="K67" s="107" t="s">
        <v>645</v>
      </c>
      <c r="L67" s="107" t="s">
        <v>595</v>
      </c>
      <c r="M67" s="107" t="s">
        <v>235</v>
      </c>
      <c r="N67" s="107" t="s">
        <v>596</v>
      </c>
      <c r="O67" s="107" t="s">
        <v>646</v>
      </c>
      <c r="P67" s="107"/>
    </row>
    <row r="68" spans="1:16" ht="33.75" hidden="1" customHeight="1">
      <c r="A68" s="102" t="s">
        <v>641</v>
      </c>
      <c r="B68" s="102" t="s">
        <v>647</v>
      </c>
      <c r="C68" s="102" t="s">
        <v>575</v>
      </c>
      <c r="D68" s="109" t="s">
        <v>492</v>
      </c>
      <c r="E68" s="109" t="s">
        <v>488</v>
      </c>
      <c r="F68" s="109">
        <v>8</v>
      </c>
      <c r="G68" s="102" t="s">
        <v>648</v>
      </c>
      <c r="H68" s="102" t="s">
        <v>649</v>
      </c>
      <c r="I68" s="13"/>
      <c r="J68" s="102" t="s">
        <v>604</v>
      </c>
      <c r="K68" s="107" t="s">
        <v>650</v>
      </c>
      <c r="L68" s="107" t="s">
        <v>601</v>
      </c>
      <c r="M68" s="107" t="s">
        <v>235</v>
      </c>
      <c r="N68" s="107" t="s">
        <v>602</v>
      </c>
      <c r="O68" s="107" t="s">
        <v>651</v>
      </c>
      <c r="P68" s="107"/>
    </row>
    <row r="69" spans="1:16" ht="15" customHeight="1">
      <c r="A69" s="908" t="s">
        <v>652</v>
      </c>
      <c r="B69" s="896"/>
      <c r="C69" s="896"/>
      <c r="D69" s="896"/>
      <c r="E69" s="100"/>
      <c r="F69" s="100"/>
      <c r="G69" s="100"/>
      <c r="H69" s="100"/>
      <c r="I69" s="100"/>
      <c r="J69" s="100"/>
      <c r="K69" s="100"/>
      <c r="L69" s="100"/>
      <c r="M69" s="52"/>
      <c r="N69" s="52"/>
      <c r="O69" s="52"/>
      <c r="P69" s="52"/>
    </row>
    <row r="70" spans="1:16" s="111" customFormat="1" ht="48" customHeight="1">
      <c r="A70" s="110" t="s">
        <v>364</v>
      </c>
      <c r="B70" s="110" t="s">
        <v>653</v>
      </c>
      <c r="C70" s="110" t="s">
        <v>654</v>
      </c>
      <c r="D70" s="110" t="s">
        <v>655</v>
      </c>
      <c r="E70" s="110" t="s">
        <v>654</v>
      </c>
      <c r="F70" s="110" t="s">
        <v>656</v>
      </c>
      <c r="G70" s="110"/>
      <c r="H70" s="110"/>
      <c r="I70" s="110" t="s">
        <v>368</v>
      </c>
      <c r="J70" s="110" t="s">
        <v>657</v>
      </c>
      <c r="K70" s="110" t="s">
        <v>654</v>
      </c>
      <c r="L70" s="110" t="s">
        <v>658</v>
      </c>
      <c r="M70" s="110" t="s">
        <v>654</v>
      </c>
      <c r="N70" s="110" t="s">
        <v>659</v>
      </c>
      <c r="O70" s="110"/>
      <c r="P70" s="110"/>
    </row>
    <row r="71" spans="1:16" s="111" customFormat="1" ht="81.75" customHeight="1">
      <c r="A71" s="110" t="s">
        <v>660</v>
      </c>
      <c r="B71" s="110" t="s">
        <v>661</v>
      </c>
      <c r="C71" s="110"/>
      <c r="D71" s="110"/>
      <c r="E71" s="110"/>
      <c r="F71" s="110"/>
      <c r="G71" s="904"/>
      <c r="H71" s="905"/>
      <c r="I71" s="110" t="s">
        <v>662</v>
      </c>
      <c r="J71" s="110" t="s">
        <v>663</v>
      </c>
      <c r="K71" s="110"/>
      <c r="L71" s="110"/>
      <c r="M71" s="110"/>
      <c r="N71" s="110"/>
      <c r="O71" s="110"/>
      <c r="P71" s="110"/>
    </row>
    <row r="72" spans="1:16" s="111" customFormat="1" ht="48" customHeight="1">
      <c r="A72" s="112" t="s">
        <v>664</v>
      </c>
      <c r="B72" s="112" t="s">
        <v>54</v>
      </c>
      <c r="C72" s="112"/>
      <c r="D72" s="112" t="s">
        <v>150</v>
      </c>
      <c r="E72" s="112" t="s">
        <v>665</v>
      </c>
      <c r="F72" s="112"/>
      <c r="G72" s="112"/>
      <c r="H72" s="112"/>
      <c r="I72" s="112" t="s">
        <v>666</v>
      </c>
      <c r="J72" s="112" t="s">
        <v>667</v>
      </c>
      <c r="K72" s="112"/>
      <c r="L72" s="112"/>
      <c r="M72" s="112"/>
      <c r="N72" s="112"/>
      <c r="O72" s="112"/>
      <c r="P72" s="112"/>
    </row>
    <row r="73" spans="1:16" s="111" customFormat="1" ht="96" customHeight="1">
      <c r="A73" s="110" t="s">
        <v>668</v>
      </c>
      <c r="B73" s="904" t="s">
        <v>669</v>
      </c>
      <c r="C73" s="905"/>
      <c r="D73" s="110"/>
      <c r="E73" s="110"/>
      <c r="F73" s="110"/>
      <c r="G73" s="110"/>
      <c r="H73" s="110"/>
      <c r="I73" s="110" t="s">
        <v>670</v>
      </c>
      <c r="J73" s="110" t="s">
        <v>671</v>
      </c>
      <c r="K73" s="110"/>
      <c r="L73" s="110"/>
      <c r="M73" s="110"/>
      <c r="N73" s="110"/>
      <c r="O73" s="110"/>
      <c r="P73" s="110"/>
    </row>
    <row r="74" spans="1:16" s="111" customFormat="1" ht="66.75" customHeight="1">
      <c r="A74" s="110" t="s">
        <v>672</v>
      </c>
      <c r="B74" s="904" t="s">
        <v>673</v>
      </c>
      <c r="C74" s="905"/>
      <c r="D74" s="110"/>
      <c r="E74" s="110"/>
      <c r="F74" s="110"/>
      <c r="G74" s="110"/>
      <c r="H74" s="110"/>
      <c r="I74" s="110" t="s">
        <v>674</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17" priority="6">
      <formula>F73="Open"</formula>
    </cfRule>
    <cfRule type="expression" dxfId="1516" priority="7">
      <formula>F73="Pending"</formula>
    </cfRule>
    <cfRule type="expression" dxfId="1515" priority="8">
      <formula>F73="In Progress"</formula>
    </cfRule>
    <cfRule type="expression" dxfId="1514"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13" priority="2">
      <formula>I68="Open"</formula>
    </cfRule>
    <cfRule type="expression" dxfId="1512" priority="3">
      <formula>I68="Pending"</formula>
    </cfRule>
    <cfRule type="expression" dxfId="1511" priority="4">
      <formula>I68="In Progress"</formula>
    </cfRule>
    <cfRule type="expression" dxfId="1510" priority="5">
      <formula>I68="Closed"</formula>
    </cfRule>
  </conditionalFormatting>
  <conditionalFormatting sqref="I8:J9">
    <cfRule type="cellIs" dxfId="1509" priority="15" operator="greaterThan">
      <formula>0</formula>
    </cfRule>
  </conditionalFormatting>
  <conditionalFormatting sqref="I25:N54">
    <cfRule type="expression" dxfId="1508" priority="21">
      <formula>ISNUMBER(SEARCH("Verify",I25))</formula>
    </cfRule>
  </conditionalFormatting>
  <conditionalFormatting sqref="J73:J77">
    <cfRule type="expression" dxfId="1507" priority="10">
      <formula>J73="Open"</formula>
    </cfRule>
    <cfRule type="expression" dxfId="1506" priority="11">
      <formula>J73="Pending"</formula>
    </cfRule>
    <cfRule type="expression" dxfId="1505" priority="12">
      <formula>J73="In Progress"</formula>
    </cfRule>
    <cfRule type="expression" dxfId="1504" priority="13">
      <formula>J73="Closed"</formula>
    </cfRule>
  </conditionalFormatting>
  <conditionalFormatting sqref="K8:L9">
    <cfRule type="cellIs" dxfId="1503" priority="14"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defaultColWidth="8.7109375" defaultRowHeight="15.75" customHeight="1"/>
  <cols>
    <col min="1" max="3" width="18" style="8" customWidth="1"/>
    <col min="4" max="5" width="8.7109375" style="8" customWidth="1"/>
    <col min="6" max="16384" width="8.7109375" style="8"/>
  </cols>
  <sheetData>
    <row r="1" spans="1:3" ht="15.75" customHeight="1">
      <c r="A1" s="52" t="s">
        <v>77</v>
      </c>
      <c r="B1" s="52" t="s">
        <v>675</v>
      </c>
      <c r="C1" s="52" t="s">
        <v>676</v>
      </c>
    </row>
    <row r="2" spans="1:3" ht="15.75" customHeight="1">
      <c r="A2" s="8" t="s">
        <v>484</v>
      </c>
      <c r="B2" s="8" t="s">
        <v>498</v>
      </c>
      <c r="C2" s="8" t="s">
        <v>235</v>
      </c>
    </row>
    <row r="3" spans="1:3" ht="15.75" customHeight="1">
      <c r="A3" s="8" t="s">
        <v>677</v>
      </c>
      <c r="B3" s="8" t="s">
        <v>488</v>
      </c>
      <c r="C3" s="8" t="s">
        <v>230</v>
      </c>
    </row>
    <row r="4" spans="1:3" ht="15.75" customHeight="1">
      <c r="A4" s="8" t="s">
        <v>546</v>
      </c>
      <c r="B4" s="8" t="s">
        <v>391</v>
      </c>
      <c r="C4" s="8" t="s">
        <v>678</v>
      </c>
    </row>
    <row r="5" spans="1:3" ht="15.75" customHeight="1">
      <c r="A5" s="8" t="s">
        <v>547</v>
      </c>
      <c r="B5" s="8" t="s">
        <v>492</v>
      </c>
      <c r="C5" s="8" t="s">
        <v>502</v>
      </c>
    </row>
    <row r="6" spans="1:3" ht="15.75" customHeight="1">
      <c r="A6" s="8" t="s">
        <v>679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defaultColWidth="8.7109375" defaultRowHeight="15"/>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680</v>
      </c>
      <c r="B1" s="58"/>
      <c r="C1" s="58"/>
      <c r="D1" s="58"/>
      <c r="E1" s="58"/>
      <c r="F1" s="58"/>
      <c r="G1" s="58"/>
      <c r="H1" s="58"/>
      <c r="I1" s="58"/>
      <c r="J1" s="58"/>
      <c r="K1" s="58"/>
      <c r="L1" s="58"/>
    </row>
    <row r="2" spans="1:12" ht="67.5" customHeight="1">
      <c r="A2" s="15" t="s">
        <v>681</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364</v>
      </c>
      <c r="B5" s="35" t="s">
        <v>591</v>
      </c>
      <c r="C5" s="35" t="s">
        <v>369</v>
      </c>
      <c r="D5" s="35" t="s">
        <v>370</v>
      </c>
      <c r="E5" s="13"/>
      <c r="F5" s="13"/>
      <c r="G5" s="13"/>
      <c r="H5" s="35" t="s">
        <v>235</v>
      </c>
      <c r="I5" s="35" t="s">
        <v>371</v>
      </c>
      <c r="J5" s="73" t="str">
        <f>IF(AND($A5&lt;&gt;"",$A5&amp;""=PMIS_Home!$B$4&amp;""),MAX($J$4:J4)+1,"")</f>
        <v/>
      </c>
    </row>
    <row r="6" spans="1:12" ht="13.5" customHeight="1">
      <c r="A6" s="35" t="s">
        <v>368</v>
      </c>
      <c r="B6" s="35" t="s">
        <v>682</v>
      </c>
      <c r="C6" s="35" t="s">
        <v>369</v>
      </c>
      <c r="D6" s="35" t="s">
        <v>377</v>
      </c>
      <c r="E6" s="13"/>
      <c r="F6" s="13"/>
      <c r="G6" s="13"/>
      <c r="H6" s="35" t="s">
        <v>235</v>
      </c>
      <c r="I6" s="35" t="s">
        <v>378</v>
      </c>
      <c r="J6" s="73" t="str">
        <f>IF(AND($A6&lt;&gt;"",$A6&amp;""=PMIS_Home!$B$4&amp;""),MAX($J$4:J5)+1,"")</f>
        <v/>
      </c>
    </row>
    <row r="7" spans="1:12" ht="13.5" customHeight="1">
      <c r="A7" s="35" t="s">
        <v>368</v>
      </c>
      <c r="B7" s="35" t="s">
        <v>683</v>
      </c>
      <c r="C7" s="35" t="s">
        <v>369</v>
      </c>
      <c r="D7" s="35" t="s">
        <v>377</v>
      </c>
      <c r="E7" s="13"/>
      <c r="F7" s="13"/>
      <c r="G7" s="13"/>
      <c r="H7" s="35" t="s">
        <v>235</v>
      </c>
      <c r="I7" s="35" t="s">
        <v>380</v>
      </c>
      <c r="J7" s="73" t="str">
        <f>IF(AND($A7&lt;&gt;"",$A7&amp;""=PMIS_Home!$B$4&amp;""),MAX($J$4:J6)+1,"")</f>
        <v/>
      </c>
    </row>
    <row r="8" spans="1:12" ht="13.5" customHeight="1">
      <c r="A8" s="35" t="s">
        <v>368</v>
      </c>
      <c r="B8" s="35" t="s">
        <v>684</v>
      </c>
      <c r="C8" s="35" t="s">
        <v>369</v>
      </c>
      <c r="D8" s="35" t="s">
        <v>370</v>
      </c>
      <c r="E8" s="13"/>
      <c r="F8" s="13"/>
      <c r="G8" s="13"/>
      <c r="H8" s="35" t="s">
        <v>235</v>
      </c>
      <c r="I8" s="35" t="s">
        <v>382</v>
      </c>
      <c r="J8" s="73" t="str">
        <f>IF(AND($A8&lt;&gt;"",$A8&amp;""=PMIS_Home!$B$4&amp;""),MAX($J$4:J7)+1,"")</f>
        <v/>
      </c>
    </row>
    <row r="9" spans="1:12" ht="13.5" customHeight="1">
      <c r="A9" s="35" t="s">
        <v>685</v>
      </c>
      <c r="B9" s="35" t="s">
        <v>386</v>
      </c>
      <c r="C9" s="35" t="s">
        <v>369</v>
      </c>
      <c r="D9" s="35" t="s">
        <v>377</v>
      </c>
      <c r="E9" s="13"/>
      <c r="F9" s="13"/>
      <c r="G9" s="13"/>
      <c r="H9" s="35" t="s">
        <v>235</v>
      </c>
      <c r="I9" s="35" t="s">
        <v>387</v>
      </c>
      <c r="J9" s="73" t="str">
        <f>IF(AND($A9&lt;&gt;"",$A9&amp;""=PMIS_Home!$B$4&amp;""),MAX($J$4:J8)+1,"")</f>
        <v/>
      </c>
    </row>
    <row r="10" spans="1:12" ht="13.5" customHeight="1">
      <c r="A10" s="35" t="s">
        <v>686</v>
      </c>
      <c r="B10" s="35" t="s">
        <v>389</v>
      </c>
      <c r="C10" s="35" t="s">
        <v>369</v>
      </c>
      <c r="D10" s="35" t="s">
        <v>377</v>
      </c>
      <c r="E10" s="13"/>
      <c r="F10" s="13"/>
      <c r="G10" s="13"/>
      <c r="H10" s="35" t="s">
        <v>235</v>
      </c>
      <c r="I10" s="35" t="s">
        <v>390</v>
      </c>
      <c r="J10" s="73" t="str">
        <f>IF(AND($A10&lt;&gt;"",$A10&amp;""=PMIS_Home!$B$4&amp;""),MAX($J$4:J9)+1,"")</f>
        <v/>
      </c>
    </row>
    <row r="11" spans="1:12" ht="13.5" customHeight="1">
      <c r="A11" s="35" t="s">
        <v>686</v>
      </c>
      <c r="B11" s="35" t="s">
        <v>682</v>
      </c>
      <c r="C11" s="35" t="s">
        <v>369</v>
      </c>
      <c r="D11" s="35" t="s">
        <v>370</v>
      </c>
      <c r="E11" s="13"/>
      <c r="F11" s="13"/>
      <c r="G11" s="13"/>
      <c r="H11" s="35" t="s">
        <v>235</v>
      </c>
      <c r="I11" s="35" t="s">
        <v>393</v>
      </c>
      <c r="J11" s="73" t="str">
        <f>IF(AND($A11&lt;&gt;"",$A11&amp;""=PMIS_Home!$B$4&amp;""),MAX($J$4:J10)+1,"")</f>
        <v/>
      </c>
    </row>
    <row r="12" spans="1:12" ht="13.5" customHeight="1">
      <c r="A12" s="35" t="s">
        <v>686</v>
      </c>
      <c r="B12" s="35" t="s">
        <v>687</v>
      </c>
      <c r="C12" s="35" t="s">
        <v>369</v>
      </c>
      <c r="D12" s="35" t="s">
        <v>370</v>
      </c>
      <c r="E12" s="13"/>
      <c r="F12" s="13"/>
      <c r="G12" s="13"/>
      <c r="H12" s="35" t="s">
        <v>235</v>
      </c>
      <c r="I12" s="35" t="s">
        <v>395</v>
      </c>
      <c r="J12" s="73" t="str">
        <f>IF(AND($A12&lt;&gt;"",$A12&amp;""=PMIS_Home!$B$4&amp;""),MAX($J$4:J11)+1,"")</f>
        <v/>
      </c>
    </row>
    <row r="13" spans="1:12" ht="13.5" customHeight="1">
      <c r="A13" s="35" t="s">
        <v>688</v>
      </c>
      <c r="B13" s="35" t="s">
        <v>689</v>
      </c>
      <c r="C13" s="35" t="s">
        <v>396</v>
      </c>
      <c r="D13" s="35" t="s">
        <v>396</v>
      </c>
      <c r="E13" s="13"/>
      <c r="F13" s="13"/>
      <c r="G13" s="13"/>
      <c r="H13" s="35" t="s">
        <v>235</v>
      </c>
      <c r="I13" s="35" t="s">
        <v>397</v>
      </c>
      <c r="J13" s="73" t="str">
        <f>IF(AND($A13&lt;&gt;"",$A13&amp;""=PMIS_Home!$B$4&amp;""),MAX($J$4:J12)+1,"")</f>
        <v/>
      </c>
    </row>
    <row r="14" spans="1:12" ht="13.5" customHeight="1">
      <c r="A14" s="35" t="s">
        <v>690</v>
      </c>
      <c r="B14" s="35" t="s">
        <v>691</v>
      </c>
      <c r="C14" s="35" t="s">
        <v>369</v>
      </c>
      <c r="D14" s="35" t="s">
        <v>370</v>
      </c>
      <c r="E14" s="13"/>
      <c r="F14" s="13"/>
      <c r="G14" s="13"/>
      <c r="H14" s="35" t="s">
        <v>235</v>
      </c>
      <c r="I14" s="35" t="s">
        <v>387</v>
      </c>
      <c r="J14" s="73" t="str">
        <f>IF(AND($A14&lt;&gt;"",$A14&amp;""=PMIS_Home!$B$4&amp;""),MAX($J$4:J13)+1,"")</f>
        <v/>
      </c>
    </row>
    <row r="15" spans="1:12" ht="13.5" customHeight="1">
      <c r="A15" s="35" t="s">
        <v>690</v>
      </c>
      <c r="B15" s="35" t="s">
        <v>692</v>
      </c>
      <c r="C15" s="35" t="s">
        <v>369</v>
      </c>
      <c r="D15" s="35" t="s">
        <v>370</v>
      </c>
      <c r="E15" s="13"/>
      <c r="F15" s="13"/>
      <c r="G15" s="13"/>
      <c r="H15" s="35" t="s">
        <v>235</v>
      </c>
      <c r="I15" s="35" t="s">
        <v>400</v>
      </c>
      <c r="J15" s="73" t="str">
        <f>IF(AND($A15&lt;&gt;"",$A15&amp;""=PMIS_Home!$B$4&amp;""),MAX($J$4:J14)+1,"")</f>
        <v/>
      </c>
    </row>
    <row r="16" spans="1:12" ht="13.5" customHeight="1">
      <c r="A16" s="35" t="s">
        <v>693</v>
      </c>
      <c r="B16" s="35" t="s">
        <v>401</v>
      </c>
      <c r="C16" s="35" t="s">
        <v>369</v>
      </c>
      <c r="D16" s="35" t="s">
        <v>370</v>
      </c>
      <c r="E16" s="13"/>
      <c r="F16" s="13"/>
      <c r="G16" s="13"/>
      <c r="H16" s="35" t="s">
        <v>235</v>
      </c>
      <c r="I16" s="35" t="s">
        <v>402</v>
      </c>
      <c r="J16" s="73" t="str">
        <f>IF(AND($A16&lt;&gt;"",$A16&amp;""=PMIS_Home!$B$4&amp;""),MAX($J$4:J15)+1,"")</f>
        <v/>
      </c>
    </row>
    <row r="17" spans="1:10" ht="13.5" customHeight="1">
      <c r="A17" s="35" t="s">
        <v>693</v>
      </c>
      <c r="B17" s="35" t="s">
        <v>404</v>
      </c>
      <c r="C17" s="35" t="s">
        <v>369</v>
      </c>
      <c r="D17" s="35" t="s">
        <v>377</v>
      </c>
      <c r="E17" s="13"/>
      <c r="F17" s="13"/>
      <c r="G17" s="13"/>
      <c r="H17" s="35" t="s">
        <v>235</v>
      </c>
      <c r="I17" s="35" t="s">
        <v>405</v>
      </c>
      <c r="J17" s="73" t="str">
        <f>IF(AND($A17&lt;&gt;"",$A17&amp;""=PMIS_Home!$B$4&amp;""),MAX($J$4:J16)+1,"")</f>
        <v/>
      </c>
    </row>
    <row r="18" spans="1:10" ht="13.5" customHeight="1">
      <c r="A18" s="35" t="s">
        <v>694</v>
      </c>
      <c r="B18" s="35" t="s">
        <v>406</v>
      </c>
      <c r="C18" s="35" t="s">
        <v>369</v>
      </c>
      <c r="D18" s="35" t="s">
        <v>377</v>
      </c>
      <c r="E18" s="13"/>
      <c r="F18" s="13"/>
      <c r="G18" s="13"/>
      <c r="H18" s="35" t="s">
        <v>235</v>
      </c>
      <c r="I18" s="35" t="s">
        <v>387</v>
      </c>
      <c r="J18" s="73" t="str">
        <f>IF(AND($A18&lt;&gt;"",$A18&amp;""=PMIS_Home!$B$4&amp;""),MAX($J$4:J17)+1,"")</f>
        <v/>
      </c>
    </row>
    <row r="19" spans="1:10" ht="13.5" customHeight="1">
      <c r="A19" s="35" t="s">
        <v>695</v>
      </c>
      <c r="B19" s="35" t="s">
        <v>12</v>
      </c>
      <c r="C19" s="35" t="s">
        <v>369</v>
      </c>
      <c r="D19" s="35" t="s">
        <v>370</v>
      </c>
      <c r="E19" s="13"/>
      <c r="F19" s="13"/>
      <c r="G19" s="13"/>
      <c r="H19" s="35" t="s">
        <v>235</v>
      </c>
      <c r="I19" s="35" t="s">
        <v>407</v>
      </c>
      <c r="J19" s="73" t="str">
        <f>IF(AND($A19&lt;&gt;"",$A19&amp;""=PMIS_Home!$B$4&amp;""),MAX($J$4:J18)+1,"")</f>
        <v/>
      </c>
    </row>
    <row r="20" spans="1:10" ht="13.5" customHeight="1">
      <c r="A20" s="35" t="s">
        <v>695</v>
      </c>
      <c r="B20" s="35" t="s">
        <v>408</v>
      </c>
      <c r="C20" s="35" t="s">
        <v>369</v>
      </c>
      <c r="D20" s="35" t="s">
        <v>370</v>
      </c>
      <c r="E20" s="13"/>
      <c r="F20" s="13"/>
      <c r="G20" s="13"/>
      <c r="H20" s="35" t="s">
        <v>235</v>
      </c>
      <c r="I20" s="35" t="s">
        <v>409</v>
      </c>
      <c r="J20" s="73" t="str">
        <f>IF(AND($A20&lt;&gt;"",$A20&amp;""=PMIS_Home!$B$4&amp;""),MAX($J$4:J19)+1,"")</f>
        <v/>
      </c>
    </row>
    <row r="21" spans="1:10" ht="13.5" customHeight="1">
      <c r="A21" s="35" t="s">
        <v>695</v>
      </c>
      <c r="B21" s="35" t="s">
        <v>696</v>
      </c>
      <c r="C21" s="35" t="s">
        <v>369</v>
      </c>
      <c r="D21" s="35" t="s">
        <v>370</v>
      </c>
      <c r="E21" s="13"/>
      <c r="F21" s="13"/>
      <c r="G21" s="13"/>
      <c r="H21" s="35" t="s">
        <v>235</v>
      </c>
      <c r="I21" s="35" t="s">
        <v>410</v>
      </c>
      <c r="J21" s="73" t="str">
        <f>IF(AND($A21&lt;&gt;"",$A21&amp;""=PMIS_Home!$B$4&amp;""),MAX($J$4:J20)+1,"")</f>
        <v/>
      </c>
    </row>
    <row r="22" spans="1:10" ht="13.5" customHeight="1">
      <c r="A22" s="35" t="s">
        <v>697</v>
      </c>
      <c r="B22" s="35" t="s">
        <v>411</v>
      </c>
      <c r="C22" s="35" t="s">
        <v>369</v>
      </c>
      <c r="D22" s="35" t="s">
        <v>370</v>
      </c>
      <c r="E22" s="13"/>
      <c r="F22" s="13"/>
      <c r="G22" s="13"/>
      <c r="H22" s="35" t="s">
        <v>235</v>
      </c>
      <c r="I22" s="35" t="s">
        <v>412</v>
      </c>
      <c r="J22" s="73" t="str">
        <f>IF(AND($A22&lt;&gt;"",$A22&amp;""=PMIS_Home!$B$4&amp;""),MAX($J$4:J21)+1,"")</f>
        <v/>
      </c>
    </row>
    <row r="23" spans="1:10" ht="13.5" customHeight="1">
      <c r="A23" s="35" t="s">
        <v>698</v>
      </c>
      <c r="B23" s="35" t="s">
        <v>699</v>
      </c>
      <c r="C23" s="35" t="s">
        <v>369</v>
      </c>
      <c r="D23" s="35" t="s">
        <v>370</v>
      </c>
      <c r="E23" s="13"/>
      <c r="F23" s="13"/>
      <c r="G23" s="13"/>
      <c r="H23" s="35" t="s">
        <v>235</v>
      </c>
      <c r="I23" s="35" t="s">
        <v>414</v>
      </c>
      <c r="J23" s="73" t="str">
        <f>IF(AND($A23&lt;&gt;"",$A23&amp;""=PMIS_Home!$B$4&amp;""),MAX($J$4:J22)+1,"")</f>
        <v/>
      </c>
    </row>
    <row r="24" spans="1:10" ht="13.5" customHeight="1">
      <c r="A24" s="35" t="s">
        <v>700</v>
      </c>
      <c r="B24" s="35" t="s">
        <v>701</v>
      </c>
      <c r="C24" s="35" t="s">
        <v>369</v>
      </c>
      <c r="D24" s="35" t="s">
        <v>370</v>
      </c>
      <c r="E24" s="13"/>
      <c r="F24" s="13"/>
      <c r="G24" s="13"/>
      <c r="H24" s="35" t="s">
        <v>235</v>
      </c>
      <c r="I24" s="35" t="s">
        <v>415</v>
      </c>
      <c r="J24" s="73" t="str">
        <f>IF(AND($A24&lt;&gt;"",$A24&amp;""=PMIS_Home!$B$4&amp;""),MAX($J$4:J23)+1,"")</f>
        <v/>
      </c>
    </row>
    <row r="25" spans="1:10" ht="13.5" customHeight="1">
      <c r="A25" s="35" t="s">
        <v>702</v>
      </c>
      <c r="B25" s="35" t="s">
        <v>699</v>
      </c>
      <c r="C25" s="35" t="s">
        <v>369</v>
      </c>
      <c r="D25" s="35" t="s">
        <v>370</v>
      </c>
      <c r="E25" s="13"/>
      <c r="F25" s="13"/>
      <c r="G25" s="13"/>
      <c r="H25" s="35" t="s">
        <v>235</v>
      </c>
      <c r="I25" s="35" t="s">
        <v>416</v>
      </c>
      <c r="J25" s="73" t="str">
        <f>IF(AND($A25&lt;&gt;"",$A25&amp;""=PMIS_Home!$B$4&amp;""),MAX($J$4:J24)+1,"")</f>
        <v/>
      </c>
    </row>
    <row r="26" spans="1:10" ht="13.5" customHeight="1">
      <c r="A26" s="35" t="s">
        <v>703</v>
      </c>
      <c r="B26" s="35" t="s">
        <v>702</v>
      </c>
      <c r="C26" s="35" t="s">
        <v>369</v>
      </c>
      <c r="D26" s="35" t="s">
        <v>370</v>
      </c>
      <c r="E26" s="13"/>
      <c r="F26" s="13"/>
      <c r="G26" s="13"/>
      <c r="H26" s="35" t="s">
        <v>235</v>
      </c>
      <c r="I26" s="35" t="s">
        <v>387</v>
      </c>
      <c r="J26" s="73" t="str">
        <f>IF(AND($A26&lt;&gt;"",$A26&amp;""=PMIS_Home!$B$4&amp;""),MAX($J$4:J25)+1,"")</f>
        <v/>
      </c>
    </row>
    <row r="27" spans="1:10" ht="13.5" customHeight="1">
      <c r="A27" s="35" t="s">
        <v>418</v>
      </c>
      <c r="B27" s="35" t="s">
        <v>704</v>
      </c>
      <c r="C27" s="35" t="s">
        <v>369</v>
      </c>
      <c r="D27" s="35" t="s">
        <v>370</v>
      </c>
      <c r="E27" s="13"/>
      <c r="F27" s="13"/>
      <c r="G27" s="13"/>
      <c r="H27" s="35" t="s">
        <v>235</v>
      </c>
      <c r="I27" s="35" t="s">
        <v>415</v>
      </c>
      <c r="J27" s="73" t="str">
        <f>IF(AND($A27&lt;&gt;"",$A27&amp;""=PMIS_Home!$B$4&amp;""),MAX($J$4:J26)+1,"")</f>
        <v/>
      </c>
    </row>
    <row r="28" spans="1:10" ht="13.5" customHeight="1">
      <c r="A28" s="35" t="s">
        <v>705</v>
      </c>
      <c r="B28" s="35" t="s">
        <v>706</v>
      </c>
      <c r="C28" s="35" t="s">
        <v>369</v>
      </c>
      <c r="D28" s="35" t="s">
        <v>370</v>
      </c>
      <c r="E28" s="13"/>
      <c r="F28" s="13"/>
      <c r="G28" s="13"/>
      <c r="H28" s="35" t="s">
        <v>235</v>
      </c>
      <c r="I28" s="35" t="s">
        <v>382</v>
      </c>
      <c r="J28" s="73" t="str">
        <f>IF(AND($A28&lt;&gt;"",$A28&amp;""=PMIS_Home!$B$4&amp;""),MAX($J$4:J27)+1,"")</f>
        <v/>
      </c>
    </row>
    <row r="29" spans="1:10" ht="13.5" customHeight="1">
      <c r="A29" s="35" t="s">
        <v>420</v>
      </c>
      <c r="B29" s="35" t="s">
        <v>421</v>
      </c>
      <c r="C29" s="35" t="s">
        <v>396</v>
      </c>
      <c r="D29" s="35" t="s">
        <v>396</v>
      </c>
      <c r="E29" s="13"/>
      <c r="F29" s="13"/>
      <c r="G29" s="13"/>
      <c r="H29" s="35" t="s">
        <v>235</v>
      </c>
      <c r="I29" s="35" t="s">
        <v>422</v>
      </c>
      <c r="J29" s="73" t="str">
        <f>IF(AND($A29&lt;&gt;"",$A29&amp;""=PMIS_Home!$B$4&amp;""),MAX($J$4:J28)+1,"")</f>
        <v/>
      </c>
    </row>
    <row r="30" spans="1:10" ht="13.5" customHeight="1">
      <c r="A30" s="35" t="s">
        <v>423</v>
      </c>
      <c r="B30" s="35" t="s">
        <v>425</v>
      </c>
      <c r="C30" s="35" t="s">
        <v>396</v>
      </c>
      <c r="D30" s="35" t="s">
        <v>396</v>
      </c>
      <c r="E30" s="13"/>
      <c r="F30" s="13"/>
      <c r="G30" s="13"/>
      <c r="H30" s="35" t="s">
        <v>235</v>
      </c>
      <c r="I30" s="35" t="s">
        <v>426</v>
      </c>
      <c r="J30" s="73" t="str">
        <f>IF(AND($A30&lt;&gt;"",$A30&amp;""=PMIS_Home!$B$4&amp;""),MAX($J$4:J29)+1,"")</f>
        <v/>
      </c>
    </row>
    <row r="31" spans="1:10" ht="13.5" customHeight="1">
      <c r="A31" s="35" t="s">
        <v>707</v>
      </c>
      <c r="B31" s="35" t="s">
        <v>708</v>
      </c>
      <c r="C31" s="35" t="s">
        <v>396</v>
      </c>
      <c r="D31" s="35" t="s">
        <v>396</v>
      </c>
      <c r="E31" s="13"/>
      <c r="F31" s="13"/>
      <c r="G31" s="13"/>
      <c r="H31" s="35" t="s">
        <v>235</v>
      </c>
      <c r="I31" s="13"/>
      <c r="J31" s="73" t="str">
        <f>IF(AND($A31&lt;&gt;"",$A31&amp;""=PMIS_Home!$B$4&amp;""),MAX($J$4:J30)+1,"")</f>
        <v/>
      </c>
    </row>
    <row r="32" spans="1:10" ht="13.5" customHeight="1">
      <c r="A32" s="35" t="s">
        <v>372</v>
      </c>
      <c r="B32" s="35" t="s">
        <v>428</v>
      </c>
      <c r="C32" s="35" t="s">
        <v>396</v>
      </c>
      <c r="D32" s="35" t="s">
        <v>396</v>
      </c>
      <c r="E32" s="13"/>
      <c r="F32" s="13"/>
      <c r="G32" s="13"/>
      <c r="H32" s="35" t="s">
        <v>235</v>
      </c>
      <c r="I32" s="35" t="s">
        <v>429</v>
      </c>
      <c r="J32" s="73" t="str">
        <f>IF(AND($A32&lt;&gt;"",$A32&amp;""=PMIS_Home!$B$4&amp;""),MAX($J$4:J31)+1,"")</f>
        <v/>
      </c>
    </row>
    <row r="33" spans="1:10" ht="13.5" customHeight="1">
      <c r="A33" s="35" t="s">
        <v>374</v>
      </c>
      <c r="B33" s="35" t="s">
        <v>34</v>
      </c>
      <c r="C33" s="35" t="s">
        <v>369</v>
      </c>
      <c r="D33" s="35" t="s">
        <v>370</v>
      </c>
      <c r="E33" s="13"/>
      <c r="F33" s="13"/>
      <c r="G33" s="13"/>
      <c r="H33" s="35" t="s">
        <v>235</v>
      </c>
      <c r="I33" s="35" t="s">
        <v>431</v>
      </c>
      <c r="J33" s="73" t="str">
        <f>IF(AND($A33&lt;&gt;"",$A33&amp;""=PMIS_Home!$B$4&amp;""),MAX($J$4:J32)+1,"")</f>
        <v/>
      </c>
    </row>
    <row r="34" spans="1:10" ht="13.5" customHeight="1">
      <c r="A34" s="35" t="s">
        <v>374</v>
      </c>
      <c r="B34" s="35" t="s">
        <v>699</v>
      </c>
      <c r="C34" s="35" t="s">
        <v>369</v>
      </c>
      <c r="D34" s="35" t="s">
        <v>370</v>
      </c>
      <c r="E34" s="13"/>
      <c r="F34" s="13"/>
      <c r="G34" s="13"/>
      <c r="H34" s="35" t="s">
        <v>235</v>
      </c>
      <c r="I34" s="35" t="s">
        <v>432</v>
      </c>
      <c r="J34" s="73" t="str">
        <f>IF(AND($A34&lt;&gt;"",$A34&amp;""=PMIS_Home!$B$4&amp;""),MAX($J$4:J33)+1,"")</f>
        <v/>
      </c>
    </row>
    <row r="35" spans="1:10" ht="16.5" customHeight="1">
      <c r="A35" s="35" t="s">
        <v>374</v>
      </c>
      <c r="B35" s="35" t="s">
        <v>709</v>
      </c>
      <c r="C35" s="35" t="s">
        <v>369</v>
      </c>
      <c r="D35" s="35" t="s">
        <v>370</v>
      </c>
      <c r="E35" s="13"/>
      <c r="F35" s="13"/>
      <c r="G35" s="13"/>
      <c r="H35" s="35" t="s">
        <v>235</v>
      </c>
      <c r="I35" s="35" t="s">
        <v>433</v>
      </c>
      <c r="J35" s="73" t="str">
        <f>IF(AND($A35&lt;&gt;"",$A35&amp;""=PMIS_Home!$B$4&amp;""),MAX($J$4:J34)+1,"")</f>
        <v/>
      </c>
    </row>
    <row r="36" spans="1:10" ht="13.5" customHeight="1">
      <c r="A36" s="35" t="s">
        <v>376</v>
      </c>
      <c r="B36" s="35" t="s">
        <v>434</v>
      </c>
      <c r="C36" s="35" t="s">
        <v>369</v>
      </c>
      <c r="D36" s="35" t="s">
        <v>370</v>
      </c>
      <c r="E36" s="13"/>
      <c r="F36" s="13"/>
      <c r="G36" s="13"/>
      <c r="H36" s="35" t="s">
        <v>235</v>
      </c>
      <c r="I36" s="35" t="s">
        <v>435</v>
      </c>
      <c r="J36" s="73" t="str">
        <f>IF(AND($A36&lt;&gt;"",$A36&amp;""=PMIS_Home!$B$4&amp;""),MAX($J$4:J35)+1,"")</f>
        <v/>
      </c>
    </row>
    <row r="37" spans="1:10" ht="13.5" customHeight="1">
      <c r="A37" s="35" t="s">
        <v>376</v>
      </c>
      <c r="B37" s="35" t="s">
        <v>710</v>
      </c>
      <c r="C37" s="35" t="s">
        <v>369</v>
      </c>
      <c r="D37" s="35" t="s">
        <v>370</v>
      </c>
      <c r="E37" s="13"/>
      <c r="F37" s="13"/>
      <c r="G37" s="13"/>
      <c r="H37" s="35" t="s">
        <v>235</v>
      </c>
      <c r="I37" s="35" t="s">
        <v>436</v>
      </c>
      <c r="J37" s="73" t="str">
        <f>IF(AND($A37&lt;&gt;"",$A37&amp;""=PMIS_Home!$B$4&amp;""),MAX($J$4:J36)+1,"")</f>
        <v/>
      </c>
    </row>
    <row r="38" spans="1:10" ht="13.5" customHeight="1">
      <c r="A38" s="35" t="s">
        <v>376</v>
      </c>
      <c r="B38" s="35" t="s">
        <v>711</v>
      </c>
      <c r="C38" s="35" t="s">
        <v>369</v>
      </c>
      <c r="D38" s="35" t="s">
        <v>370</v>
      </c>
      <c r="E38" s="13"/>
      <c r="F38" s="13"/>
      <c r="G38" s="13"/>
      <c r="H38" s="35" t="s">
        <v>235</v>
      </c>
      <c r="I38" s="35" t="s">
        <v>415</v>
      </c>
      <c r="J38" s="73" t="str">
        <f>IF(AND($A38&lt;&gt;"",$A38&amp;""=PMIS_Home!$B$4&amp;""),MAX($J$4:J37)+1,"")</f>
        <v/>
      </c>
    </row>
    <row r="39" spans="1:10" ht="13.5" customHeight="1">
      <c r="A39" s="35" t="s">
        <v>379</v>
      </c>
      <c r="B39" s="35" t="s">
        <v>438</v>
      </c>
      <c r="C39" s="35" t="s">
        <v>369</v>
      </c>
      <c r="D39" s="35" t="s">
        <v>370</v>
      </c>
      <c r="E39" s="13"/>
      <c r="F39" s="13"/>
      <c r="G39" s="13"/>
      <c r="H39" s="35" t="s">
        <v>235</v>
      </c>
      <c r="I39" s="35" t="s">
        <v>415</v>
      </c>
      <c r="J39" s="73" t="str">
        <f>IF(AND($A39&lt;&gt;"",$A39&amp;""=PMIS_Home!$B$4&amp;""),MAX($J$4:J38)+1,"")</f>
        <v/>
      </c>
    </row>
    <row r="40" spans="1:10" ht="13.5" customHeight="1">
      <c r="A40" s="35" t="s">
        <v>379</v>
      </c>
      <c r="B40" s="35" t="s">
        <v>710</v>
      </c>
      <c r="C40" s="35" t="s">
        <v>369</v>
      </c>
      <c r="D40" s="35" t="s">
        <v>370</v>
      </c>
      <c r="E40" s="13"/>
      <c r="F40" s="13"/>
      <c r="G40" s="13"/>
      <c r="H40" s="35" t="s">
        <v>235</v>
      </c>
      <c r="I40" s="35" t="s">
        <v>439</v>
      </c>
      <c r="J40" s="73" t="str">
        <f>IF(AND($A40&lt;&gt;"",$A40&amp;""=PMIS_Home!$B$4&amp;""),MAX($J$4:J39)+1,"")</f>
        <v/>
      </c>
    </row>
    <row r="41" spans="1:10" ht="13.5" customHeight="1">
      <c r="A41" s="35" t="s">
        <v>379</v>
      </c>
      <c r="B41" s="35" t="s">
        <v>440</v>
      </c>
      <c r="C41" s="35" t="s">
        <v>369</v>
      </c>
      <c r="D41" s="35" t="s">
        <v>370</v>
      </c>
      <c r="E41" s="13"/>
      <c r="F41" s="13"/>
      <c r="G41" s="13"/>
      <c r="H41" s="35" t="s">
        <v>235</v>
      </c>
      <c r="I41" s="35" t="s">
        <v>415</v>
      </c>
      <c r="J41" s="73" t="str">
        <f>IF(AND($A41&lt;&gt;"",$A41&amp;""=PMIS_Home!$B$4&amp;""),MAX($J$4:J40)+1,"")</f>
        <v/>
      </c>
    </row>
    <row r="42" spans="1:10" ht="13.5" customHeight="1">
      <c r="A42" s="35" t="s">
        <v>441</v>
      </c>
      <c r="B42" s="35" t="s">
        <v>712</v>
      </c>
      <c r="C42" s="35" t="s">
        <v>369</v>
      </c>
      <c r="D42" s="35" t="s">
        <v>377</v>
      </c>
      <c r="E42" s="13"/>
      <c r="F42" s="13"/>
      <c r="G42" s="13"/>
      <c r="H42" s="35" t="s">
        <v>235</v>
      </c>
      <c r="I42" s="35" t="s">
        <v>415</v>
      </c>
      <c r="J42" s="73" t="str">
        <f>IF(AND($A42&lt;&gt;"",$A42&amp;""=PMIS_Home!$B$4&amp;""),MAX($J$4:J41)+1,"")</f>
        <v/>
      </c>
    </row>
    <row r="43" spans="1:10" ht="13.5" customHeight="1">
      <c r="A43" s="35" t="s">
        <v>441</v>
      </c>
      <c r="B43" s="35" t="s">
        <v>446</v>
      </c>
      <c r="C43" s="35" t="s">
        <v>369</v>
      </c>
      <c r="D43" s="35" t="s">
        <v>377</v>
      </c>
      <c r="E43" s="13"/>
      <c r="F43" s="13"/>
      <c r="G43" s="13"/>
      <c r="H43" s="35" t="s">
        <v>235</v>
      </c>
      <c r="I43" s="35" t="s">
        <v>382</v>
      </c>
      <c r="J43" s="73" t="str">
        <f>IF(AND($A43&lt;&gt;"",$A43&amp;""=PMIS_Home!$B$4&amp;""),MAX($J$4:J42)+1,"")</f>
        <v/>
      </c>
    </row>
    <row r="44" spans="1:10" ht="13.5" customHeight="1">
      <c r="A44" s="35" t="s">
        <v>441</v>
      </c>
      <c r="B44" s="35" t="s">
        <v>684</v>
      </c>
      <c r="C44" s="35" t="s">
        <v>369</v>
      </c>
      <c r="D44" s="35" t="s">
        <v>377</v>
      </c>
      <c r="E44" s="13"/>
      <c r="F44" s="13"/>
      <c r="G44" s="13"/>
      <c r="H44" s="35" t="s">
        <v>235</v>
      </c>
      <c r="I44" s="35" t="s">
        <v>447</v>
      </c>
      <c r="J44" s="73" t="str">
        <f>IF(AND($A44&lt;&gt;"",$A44&amp;""=PMIS_Home!$B$4&amp;""),MAX($J$4:J43)+1,"")</f>
        <v/>
      </c>
    </row>
    <row r="45" spans="1:10" ht="13.5" customHeight="1">
      <c r="A45" s="35" t="s">
        <v>441</v>
      </c>
      <c r="B45" s="35" t="s">
        <v>713</v>
      </c>
      <c r="C45" s="35" t="s">
        <v>369</v>
      </c>
      <c r="D45" s="35" t="s">
        <v>370</v>
      </c>
      <c r="E45" s="13"/>
      <c r="F45" s="13"/>
      <c r="G45" s="13"/>
      <c r="H45" s="35" t="s">
        <v>235</v>
      </c>
      <c r="I45" s="35" t="s">
        <v>448</v>
      </c>
      <c r="J45" s="73" t="str">
        <f>IF(AND($A45&lt;&gt;"",$A45&amp;""=PMIS_Home!$B$4&amp;""),MAX($J$4:J44)+1,"")</f>
        <v/>
      </c>
    </row>
    <row r="46" spans="1:10" ht="13.5" customHeight="1">
      <c r="A46" s="35" t="s">
        <v>384</v>
      </c>
      <c r="B46" s="35" t="s">
        <v>714</v>
      </c>
      <c r="C46" s="35" t="s">
        <v>369</v>
      </c>
      <c r="D46" s="35" t="s">
        <v>370</v>
      </c>
      <c r="E46" s="13"/>
      <c r="F46" s="13"/>
      <c r="G46" s="13"/>
      <c r="H46" s="35" t="s">
        <v>235</v>
      </c>
      <c r="I46" s="35" t="s">
        <v>449</v>
      </c>
      <c r="J46" s="73" t="str">
        <f>IF(AND($A46&lt;&gt;"",$A46&amp;""=PMIS_Home!$B$4&amp;""),MAX($J$4:J45)+1,"")</f>
        <v/>
      </c>
    </row>
    <row r="47" spans="1:10" ht="13.5" customHeight="1">
      <c r="A47" s="35" t="s">
        <v>385</v>
      </c>
      <c r="B47" s="35" t="s">
        <v>450</v>
      </c>
      <c r="C47" s="35" t="s">
        <v>396</v>
      </c>
      <c r="D47" s="35" t="s">
        <v>451</v>
      </c>
      <c r="E47" s="13"/>
      <c r="F47" s="13"/>
      <c r="G47" s="13"/>
      <c r="H47" s="35" t="s">
        <v>235</v>
      </c>
      <c r="I47" s="35" t="s">
        <v>412</v>
      </c>
      <c r="J47" s="73" t="str">
        <f>IF(AND($A47&lt;&gt;"",$A47&amp;""=PMIS_Home!$B$4&amp;""),MAX($J$4:J46)+1,"")</f>
        <v/>
      </c>
    </row>
    <row r="48" spans="1:10" ht="13.5" customHeight="1">
      <c r="A48" s="35" t="s">
        <v>388</v>
      </c>
      <c r="B48" s="35" t="s">
        <v>714</v>
      </c>
      <c r="C48" s="35" t="s">
        <v>396</v>
      </c>
      <c r="D48" s="35" t="s">
        <v>396</v>
      </c>
      <c r="E48" s="13"/>
      <c r="F48" s="13"/>
      <c r="G48" s="13"/>
      <c r="H48" s="35" t="s">
        <v>235</v>
      </c>
      <c r="I48" s="35" t="s">
        <v>382</v>
      </c>
      <c r="J48" s="73" t="str">
        <f>IF(AND($A48&lt;&gt;"",$A48&amp;""=PMIS_Home!$B$4&amp;""),MAX($J$4:J47)+1,"")</f>
        <v/>
      </c>
    </row>
    <row r="49" spans="1:10" ht="16.5" customHeight="1">
      <c r="A49" s="35" t="s">
        <v>452</v>
      </c>
      <c r="B49" s="35" t="s">
        <v>591</v>
      </c>
      <c r="C49" s="35" t="s">
        <v>396</v>
      </c>
      <c r="D49" s="35" t="s">
        <v>396</v>
      </c>
      <c r="E49" s="13"/>
      <c r="F49" s="13"/>
      <c r="G49" s="13"/>
      <c r="H49" s="35" t="s">
        <v>235</v>
      </c>
      <c r="I49" s="35" t="s">
        <v>453</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defaultColWidth="8.7109375" defaultRowHeight="15"/>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65" customHeight="1">
      <c r="A1" s="58" t="s">
        <v>715</v>
      </c>
      <c r="B1" s="58"/>
      <c r="C1" s="58"/>
      <c r="D1" s="58"/>
      <c r="E1" s="58"/>
      <c r="F1" s="58"/>
      <c r="G1" s="58"/>
      <c r="H1" s="58"/>
      <c r="I1" s="58"/>
      <c r="J1" s="58"/>
      <c r="K1" s="58"/>
      <c r="L1" s="58"/>
    </row>
    <row r="2" spans="1:12" ht="34.5" customHeight="1">
      <c r="A2" s="16" t="s">
        <v>716</v>
      </c>
      <c r="B2" s="16"/>
      <c r="C2" s="16"/>
      <c r="D2" s="16"/>
      <c r="E2" s="16"/>
      <c r="F2" s="16"/>
      <c r="G2" s="16"/>
      <c r="H2" s="16"/>
      <c r="I2" s="16"/>
      <c r="J2" s="16"/>
      <c r="K2" s="16"/>
      <c r="L2" s="16"/>
    </row>
    <row r="4" spans="1:12" ht="6.95" customHeight="1">
      <c r="A4" s="50" t="s">
        <v>142</v>
      </c>
      <c r="B4" s="50" t="s">
        <v>302</v>
      </c>
      <c r="C4" s="50" t="s">
        <v>303</v>
      </c>
      <c r="D4" s="50" t="s">
        <v>304</v>
      </c>
      <c r="E4" s="50" t="s">
        <v>305</v>
      </c>
      <c r="F4" s="50" t="s">
        <v>306</v>
      </c>
      <c r="G4" s="50" t="s">
        <v>307</v>
      </c>
      <c r="H4" s="50" t="s">
        <v>11</v>
      </c>
      <c r="I4" s="61" t="s">
        <v>344</v>
      </c>
    </row>
    <row r="5" spans="1:12" ht="8.4499999999999993" customHeight="1">
      <c r="A5" s="13" t="s">
        <v>394</v>
      </c>
      <c r="B5" s="13" t="s">
        <v>189</v>
      </c>
      <c r="C5" s="13" t="s">
        <v>457</v>
      </c>
      <c r="D5" s="13" t="s">
        <v>717</v>
      </c>
      <c r="E5" s="13"/>
      <c r="F5" s="13"/>
      <c r="G5" s="13" t="s">
        <v>718</v>
      </c>
      <c r="H5" s="13"/>
      <c r="I5" s="114">
        <f>IF(AND($A5&lt;&gt;"",OR($A5&amp;""=PMIS_Home!$B$4&amp;"",$A5&amp;""="Campus")),MAX($I$4:I4)+1,"")</f>
        <v>1</v>
      </c>
    </row>
    <row r="6" spans="1:12" ht="8.4499999999999993" customHeight="1">
      <c r="A6" s="13" t="s">
        <v>394</v>
      </c>
      <c r="B6" s="13" t="s">
        <v>191</v>
      </c>
      <c r="C6" s="13" t="s">
        <v>241</v>
      </c>
      <c r="D6" s="13" t="s">
        <v>719</v>
      </c>
      <c r="E6" s="13"/>
      <c r="F6" s="13"/>
      <c r="G6" s="13" t="s">
        <v>720</v>
      </c>
      <c r="H6" s="13"/>
      <c r="I6" s="114">
        <f>IF(AND($A6&lt;&gt;"",OR($A6&amp;""=PMIS_Home!$B$4&amp;"",$A6&amp;""="Campus")),MAX($I$4:I5)+1,"")</f>
        <v>2</v>
      </c>
    </row>
    <row r="7" spans="1:12" ht="6.95" customHeight="1">
      <c r="A7" s="13" t="s">
        <v>394</v>
      </c>
      <c r="B7" s="13" t="s">
        <v>721</v>
      </c>
      <c r="C7" s="13" t="s">
        <v>241</v>
      </c>
      <c r="D7" s="13" t="s">
        <v>478</v>
      </c>
      <c r="E7" s="13"/>
      <c r="F7" s="13"/>
      <c r="G7" s="13" t="s">
        <v>722</v>
      </c>
      <c r="H7" s="13"/>
      <c r="I7" s="114">
        <f>IF(AND($A7&lt;&gt;"",OR($A7&amp;""=PMIS_Home!$B$4&amp;"",$A7&amp;""="Campus")),MAX($I$4:I6)+1,"")</f>
        <v>3</v>
      </c>
    </row>
    <row r="8" spans="1:12" ht="6.95" customHeight="1">
      <c r="A8" s="13"/>
      <c r="B8" s="13"/>
      <c r="C8" s="13"/>
      <c r="D8" s="13"/>
      <c r="E8" s="13"/>
      <c r="F8" s="13"/>
      <c r="G8" s="13"/>
      <c r="H8" s="13"/>
      <c r="I8" s="114" t="str">
        <f>IF(AND($A8&lt;&gt;"",OR($A8&amp;""=PMIS_Home!$B$4&amp;"",$A8&amp;""="Campus")),MAX($I$4:I7)+1,"")</f>
        <v/>
      </c>
    </row>
    <row r="9" spans="1:12" ht="6.95" customHeight="1">
      <c r="A9" s="13"/>
      <c r="B9" s="13"/>
      <c r="C9" s="13"/>
      <c r="D9" s="13"/>
      <c r="E9" s="13"/>
      <c r="F9" s="13"/>
      <c r="G9" s="13"/>
      <c r="H9" s="13"/>
      <c r="I9" s="114" t="str">
        <f>IF(AND($A9&lt;&gt;"",OR($A9&amp;""=PMIS_Home!$B$4&amp;"",$A9&amp;""="Campus")),MAX($I$4:I8)+1,"")</f>
        <v/>
      </c>
    </row>
    <row r="10" spans="1:12" ht="6.95" customHeight="1">
      <c r="A10" s="13"/>
      <c r="B10" s="13"/>
      <c r="C10" s="13"/>
      <c r="D10" s="13"/>
      <c r="E10" s="13"/>
      <c r="F10" s="13"/>
      <c r="G10" s="13"/>
      <c r="H10" s="13"/>
      <c r="I10" s="114" t="str">
        <f>IF(AND($A10&lt;&gt;"",OR($A10&amp;""=PMIS_Home!$B$4&amp;"",$A10&amp;""="Campus")),MAX($I$4:I9)+1,"")</f>
        <v/>
      </c>
    </row>
    <row r="11" spans="1:12" ht="6.95" customHeight="1">
      <c r="A11" s="13"/>
      <c r="B11" s="13"/>
      <c r="C11" s="13"/>
      <c r="D11" s="13"/>
      <c r="E11" s="13"/>
      <c r="F11" s="13"/>
      <c r="G11" s="13"/>
      <c r="H11" s="13"/>
      <c r="I11" s="114" t="str">
        <f>IF(AND($A11&lt;&gt;"",OR($A11&amp;""=PMIS_Home!$B$4&amp;"",$A11&amp;""="Campus")),MAX($I$4:I10)+1,"")</f>
        <v/>
      </c>
    </row>
    <row r="12" spans="1:12" ht="6.95" customHeight="1">
      <c r="A12" s="13"/>
      <c r="B12" s="13"/>
      <c r="C12" s="13"/>
      <c r="D12" s="13"/>
      <c r="E12" s="13"/>
      <c r="F12" s="13"/>
      <c r="G12" s="13"/>
      <c r="H12" s="13"/>
      <c r="I12" s="114" t="str">
        <f>IF(AND($A12&lt;&gt;"",OR($A12&amp;""=PMIS_Home!$B$4&amp;"",$A12&amp;""="Campus")),MAX($I$4:I11)+1,"")</f>
        <v/>
      </c>
    </row>
    <row r="13" spans="1:12" ht="6.95" customHeight="1">
      <c r="A13" s="13"/>
      <c r="B13" s="13"/>
      <c r="C13" s="13"/>
      <c r="D13" s="13"/>
      <c r="E13" s="13"/>
      <c r="F13" s="13"/>
      <c r="G13" s="13"/>
      <c r="H13" s="13"/>
      <c r="I13" s="114" t="str">
        <f>IF(AND($A13&lt;&gt;"",OR($A13&amp;""=PMIS_Home!$B$4&amp;"",$A13&amp;""="Campus")),MAX($I$4:I12)+1,"")</f>
        <v/>
      </c>
    </row>
    <row r="14" spans="1:12" ht="6.95" customHeight="1">
      <c r="A14" s="13"/>
      <c r="B14" s="13"/>
      <c r="C14" s="13"/>
      <c r="D14" s="13"/>
      <c r="E14" s="13"/>
      <c r="F14" s="13"/>
      <c r="G14" s="13"/>
      <c r="H14" s="13"/>
      <c r="I14" s="114" t="str">
        <f>IF(AND($A14&lt;&gt;"",OR($A14&amp;""=PMIS_Home!$B$4&amp;"",$A14&amp;""="Campus")),MAX($I$4:I13)+1,"")</f>
        <v/>
      </c>
    </row>
    <row r="15" spans="1:12" ht="6.95" customHeight="1">
      <c r="A15" s="13"/>
      <c r="B15" s="13"/>
      <c r="C15" s="13"/>
      <c r="D15" s="13"/>
      <c r="E15" s="13"/>
      <c r="F15" s="13"/>
      <c r="G15" s="13"/>
      <c r="H15" s="13"/>
      <c r="I15" s="114" t="str">
        <f>IF(AND($A15&lt;&gt;"",OR($A15&amp;""=PMIS_Home!$B$4&amp;"",$A15&amp;""="Campus")),MAX($I$4:I14)+1,"")</f>
        <v/>
      </c>
    </row>
    <row r="16" spans="1:12" ht="6.95" customHeight="1">
      <c r="A16" s="13"/>
      <c r="B16" s="13"/>
      <c r="C16" s="13"/>
      <c r="D16" s="13"/>
      <c r="E16" s="13"/>
      <c r="F16" s="13"/>
      <c r="G16" s="13"/>
      <c r="H16" s="13"/>
      <c r="I16" s="114" t="str">
        <f>IF(AND($A16&lt;&gt;"",OR($A16&amp;""=PMIS_Home!$B$4&amp;"",$A16&amp;""="Campus")),MAX($I$4:I15)+1,"")</f>
        <v/>
      </c>
    </row>
    <row r="17" spans="1:9" ht="6.95" customHeight="1">
      <c r="A17" s="13"/>
      <c r="B17" s="13"/>
      <c r="C17" s="13"/>
      <c r="D17" s="13"/>
      <c r="E17" s="13"/>
      <c r="F17" s="13"/>
      <c r="G17" s="13"/>
      <c r="H17" s="13"/>
      <c r="I17" s="114" t="str">
        <f>IF(AND($A17&lt;&gt;"",OR($A17&amp;""=PMIS_Home!$B$4&amp;"",$A17&amp;""="Campus")),MAX($I$4:I16)+1,"")</f>
        <v/>
      </c>
    </row>
    <row r="18" spans="1:9" ht="6.95" customHeight="1">
      <c r="A18" s="13"/>
      <c r="B18" s="13"/>
      <c r="C18" s="13"/>
      <c r="D18" s="13"/>
      <c r="E18" s="13"/>
      <c r="F18" s="13"/>
      <c r="G18" s="13"/>
      <c r="H18" s="13"/>
      <c r="I18" s="114" t="str">
        <f>IF(AND($A18&lt;&gt;"",OR($A18&amp;""=PMIS_Home!$B$4&amp;"",$A18&amp;""="Campus")),MAX($I$4:I17)+1,"")</f>
        <v/>
      </c>
    </row>
    <row r="19" spans="1:9" ht="6.95" customHeight="1">
      <c r="A19" s="13"/>
      <c r="B19" s="13"/>
      <c r="C19" s="13"/>
      <c r="D19" s="13"/>
      <c r="E19" s="13"/>
      <c r="F19" s="13"/>
      <c r="G19" s="13"/>
      <c r="H19" s="13"/>
      <c r="I19" s="114" t="str">
        <f>IF(AND($A19&lt;&gt;"",OR($A19&amp;""=PMIS_Home!$B$4&amp;"",$A19&amp;""="Campus")),MAX($I$4:I18)+1,"")</f>
        <v/>
      </c>
    </row>
    <row r="20" spans="1:9" ht="6.95" customHeight="1">
      <c r="A20" s="13"/>
      <c r="B20" s="13"/>
      <c r="C20" s="13"/>
      <c r="D20" s="13"/>
      <c r="E20" s="13"/>
      <c r="F20" s="13"/>
      <c r="G20" s="13"/>
      <c r="H20" s="13"/>
      <c r="I20" s="114" t="str">
        <f>IF(AND($A20&lt;&gt;"",OR($A20&amp;""=PMIS_Home!$B$4&amp;"",$A20&amp;""="Campus")),MAX($I$4:I19)+1,"")</f>
        <v/>
      </c>
    </row>
    <row r="21" spans="1:9" ht="6.95" customHeight="1">
      <c r="A21" s="13"/>
      <c r="B21" s="13"/>
      <c r="C21" s="13"/>
      <c r="D21" s="13"/>
      <c r="E21" s="13"/>
      <c r="F21" s="13"/>
      <c r="G21" s="13"/>
      <c r="H21" s="13"/>
      <c r="I21" s="114" t="str">
        <f>IF(AND($A21&lt;&gt;"",OR($A21&amp;""=PMIS_Home!$B$4&amp;"",$A21&amp;""="Campus")),MAX($I$4:I20)+1,"")</f>
        <v/>
      </c>
    </row>
    <row r="22" spans="1:9" ht="6.95" customHeight="1">
      <c r="A22" s="13"/>
      <c r="B22" s="13"/>
      <c r="C22" s="13"/>
      <c r="D22" s="13"/>
      <c r="E22" s="13"/>
      <c r="F22" s="13"/>
      <c r="G22" s="13"/>
      <c r="H22" s="13"/>
      <c r="I22" s="114" t="str">
        <f>IF(AND($A22&lt;&gt;"",OR($A22&amp;""=PMIS_Home!$B$4&amp;"",$A22&amp;""="Campus")),MAX($I$4:I21)+1,"")</f>
        <v/>
      </c>
    </row>
    <row r="23" spans="1:9" ht="6.95" customHeight="1">
      <c r="A23" s="13"/>
      <c r="B23" s="13"/>
      <c r="C23" s="13"/>
      <c r="D23" s="13"/>
      <c r="E23" s="13"/>
      <c r="F23" s="13"/>
      <c r="G23" s="13"/>
      <c r="H23" s="13"/>
      <c r="I23" s="114" t="str">
        <f>IF(AND($A23&lt;&gt;"",OR($A23&amp;""=PMIS_Home!$B$4&amp;"",$A23&amp;""="Campus")),MAX($I$4:I22)+1,"")</f>
        <v/>
      </c>
    </row>
    <row r="24" spans="1:9" ht="6.95" customHeight="1">
      <c r="A24" s="13"/>
      <c r="B24" s="13"/>
      <c r="C24" s="13"/>
      <c r="D24" s="13"/>
      <c r="E24" s="13"/>
      <c r="F24" s="13"/>
      <c r="G24" s="13"/>
      <c r="H24" s="13"/>
      <c r="I24" s="114" t="str">
        <f>IF(AND($A24&lt;&gt;"",OR($A24&amp;""=PMIS_Home!$B$4&amp;"",$A24&amp;""="Campus")),MAX($I$4:I23)+1,"")</f>
        <v/>
      </c>
    </row>
    <row r="25" spans="1:9" ht="6.95" customHeight="1">
      <c r="A25" s="13"/>
      <c r="B25" s="13"/>
      <c r="C25" s="13"/>
      <c r="D25" s="13"/>
      <c r="E25" s="13"/>
      <c r="F25" s="13"/>
      <c r="G25" s="13"/>
      <c r="H25" s="13"/>
      <c r="I25" s="114" t="str">
        <f>IF(AND($A25&lt;&gt;"",OR($A25&amp;""=PMIS_Home!$B$4&amp;"",$A25&amp;""="Campus")),MAX($I$4:I24)+1,"")</f>
        <v/>
      </c>
    </row>
    <row r="26" spans="1:9" ht="6.95" customHeight="1">
      <c r="A26" s="13"/>
      <c r="B26" s="13"/>
      <c r="C26" s="13"/>
      <c r="D26" s="13"/>
      <c r="E26" s="13"/>
      <c r="F26" s="13"/>
      <c r="G26" s="13"/>
      <c r="H26" s="13"/>
      <c r="I26" s="114" t="str">
        <f>IF(AND($A26&lt;&gt;"",OR($A26&amp;""=PMIS_Home!$B$4&amp;"",$A26&amp;""="Campus")),MAX($I$4:I25)+1,"")</f>
        <v/>
      </c>
    </row>
    <row r="27" spans="1:9" ht="6.95" customHeight="1">
      <c r="A27" s="13"/>
      <c r="B27" s="13"/>
      <c r="C27" s="13"/>
      <c r="D27" s="13"/>
      <c r="E27" s="13"/>
      <c r="F27" s="13"/>
      <c r="G27" s="13"/>
      <c r="H27" s="13"/>
      <c r="I27" s="114" t="str">
        <f>IF(AND($A27&lt;&gt;"",OR($A27&amp;""=PMIS_Home!$B$4&amp;"",$A27&amp;""="Campus")),MAX($I$4:I26)+1,"")</f>
        <v/>
      </c>
    </row>
    <row r="28" spans="1:9" ht="6.95" customHeight="1">
      <c r="A28" s="13"/>
      <c r="B28" s="13"/>
      <c r="C28" s="13"/>
      <c r="D28" s="13"/>
      <c r="E28" s="13"/>
      <c r="F28" s="13"/>
      <c r="G28" s="13"/>
      <c r="H28" s="13"/>
      <c r="I28" s="114" t="str">
        <f>IF(AND($A28&lt;&gt;"",OR($A28&amp;""=PMIS_Home!$B$4&amp;"",$A28&amp;""="Campus")),MAX($I$4:I27)+1,"")</f>
        <v/>
      </c>
    </row>
    <row r="29" spans="1:9" ht="6.95" customHeight="1">
      <c r="A29" s="13"/>
      <c r="B29" s="13"/>
      <c r="C29" s="13"/>
      <c r="D29" s="13"/>
      <c r="E29" s="13"/>
      <c r="F29" s="13"/>
      <c r="G29" s="13"/>
      <c r="H29" s="13"/>
      <c r="I29" s="114" t="str">
        <f>IF(AND($A29&lt;&gt;"",OR($A29&amp;""=PMIS_Home!$B$4&amp;"",$A29&amp;""="Campus")),MAX($I$4:I28)+1,"")</f>
        <v/>
      </c>
    </row>
    <row r="30" spans="1:9" ht="6.95" customHeight="1">
      <c r="A30" s="13"/>
      <c r="B30" s="13"/>
      <c r="C30" s="13"/>
      <c r="D30" s="13"/>
      <c r="E30" s="13"/>
      <c r="F30" s="13"/>
      <c r="G30" s="13"/>
      <c r="H30" s="13"/>
      <c r="I30" s="114" t="str">
        <f>IF(AND($A30&lt;&gt;"",OR($A30&amp;""=PMIS_Home!$B$4&amp;"",$A30&amp;""="Campus")),MAX($I$4:I29)+1,"")</f>
        <v/>
      </c>
    </row>
    <row r="31" spans="1:9" ht="6.95" customHeight="1">
      <c r="A31" s="13"/>
      <c r="B31" s="13"/>
      <c r="C31" s="13"/>
      <c r="D31" s="13"/>
      <c r="E31" s="13"/>
      <c r="F31" s="13"/>
      <c r="G31" s="13"/>
      <c r="H31" s="13"/>
      <c r="I31" s="114" t="str">
        <f>IF(AND($A31&lt;&gt;"",OR($A31&amp;""=PMIS_Home!$B$4&amp;"",$A31&amp;""="Campus")),MAX($I$4:I30)+1,"")</f>
        <v/>
      </c>
    </row>
    <row r="32" spans="1:9" ht="6.95" customHeight="1">
      <c r="A32" s="13"/>
      <c r="B32" s="13"/>
      <c r="C32" s="13"/>
      <c r="D32" s="13"/>
      <c r="E32" s="13"/>
      <c r="F32" s="13"/>
      <c r="G32" s="13"/>
      <c r="H32" s="13"/>
      <c r="I32" s="114" t="str">
        <f>IF(AND($A32&lt;&gt;"",OR($A32&amp;""=PMIS_Home!$B$4&amp;"",$A32&amp;""="Campus")),MAX($I$4:I31)+1,"")</f>
        <v/>
      </c>
    </row>
    <row r="33" spans="1:9" ht="6.95" customHeight="1">
      <c r="A33" s="13"/>
      <c r="B33" s="13"/>
      <c r="C33" s="13"/>
      <c r="D33" s="13"/>
      <c r="E33" s="13"/>
      <c r="F33" s="13"/>
      <c r="G33" s="13"/>
      <c r="H33" s="13"/>
      <c r="I33" s="114" t="str">
        <f>IF(AND($A33&lt;&gt;"",OR($A33&amp;""=PMIS_Home!$B$4&amp;"",$A33&amp;""="Campus")),MAX($I$4:I32)+1,"")</f>
        <v/>
      </c>
    </row>
    <row r="34" spans="1:9" ht="6.95" customHeight="1">
      <c r="A34" s="13"/>
      <c r="B34" s="13"/>
      <c r="C34" s="13"/>
      <c r="D34" s="13"/>
      <c r="E34" s="13"/>
      <c r="F34" s="13"/>
      <c r="G34" s="13"/>
      <c r="H34" s="13"/>
      <c r="I34" s="114" t="str">
        <f>IF(AND($A34&lt;&gt;"",OR($A34&amp;""=PMIS_Home!$B$4&amp;"",$A34&amp;""="Campus")),MAX($I$4:I33)+1,"")</f>
        <v/>
      </c>
    </row>
    <row r="35" spans="1:9" ht="6.95" customHeight="1">
      <c r="A35" s="13"/>
      <c r="B35" s="13"/>
      <c r="C35" s="13"/>
      <c r="D35" s="13"/>
      <c r="E35" s="13"/>
      <c r="F35" s="13"/>
      <c r="G35" s="13"/>
      <c r="H35" s="13"/>
      <c r="I35" s="114" t="str">
        <f>IF(AND($A35&lt;&gt;"",OR($A35&amp;""=PMIS_Home!$B$4&amp;"",$A35&amp;""="Campus")),MAX($I$4:I34)+1,"")</f>
        <v/>
      </c>
    </row>
    <row r="36" spans="1:9" ht="6.95" customHeight="1">
      <c r="A36" s="13"/>
      <c r="B36" s="13"/>
      <c r="C36" s="13"/>
      <c r="D36" s="13"/>
      <c r="E36" s="13"/>
      <c r="F36" s="13"/>
      <c r="G36" s="13"/>
      <c r="H36" s="13"/>
      <c r="I36" s="114" t="str">
        <f>IF(AND($A36&lt;&gt;"",OR($A36&amp;""=PMIS_Home!$B$4&amp;"",$A36&amp;""="Campus")),MAX($I$4:I35)+1,"")</f>
        <v/>
      </c>
    </row>
    <row r="37" spans="1:9" ht="6.95" customHeight="1">
      <c r="A37" s="13"/>
      <c r="B37" s="13"/>
      <c r="C37" s="13"/>
      <c r="D37" s="13"/>
      <c r="E37" s="13"/>
      <c r="F37" s="13"/>
      <c r="G37" s="13"/>
      <c r="H37" s="13"/>
      <c r="I37" s="114" t="str">
        <f>IF(AND($A37&lt;&gt;"",OR($A37&amp;""=PMIS_Home!$B$4&amp;"",$A37&amp;""="Campus")),MAX($I$4:I36)+1,"")</f>
        <v/>
      </c>
    </row>
    <row r="38" spans="1:9" ht="6.95" customHeight="1">
      <c r="A38" s="13"/>
      <c r="B38" s="13"/>
      <c r="C38" s="13"/>
      <c r="D38" s="13"/>
      <c r="E38" s="13"/>
      <c r="F38" s="13"/>
      <c r="G38" s="13"/>
      <c r="H38" s="13"/>
      <c r="I38" s="114" t="str">
        <f>IF(AND($A38&lt;&gt;"",OR($A38&amp;""=PMIS_Home!$B$4&amp;"",$A38&amp;""="Campus")),MAX($I$4:I37)+1,"")</f>
        <v/>
      </c>
    </row>
    <row r="39" spans="1:9" ht="6.95" customHeight="1">
      <c r="A39" s="13"/>
      <c r="B39" s="13"/>
      <c r="C39" s="13"/>
      <c r="D39" s="13"/>
      <c r="E39" s="13"/>
      <c r="F39" s="13"/>
      <c r="G39" s="13"/>
      <c r="H39" s="13"/>
      <c r="I39" s="114" t="str">
        <f>IF(AND($A39&lt;&gt;"",OR($A39&amp;""=PMIS_Home!$B$4&amp;"",$A39&amp;""="Campus")),MAX($I$4:I38)+1,"")</f>
        <v/>
      </c>
    </row>
    <row r="40" spans="1:9" ht="6.95" customHeight="1">
      <c r="A40" s="13"/>
      <c r="B40" s="13"/>
      <c r="C40" s="13"/>
      <c r="D40" s="13"/>
      <c r="E40" s="13"/>
      <c r="F40" s="13"/>
      <c r="G40" s="13"/>
      <c r="H40" s="13"/>
      <c r="I40" s="114" t="str">
        <f>IF(AND($A40&lt;&gt;"",OR($A40&amp;""=PMIS_Home!$B$4&amp;"",$A40&amp;""="Campus")),MAX($I$4:I39)+1,"")</f>
        <v/>
      </c>
    </row>
    <row r="41" spans="1:9" ht="6.95" customHeight="1">
      <c r="A41" s="13"/>
      <c r="B41" s="13"/>
      <c r="C41" s="13"/>
      <c r="D41" s="13"/>
      <c r="E41" s="13"/>
      <c r="F41" s="13"/>
      <c r="G41" s="13"/>
      <c r="H41" s="13"/>
      <c r="I41" s="114" t="str">
        <f>IF(AND($A41&lt;&gt;"",OR($A41&amp;""=PMIS_Home!$B$4&amp;"",$A41&amp;""="Campus")),MAX($I$4:I40)+1,"")</f>
        <v/>
      </c>
    </row>
    <row r="42" spans="1:9" ht="6.95" customHeight="1">
      <c r="A42" s="13"/>
      <c r="B42" s="13"/>
      <c r="C42" s="13"/>
      <c r="D42" s="13"/>
      <c r="E42" s="13"/>
      <c r="F42" s="13"/>
      <c r="G42" s="13"/>
      <c r="H42" s="13"/>
      <c r="I42" s="114" t="str">
        <f>IF(AND($A42&lt;&gt;"",OR($A42&amp;""=PMIS_Home!$B$4&amp;"",$A42&amp;""="Campus")),MAX($I$4:I41)+1,"")</f>
        <v/>
      </c>
    </row>
    <row r="43" spans="1:9" ht="6.95" customHeight="1">
      <c r="A43" s="13"/>
      <c r="B43" s="13"/>
      <c r="C43" s="13"/>
      <c r="D43" s="13"/>
      <c r="E43" s="13"/>
      <c r="F43" s="13"/>
      <c r="G43" s="13"/>
      <c r="H43" s="13"/>
      <c r="I43" s="114" t="str">
        <f>IF(AND($A43&lt;&gt;"",OR($A43&amp;""=PMIS_Home!$B$4&amp;"",$A43&amp;""="Campus")),MAX($I$4:I42)+1,"")</f>
        <v/>
      </c>
    </row>
    <row r="44" spans="1:9" ht="6.95" customHeight="1">
      <c r="A44" s="13"/>
      <c r="B44" s="13"/>
      <c r="C44" s="13"/>
      <c r="D44" s="13"/>
      <c r="E44" s="13"/>
      <c r="F44" s="13"/>
      <c r="G44" s="13"/>
      <c r="H44" s="13"/>
      <c r="I44" s="114" t="str">
        <f>IF(AND($A44&lt;&gt;"",OR($A44&amp;""=PMIS_Home!$B$4&amp;"",$A44&amp;""="Campus")),MAX($I$4:I43)+1,"")</f>
        <v/>
      </c>
    </row>
    <row r="45" spans="1:9" ht="6.95" customHeight="1">
      <c r="A45" s="13"/>
      <c r="B45" s="13"/>
      <c r="C45" s="13"/>
      <c r="D45" s="13"/>
      <c r="E45" s="13"/>
      <c r="F45" s="13"/>
      <c r="G45" s="13"/>
      <c r="H45" s="13"/>
      <c r="I45" s="114" t="str">
        <f>IF(AND($A45&lt;&gt;"",OR($A45&amp;""=PMIS_Home!$B$4&amp;"",$A45&amp;""="Campus")),MAX($I$4:I44)+1,"")</f>
        <v/>
      </c>
    </row>
    <row r="46" spans="1:9" ht="6.95" customHeight="1">
      <c r="A46" s="13"/>
      <c r="B46" s="13"/>
      <c r="C46" s="13"/>
      <c r="D46" s="13"/>
      <c r="E46" s="13"/>
      <c r="F46" s="13"/>
      <c r="G46" s="13"/>
      <c r="H46" s="13"/>
      <c r="I46" s="114" t="str">
        <f>IF(AND($A46&lt;&gt;"",OR($A46&amp;""=PMIS_Home!$B$4&amp;"",$A46&amp;""="Campus")),MAX($I$4:I45)+1,"")</f>
        <v/>
      </c>
    </row>
    <row r="47" spans="1:9" ht="6.95" customHeight="1">
      <c r="A47" s="13"/>
      <c r="B47" s="13"/>
      <c r="C47" s="13"/>
      <c r="D47" s="13"/>
      <c r="E47" s="13"/>
      <c r="F47" s="13"/>
      <c r="G47" s="13"/>
      <c r="H47" s="13"/>
      <c r="I47" s="114" t="str">
        <f>IF(AND($A47&lt;&gt;"",OR($A47&amp;""=PMIS_Home!$B$4&amp;"",$A47&amp;""="Campus")),MAX($I$4:I46)+1,"")</f>
        <v/>
      </c>
    </row>
    <row r="48" spans="1:9" ht="6.95" customHeight="1">
      <c r="A48" s="13"/>
      <c r="B48" s="13"/>
      <c r="C48" s="13"/>
      <c r="D48" s="13"/>
      <c r="E48" s="13"/>
      <c r="F48" s="13"/>
      <c r="G48" s="13"/>
      <c r="H48" s="13"/>
      <c r="I48" s="114" t="str">
        <f>IF(AND($A48&lt;&gt;"",OR($A48&amp;""=PMIS_Home!$B$4&amp;"",$A48&amp;""="Campus")),MAX($I$4:I47)+1,"")</f>
        <v/>
      </c>
    </row>
    <row r="49" spans="1:9" ht="6.95" customHeight="1">
      <c r="A49" s="13"/>
      <c r="B49" s="13"/>
      <c r="C49" s="13"/>
      <c r="D49" s="13"/>
      <c r="E49" s="13"/>
      <c r="F49" s="13"/>
      <c r="G49" s="13"/>
      <c r="H49" s="13"/>
      <c r="I49" s="114" t="str">
        <f>IF(AND($A49&lt;&gt;"",OR($A49&amp;""=PMIS_Home!$B$4&amp;"",$A49&amp;""="Campus")),MAX($I$4:I48)+1,"")</f>
        <v/>
      </c>
    </row>
    <row r="50" spans="1:9" ht="6.95" customHeight="1">
      <c r="A50" s="13"/>
      <c r="B50" s="13"/>
      <c r="C50" s="13"/>
      <c r="D50" s="13"/>
      <c r="E50" s="13"/>
      <c r="F50" s="13"/>
      <c r="G50" s="13"/>
      <c r="H50" s="13"/>
      <c r="I50" s="114" t="str">
        <f>IF(AND($A50&lt;&gt;"",OR($A50&amp;""=PMIS_Home!$B$4&amp;"",$A50&amp;""="Campus")),MAX($I$4:I49)+1,"")</f>
        <v/>
      </c>
    </row>
    <row r="51" spans="1:9" ht="6.95" customHeight="1">
      <c r="A51" s="13"/>
      <c r="B51" s="13"/>
      <c r="C51" s="13"/>
      <c r="D51" s="13"/>
      <c r="E51" s="13"/>
      <c r="F51" s="13"/>
      <c r="G51" s="13"/>
      <c r="H51" s="13"/>
      <c r="I51" s="114" t="str">
        <f>IF(AND($A51&lt;&gt;"",OR($A51&amp;""=PMIS_Home!$B$4&amp;"",$A51&amp;""="Campus")),MAX($I$4:I50)+1,"")</f>
        <v/>
      </c>
    </row>
    <row r="52" spans="1:9" ht="6.95" customHeight="1">
      <c r="A52" s="13"/>
      <c r="B52" s="13"/>
      <c r="C52" s="13"/>
      <c r="D52" s="13"/>
      <c r="E52" s="13"/>
      <c r="F52" s="13"/>
      <c r="G52" s="13"/>
      <c r="H52" s="13"/>
      <c r="I52" s="114" t="str">
        <f>IF(AND($A52&lt;&gt;"",OR($A52&amp;""=PMIS_Home!$B$4&amp;"",$A52&amp;""="Campus")),MAX($I$4:I51)+1,"")</f>
        <v/>
      </c>
    </row>
    <row r="53" spans="1:9" ht="6.95" customHeight="1">
      <c r="A53" s="13"/>
      <c r="B53" s="13"/>
      <c r="C53" s="13"/>
      <c r="D53" s="13"/>
      <c r="E53" s="13"/>
      <c r="F53" s="13"/>
      <c r="G53" s="13"/>
      <c r="H53" s="13"/>
      <c r="I53" s="114" t="str">
        <f>IF(AND($A53&lt;&gt;"",OR($A53&amp;""=PMIS_Home!$B$4&amp;"",$A53&amp;""="Campus")),MAX($I$4:I52)+1,"")</f>
        <v/>
      </c>
    </row>
    <row r="54" spans="1:9" ht="6.95" customHeight="1">
      <c r="A54" s="13"/>
      <c r="B54" s="13"/>
      <c r="C54" s="13"/>
      <c r="D54" s="13"/>
      <c r="E54" s="13"/>
      <c r="F54" s="13"/>
      <c r="G54" s="13"/>
      <c r="H54" s="13"/>
      <c r="I54" s="114" t="str">
        <f>IF(AND($A54&lt;&gt;"",OR($A54&amp;""=PMIS_Home!$B$4&amp;"",$A54&amp;""="Campus")),MAX($I$4:I53)+1,"")</f>
        <v/>
      </c>
    </row>
    <row r="55" spans="1:9" ht="6.95" customHeight="1">
      <c r="A55" s="13"/>
      <c r="B55" s="13"/>
      <c r="C55" s="13"/>
      <c r="D55" s="13"/>
      <c r="E55" s="13"/>
      <c r="F55" s="13"/>
      <c r="G55" s="13"/>
      <c r="H55" s="13"/>
      <c r="I55" s="114" t="str">
        <f>IF(AND($A55&lt;&gt;"",OR($A55&amp;""=PMIS_Home!$B$4&amp;"",$A55&amp;""="Campus")),MAX($I$4:I54)+1,"")</f>
        <v/>
      </c>
    </row>
    <row r="56" spans="1:9" ht="6.95" customHeight="1">
      <c r="A56" s="13"/>
      <c r="B56" s="13"/>
      <c r="C56" s="13"/>
      <c r="D56" s="13"/>
      <c r="E56" s="13"/>
      <c r="F56" s="13"/>
      <c r="G56" s="13"/>
      <c r="H56" s="13"/>
      <c r="I56" s="114" t="str">
        <f>IF(AND($A56&lt;&gt;"",OR($A56&amp;""=PMIS_Home!$B$4&amp;"",$A56&amp;""="Campus")),MAX($I$4:I55)+1,"")</f>
        <v/>
      </c>
    </row>
    <row r="57" spans="1:9" ht="6.95" customHeight="1">
      <c r="A57" s="13"/>
      <c r="B57" s="13"/>
      <c r="C57" s="13"/>
      <c r="D57" s="13"/>
      <c r="E57" s="13"/>
      <c r="F57" s="13"/>
      <c r="G57" s="13"/>
      <c r="H57" s="13"/>
      <c r="I57" s="114" t="str">
        <f>IF(AND($A57&lt;&gt;"",OR($A57&amp;""=PMIS_Home!$B$4&amp;"",$A57&amp;""="Campus")),MAX($I$4:I56)+1,"")</f>
        <v/>
      </c>
    </row>
    <row r="58" spans="1:9" ht="6.95" customHeight="1">
      <c r="A58" s="13"/>
      <c r="B58" s="13"/>
      <c r="C58" s="13"/>
      <c r="D58" s="13"/>
      <c r="E58" s="13"/>
      <c r="F58" s="13"/>
      <c r="G58" s="13"/>
      <c r="H58" s="13"/>
      <c r="I58" s="114" t="str">
        <f>IF(AND($A58&lt;&gt;"",OR($A58&amp;""=PMIS_Home!$B$4&amp;"",$A58&amp;""="Campus")),MAX($I$4:I57)+1,"")</f>
        <v/>
      </c>
    </row>
    <row r="59" spans="1:9" ht="6.95" customHeight="1">
      <c r="A59" s="13"/>
      <c r="B59" s="13"/>
      <c r="C59" s="13"/>
      <c r="D59" s="13"/>
      <c r="E59" s="13"/>
      <c r="F59" s="13"/>
      <c r="G59" s="13"/>
      <c r="H59" s="13"/>
      <c r="I59" s="114" t="str">
        <f>IF(AND($A59&lt;&gt;"",OR($A59&amp;""=PMIS_Home!$B$4&amp;"",$A59&amp;""="Campus")),MAX($I$4:I58)+1,"")</f>
        <v/>
      </c>
    </row>
    <row r="60" spans="1:9" ht="6.95" customHeight="1">
      <c r="A60" s="13"/>
      <c r="B60" s="13"/>
      <c r="C60" s="13"/>
      <c r="D60" s="13"/>
      <c r="E60" s="13"/>
      <c r="F60" s="13"/>
      <c r="G60" s="13"/>
      <c r="H60" s="13"/>
      <c r="I60" s="114" t="str">
        <f>IF(AND($A60&lt;&gt;"",OR($A60&amp;""=PMIS_Home!$B$4&amp;"",$A60&amp;""="Campus")),MAX($I$4:I59)+1,"")</f>
        <v/>
      </c>
    </row>
    <row r="61" spans="1:9" ht="6.95" customHeight="1">
      <c r="A61" s="13"/>
      <c r="B61" s="13"/>
      <c r="C61" s="13"/>
      <c r="D61" s="13"/>
      <c r="E61" s="13"/>
      <c r="F61" s="13"/>
      <c r="G61" s="13"/>
      <c r="H61" s="13"/>
      <c r="I61" s="114" t="str">
        <f>IF(AND($A61&lt;&gt;"",OR($A61&amp;""=PMIS_Home!$B$4&amp;"",$A61&amp;""="Campus")),MAX($I$4:I60)+1,"")</f>
        <v/>
      </c>
    </row>
    <row r="62" spans="1:9" ht="6.95" customHeight="1">
      <c r="A62" s="13"/>
      <c r="B62" s="13"/>
      <c r="C62" s="13"/>
      <c r="D62" s="13"/>
      <c r="E62" s="13"/>
      <c r="F62" s="13"/>
      <c r="G62" s="13"/>
      <c r="H62" s="13"/>
      <c r="I62" s="114" t="str">
        <f>IF(AND($A62&lt;&gt;"",OR($A62&amp;""=PMIS_Home!$B$4&amp;"",$A62&amp;""="Campus")),MAX($I$4:I61)+1,"")</f>
        <v/>
      </c>
    </row>
    <row r="63" spans="1:9" ht="6.95" customHeight="1">
      <c r="A63" s="13"/>
      <c r="B63" s="13"/>
      <c r="C63" s="13"/>
      <c r="D63" s="13"/>
      <c r="E63" s="13"/>
      <c r="F63" s="13"/>
      <c r="G63" s="13"/>
      <c r="H63" s="13"/>
      <c r="I63" s="114" t="str">
        <f>IF(AND($A63&lt;&gt;"",OR($A63&amp;""=PMIS_Home!$B$4&amp;"",$A63&amp;""="Campus")),MAX($I$4:I62)+1,"")</f>
        <v/>
      </c>
    </row>
    <row r="64" spans="1:9" ht="6.95" customHeight="1">
      <c r="A64" s="13"/>
      <c r="B64" s="13"/>
      <c r="C64" s="13"/>
      <c r="D64" s="13"/>
      <c r="E64" s="13"/>
      <c r="F64" s="13"/>
      <c r="G64" s="13"/>
      <c r="H64" s="13"/>
      <c r="I64" s="114" t="str">
        <f>IF(AND($A64&lt;&gt;"",OR($A64&amp;""=PMIS_Home!$B$4&amp;"",$A64&amp;""="Campus")),MAX($I$4:I63)+1,"")</f>
        <v/>
      </c>
    </row>
    <row r="65" spans="1:9" ht="6.95" customHeight="1">
      <c r="A65" s="13"/>
      <c r="B65" s="13"/>
      <c r="C65" s="13"/>
      <c r="D65" s="13"/>
      <c r="E65" s="13"/>
      <c r="F65" s="13"/>
      <c r="G65" s="13"/>
      <c r="H65" s="13"/>
      <c r="I65" s="114" t="str">
        <f>IF(AND($A65&lt;&gt;"",OR($A65&amp;""=PMIS_Home!$B$4&amp;"",$A65&amp;""="Campus")),MAX($I$4:I64)+1,"")</f>
        <v/>
      </c>
    </row>
    <row r="66" spans="1:9" ht="6.95" customHeight="1">
      <c r="A66" s="13"/>
      <c r="B66" s="13"/>
      <c r="C66" s="13"/>
      <c r="D66" s="13"/>
      <c r="E66" s="13"/>
      <c r="F66" s="13"/>
      <c r="G66" s="13"/>
      <c r="H66" s="13"/>
      <c r="I66" s="114" t="str">
        <f>IF(AND($A66&lt;&gt;"",OR($A66&amp;""=PMIS_Home!$B$4&amp;"",$A66&amp;""="Campus")),MAX($I$4:I65)+1,"")</f>
        <v/>
      </c>
    </row>
    <row r="67" spans="1:9" ht="6.95" customHeight="1">
      <c r="A67" s="13"/>
      <c r="B67" s="13"/>
      <c r="C67" s="13"/>
      <c r="D67" s="13"/>
      <c r="E67" s="13"/>
      <c r="F67" s="13"/>
      <c r="G67" s="13"/>
      <c r="H67" s="13"/>
      <c r="I67" s="114" t="str">
        <f>IF(AND($A67&lt;&gt;"",OR($A67&amp;""=PMIS_Home!$B$4&amp;"",$A67&amp;""="Campus")),MAX($I$4:I66)+1,"")</f>
        <v/>
      </c>
    </row>
    <row r="68" spans="1:9" ht="6.95" customHeight="1">
      <c r="A68" s="13"/>
      <c r="B68" s="13"/>
      <c r="C68" s="13"/>
      <c r="D68" s="13"/>
      <c r="E68" s="13"/>
      <c r="F68" s="13"/>
      <c r="G68" s="13"/>
      <c r="H68" s="13"/>
      <c r="I68" s="114" t="str">
        <f>IF(AND($A68&lt;&gt;"",OR($A68&amp;""=PMIS_Home!$B$4&amp;"",$A68&amp;""="Campus")),MAX($I$4:I67)+1,"")</f>
        <v/>
      </c>
    </row>
    <row r="69" spans="1:9" ht="6.95" customHeight="1">
      <c r="A69" s="13"/>
      <c r="B69" s="13"/>
      <c r="C69" s="13"/>
      <c r="D69" s="13"/>
      <c r="E69" s="13"/>
      <c r="F69" s="13"/>
      <c r="G69" s="13"/>
      <c r="H69" s="13"/>
      <c r="I69" s="114" t="str">
        <f>IF(AND($A69&lt;&gt;"",OR($A69&amp;""=PMIS_Home!$B$4&amp;"",$A69&amp;""="Campus")),MAX($I$4:I68)+1,"")</f>
        <v/>
      </c>
    </row>
    <row r="70" spans="1:9" ht="6.95" customHeight="1">
      <c r="A70" s="13"/>
      <c r="B70" s="13"/>
      <c r="C70" s="13"/>
      <c r="D70" s="13"/>
      <c r="E70" s="13"/>
      <c r="F70" s="13"/>
      <c r="G70" s="13"/>
      <c r="H70" s="13"/>
      <c r="I70" s="114" t="str">
        <f>IF(AND($A70&lt;&gt;"",OR($A70&amp;""=PMIS_Home!$B$4&amp;"",$A70&amp;""="Campus")),MAX($I$4:I69)+1,"")</f>
        <v/>
      </c>
    </row>
    <row r="71" spans="1:9" ht="6.95" customHeight="1">
      <c r="A71" s="13"/>
      <c r="B71" s="13"/>
      <c r="C71" s="13"/>
      <c r="D71" s="13"/>
      <c r="E71" s="13"/>
      <c r="F71" s="13"/>
      <c r="G71" s="13"/>
      <c r="H71" s="13"/>
      <c r="I71" s="114" t="str">
        <f>IF(AND($A71&lt;&gt;"",OR($A71&amp;""=PMIS_Home!$B$4&amp;"",$A71&amp;""="Campus")),MAX($I$4:I70)+1,"")</f>
        <v/>
      </c>
    </row>
    <row r="72" spans="1:9" ht="6.95" customHeight="1">
      <c r="A72" s="13"/>
      <c r="B72" s="13"/>
      <c r="C72" s="13"/>
      <c r="D72" s="13"/>
      <c r="E72" s="13"/>
      <c r="F72" s="13"/>
      <c r="G72" s="13"/>
      <c r="H72" s="13"/>
      <c r="I72" s="114" t="str">
        <f>IF(AND($A72&lt;&gt;"",OR($A72&amp;""=PMIS_Home!$B$4&amp;"",$A72&amp;""="Campus")),MAX($I$4:I71)+1,"")</f>
        <v/>
      </c>
    </row>
    <row r="73" spans="1:9" ht="6.95" customHeight="1">
      <c r="A73" s="13"/>
      <c r="B73" s="13"/>
      <c r="C73" s="13"/>
      <c r="D73" s="13"/>
      <c r="E73" s="13"/>
      <c r="F73" s="13"/>
      <c r="G73" s="13"/>
      <c r="H73" s="13"/>
      <c r="I73" s="114" t="str">
        <f>IF(AND($A73&lt;&gt;"",OR($A73&amp;""=PMIS_Home!$B$4&amp;"",$A73&amp;""="Campus")),MAX($I$4:I72)+1,"")</f>
        <v/>
      </c>
    </row>
    <row r="74" spans="1:9" ht="6.95" customHeight="1">
      <c r="A74" s="13"/>
      <c r="B74" s="13"/>
      <c r="C74" s="13"/>
      <c r="D74" s="13"/>
      <c r="E74" s="13"/>
      <c r="F74" s="13"/>
      <c r="G74" s="13"/>
      <c r="H74" s="13"/>
      <c r="I74" s="114" t="str">
        <f>IF(AND($A74&lt;&gt;"",OR($A74&amp;""=PMIS_Home!$B$4&amp;"",$A74&amp;""="Campus")),MAX($I$4:I73)+1,"")</f>
        <v/>
      </c>
    </row>
    <row r="75" spans="1:9" ht="6.95" customHeight="1">
      <c r="A75" s="13"/>
      <c r="B75" s="13"/>
      <c r="C75" s="13"/>
      <c r="D75" s="13"/>
      <c r="E75" s="13"/>
      <c r="F75" s="13"/>
      <c r="G75" s="13"/>
      <c r="H75" s="13"/>
      <c r="I75" s="114" t="str">
        <f>IF(AND($A75&lt;&gt;"",OR($A75&amp;""=PMIS_Home!$B$4&amp;"",$A75&amp;""="Campus")),MAX($I$4:I74)+1,"")</f>
        <v/>
      </c>
    </row>
    <row r="76" spans="1:9" ht="6.95" customHeight="1">
      <c r="A76" s="13"/>
      <c r="B76" s="13"/>
      <c r="C76" s="13"/>
      <c r="D76" s="13"/>
      <c r="E76" s="13"/>
      <c r="F76" s="13"/>
      <c r="G76" s="13"/>
      <c r="H76" s="13"/>
      <c r="I76" s="114" t="str">
        <f>IF(AND($A76&lt;&gt;"",OR($A76&amp;""=PMIS_Home!$B$4&amp;"",$A76&amp;""="Campus")),MAX($I$4:I75)+1,"")</f>
        <v/>
      </c>
    </row>
    <row r="77" spans="1:9" ht="6.95" customHeight="1">
      <c r="A77" s="13"/>
      <c r="B77" s="13"/>
      <c r="C77" s="13"/>
      <c r="D77" s="13"/>
      <c r="E77" s="13"/>
      <c r="F77" s="13"/>
      <c r="G77" s="13"/>
      <c r="H77" s="13"/>
      <c r="I77" s="114" t="str">
        <f>IF(AND($A77&lt;&gt;"",OR($A77&amp;""=PMIS_Home!$B$4&amp;"",$A77&amp;""="Campus")),MAX($I$4:I76)+1,"")</f>
        <v/>
      </c>
    </row>
    <row r="78" spans="1:9" ht="6.95" customHeight="1">
      <c r="A78" s="13"/>
      <c r="B78" s="13"/>
      <c r="C78" s="13"/>
      <c r="D78" s="13"/>
      <c r="E78" s="13"/>
      <c r="F78" s="13"/>
      <c r="G78" s="13"/>
      <c r="H78" s="13"/>
      <c r="I78" s="114" t="str">
        <f>IF(AND($A78&lt;&gt;"",OR($A78&amp;""=PMIS_Home!$B$4&amp;"",$A78&amp;""="Campus")),MAX($I$4:I77)+1,"")</f>
        <v/>
      </c>
    </row>
    <row r="79" spans="1:9" ht="6.95" customHeight="1">
      <c r="A79" s="13"/>
      <c r="B79" s="13"/>
      <c r="C79" s="13"/>
      <c r="D79" s="13"/>
      <c r="E79" s="13"/>
      <c r="F79" s="13"/>
      <c r="G79" s="13"/>
      <c r="H79" s="13"/>
      <c r="I79" s="114" t="str">
        <f>IF(AND($A79&lt;&gt;"",OR($A79&amp;""=PMIS_Home!$B$4&amp;"",$A79&amp;""="Campus")),MAX($I$4:I78)+1,"")</f>
        <v/>
      </c>
    </row>
    <row r="80" spans="1:9" ht="6.95" customHeight="1">
      <c r="A80" s="13"/>
      <c r="B80" s="13"/>
      <c r="C80" s="13"/>
      <c r="D80" s="13"/>
      <c r="E80" s="13"/>
      <c r="F80" s="13"/>
      <c r="G80" s="13"/>
      <c r="H80" s="13"/>
      <c r="I80" s="114" t="str">
        <f>IF(AND($A80&lt;&gt;"",OR($A80&amp;""=PMIS_Home!$B$4&amp;"",$A80&amp;""="Campus")),MAX($I$4:I79)+1,"")</f>
        <v/>
      </c>
    </row>
    <row r="81" spans="1:9" ht="6.95" customHeight="1">
      <c r="A81" s="13"/>
      <c r="B81" s="13"/>
      <c r="C81" s="13"/>
      <c r="D81" s="13"/>
      <c r="E81" s="13"/>
      <c r="F81" s="13"/>
      <c r="G81" s="13"/>
      <c r="H81" s="13"/>
      <c r="I81" s="114" t="str">
        <f>IF(AND($A81&lt;&gt;"",OR($A81&amp;""=PMIS_Home!$B$4&amp;"",$A81&amp;""="Campus")),MAX($I$4:I80)+1,"")</f>
        <v/>
      </c>
    </row>
    <row r="82" spans="1:9" ht="6.95" customHeight="1">
      <c r="A82" s="13"/>
      <c r="B82" s="13"/>
      <c r="C82" s="13"/>
      <c r="D82" s="13"/>
      <c r="E82" s="13"/>
      <c r="F82" s="13"/>
      <c r="G82" s="13"/>
      <c r="H82" s="13"/>
      <c r="I82" s="114" t="str">
        <f>IF(AND($A82&lt;&gt;"",OR($A82&amp;""=PMIS_Home!$B$4&amp;"",$A82&amp;""="Campus")),MAX($I$4:I81)+1,"")</f>
        <v/>
      </c>
    </row>
    <row r="83" spans="1:9" ht="6.95" customHeight="1">
      <c r="A83" s="13"/>
      <c r="B83" s="13"/>
      <c r="C83" s="13"/>
      <c r="D83" s="13"/>
      <c r="E83" s="13"/>
      <c r="F83" s="13"/>
      <c r="G83" s="13"/>
      <c r="H83" s="13"/>
      <c r="I83" s="114" t="str">
        <f>IF(AND($A83&lt;&gt;"",OR($A83&amp;""=PMIS_Home!$B$4&amp;"",$A83&amp;""="Campus")),MAX($I$4:I82)+1,"")</f>
        <v/>
      </c>
    </row>
    <row r="84" spans="1:9" ht="6.95" customHeight="1">
      <c r="A84" s="13"/>
      <c r="B84" s="13"/>
      <c r="C84" s="13"/>
      <c r="D84" s="13"/>
      <c r="E84" s="13"/>
      <c r="F84" s="13"/>
      <c r="G84" s="13"/>
      <c r="H84" s="13"/>
      <c r="I84" s="114" t="str">
        <f>IF(AND($A84&lt;&gt;"",OR($A84&amp;""=PMIS_Home!$B$4&amp;"",$A84&amp;""="Campus")),MAX($I$4:I83)+1,"")</f>
        <v/>
      </c>
    </row>
    <row r="85" spans="1:9" ht="6.95" customHeight="1">
      <c r="A85" s="13"/>
      <c r="B85" s="13"/>
      <c r="C85" s="13"/>
      <c r="D85" s="13"/>
      <c r="E85" s="13"/>
      <c r="F85" s="13"/>
      <c r="G85" s="13"/>
      <c r="H85" s="13"/>
      <c r="I85" s="114" t="str">
        <f>IF(AND($A85&lt;&gt;"",OR($A85&amp;""=PMIS_Home!$B$4&amp;"",$A85&amp;""="Campus")),MAX($I$4:I84)+1,"")</f>
        <v/>
      </c>
    </row>
    <row r="86" spans="1:9" ht="6.95" customHeight="1">
      <c r="A86" s="13"/>
      <c r="B86" s="13"/>
      <c r="C86" s="13"/>
      <c r="D86" s="13"/>
      <c r="E86" s="13"/>
      <c r="F86" s="13"/>
      <c r="G86" s="13"/>
      <c r="H86" s="13"/>
      <c r="I86" s="114" t="str">
        <f>IF(AND($A86&lt;&gt;"",OR($A86&amp;""=PMIS_Home!$B$4&amp;"",$A86&amp;""="Campus")),MAX($I$4:I85)+1,"")</f>
        <v/>
      </c>
    </row>
    <row r="87" spans="1:9" ht="6.95" customHeight="1">
      <c r="A87" s="13"/>
      <c r="B87" s="13"/>
      <c r="C87" s="13"/>
      <c r="D87" s="13"/>
      <c r="E87" s="13"/>
      <c r="F87" s="13"/>
      <c r="G87" s="13"/>
      <c r="H87" s="13"/>
      <c r="I87" s="114" t="str">
        <f>IF(AND($A87&lt;&gt;"",OR($A87&amp;""=PMIS_Home!$B$4&amp;"",$A87&amp;""="Campus")),MAX($I$4:I86)+1,"")</f>
        <v/>
      </c>
    </row>
    <row r="88" spans="1:9" ht="6.95" customHeight="1">
      <c r="A88" s="13"/>
      <c r="B88" s="13"/>
      <c r="C88" s="13"/>
      <c r="D88" s="13"/>
      <c r="E88" s="13"/>
      <c r="F88" s="13"/>
      <c r="G88" s="13"/>
      <c r="H88" s="13"/>
      <c r="I88" s="114" t="str">
        <f>IF(AND($A88&lt;&gt;"",OR($A88&amp;""=PMIS_Home!$B$4&amp;"",$A88&amp;""="Campus")),MAX($I$4:I87)+1,"")</f>
        <v/>
      </c>
    </row>
    <row r="89" spans="1:9" ht="6.95" customHeight="1">
      <c r="A89" s="13"/>
      <c r="B89" s="13"/>
      <c r="C89" s="13"/>
      <c r="D89" s="13"/>
      <c r="E89" s="13"/>
      <c r="F89" s="13"/>
      <c r="G89" s="13"/>
      <c r="H89" s="13"/>
      <c r="I89" s="114" t="str">
        <f>IF(AND($A89&lt;&gt;"",OR($A89&amp;""=PMIS_Home!$B$4&amp;"",$A89&amp;""="Campus")),MAX($I$4:I88)+1,"")</f>
        <v/>
      </c>
    </row>
    <row r="90" spans="1:9" ht="6.95" customHeight="1">
      <c r="A90" s="13"/>
      <c r="B90" s="13"/>
      <c r="C90" s="13"/>
      <c r="D90" s="13"/>
      <c r="E90" s="13"/>
      <c r="F90" s="13"/>
      <c r="G90" s="13"/>
      <c r="H90" s="13"/>
      <c r="I90" s="114" t="str">
        <f>IF(AND($A90&lt;&gt;"",OR($A90&amp;""=PMIS_Home!$B$4&amp;"",$A90&amp;""="Campus")),MAX($I$4:I89)+1,"")</f>
        <v/>
      </c>
    </row>
    <row r="91" spans="1:9" ht="6.95" customHeight="1">
      <c r="A91" s="13"/>
      <c r="B91" s="13"/>
      <c r="C91" s="13"/>
      <c r="D91" s="13"/>
      <c r="E91" s="13"/>
      <c r="F91" s="13"/>
      <c r="G91" s="13"/>
      <c r="H91" s="13"/>
      <c r="I91" s="114" t="str">
        <f>IF(AND($A91&lt;&gt;"",OR($A91&amp;""=PMIS_Home!$B$4&amp;"",$A91&amp;""="Campus")),MAX($I$4:I90)+1,"")</f>
        <v/>
      </c>
    </row>
    <row r="92" spans="1:9" ht="6.95" customHeight="1">
      <c r="A92" s="13"/>
      <c r="B92" s="13"/>
      <c r="C92" s="13"/>
      <c r="D92" s="13"/>
      <c r="E92" s="13"/>
      <c r="F92" s="13"/>
      <c r="G92" s="13"/>
      <c r="H92" s="13"/>
      <c r="I92" s="114" t="str">
        <f>IF(AND($A92&lt;&gt;"",OR($A92&amp;""=PMIS_Home!$B$4&amp;"",$A92&amp;""="Campus")),MAX($I$4:I91)+1,"")</f>
        <v/>
      </c>
    </row>
    <row r="93" spans="1:9" ht="6.95" customHeight="1">
      <c r="A93" s="13"/>
      <c r="B93" s="13"/>
      <c r="C93" s="13"/>
      <c r="D93" s="13"/>
      <c r="E93" s="13"/>
      <c r="F93" s="13"/>
      <c r="G93" s="13"/>
      <c r="H93" s="13"/>
      <c r="I93" s="114" t="str">
        <f>IF(AND($A93&lt;&gt;"",OR($A93&amp;""=PMIS_Home!$B$4&amp;"",$A93&amp;""="Campus")),MAX($I$4:I92)+1,"")</f>
        <v/>
      </c>
    </row>
    <row r="94" spans="1:9" ht="6.95" customHeight="1">
      <c r="A94" s="13"/>
      <c r="B94" s="13"/>
      <c r="C94" s="13"/>
      <c r="D94" s="13"/>
      <c r="E94" s="13"/>
      <c r="F94" s="13"/>
      <c r="G94" s="13"/>
      <c r="H94" s="13"/>
      <c r="I94" s="114" t="str">
        <f>IF(AND($A94&lt;&gt;"",OR($A94&amp;""=PMIS_Home!$B$4&amp;"",$A94&amp;""="Campus")),MAX($I$4:I93)+1,"")</f>
        <v/>
      </c>
    </row>
    <row r="95" spans="1:9" ht="6.95" customHeight="1">
      <c r="A95" s="13"/>
      <c r="B95" s="13"/>
      <c r="C95" s="13"/>
      <c r="D95" s="13"/>
      <c r="E95" s="13"/>
      <c r="F95" s="13"/>
      <c r="G95" s="13"/>
      <c r="H95" s="13"/>
      <c r="I95" s="114" t="str">
        <f>IF(AND($A95&lt;&gt;"",OR($A95&amp;""=PMIS_Home!$B$4&amp;"",$A95&amp;""="Campus")),MAX($I$4:I94)+1,"")</f>
        <v/>
      </c>
    </row>
    <row r="96" spans="1:9" ht="6.95" customHeight="1">
      <c r="A96" s="13"/>
      <c r="B96" s="13"/>
      <c r="C96" s="13"/>
      <c r="D96" s="13"/>
      <c r="E96" s="13"/>
      <c r="F96" s="13"/>
      <c r="G96" s="13"/>
      <c r="H96" s="13"/>
      <c r="I96" s="114" t="str">
        <f>IF(AND($A96&lt;&gt;"",OR($A96&amp;""=PMIS_Home!$B$4&amp;"",$A96&amp;""="Campus")),MAX($I$4:I95)+1,"")</f>
        <v/>
      </c>
    </row>
    <row r="97" spans="1:9" ht="6.95" customHeight="1">
      <c r="A97" s="13"/>
      <c r="B97" s="13"/>
      <c r="C97" s="13"/>
      <c r="D97" s="13"/>
      <c r="E97" s="13"/>
      <c r="F97" s="13"/>
      <c r="G97" s="13"/>
      <c r="H97" s="13"/>
      <c r="I97" s="114" t="str">
        <f>IF(AND($A97&lt;&gt;"",OR($A97&amp;""=PMIS_Home!$B$4&amp;"",$A97&amp;""="Campus")),MAX($I$4:I96)+1,"")</f>
        <v/>
      </c>
    </row>
    <row r="98" spans="1:9" ht="6.95" customHeight="1">
      <c r="A98" s="13"/>
      <c r="B98" s="13"/>
      <c r="C98" s="13"/>
      <c r="D98" s="13"/>
      <c r="E98" s="13"/>
      <c r="F98" s="13"/>
      <c r="G98" s="13"/>
      <c r="H98" s="13"/>
      <c r="I98" s="114" t="str">
        <f>IF(AND($A98&lt;&gt;"",OR($A98&amp;""=PMIS_Home!$B$4&amp;"",$A98&amp;""="Campus")),MAX($I$4:I97)+1,"")</f>
        <v/>
      </c>
    </row>
    <row r="99" spans="1:9" ht="6.95" customHeight="1">
      <c r="A99" s="13"/>
      <c r="B99" s="13"/>
      <c r="C99" s="13"/>
      <c r="D99" s="13"/>
      <c r="E99" s="13"/>
      <c r="F99" s="13"/>
      <c r="G99" s="13"/>
      <c r="H99" s="13"/>
      <c r="I99" s="114" t="str">
        <f>IF(AND($A99&lt;&gt;"",OR($A99&amp;""=PMIS_Home!$B$4&amp;"",$A99&amp;""="Campus")),MAX($I$4:I98)+1,"")</f>
        <v/>
      </c>
    </row>
    <row r="100" spans="1:9" ht="6.95" customHeight="1">
      <c r="A100" s="13"/>
      <c r="B100" s="13"/>
      <c r="C100" s="13"/>
      <c r="D100" s="13"/>
      <c r="E100" s="13"/>
      <c r="F100" s="13"/>
      <c r="G100" s="13"/>
      <c r="H100" s="13"/>
      <c r="I100" s="114" t="str">
        <f>IF(AND($A100&lt;&gt;"",OR($A100&amp;""=PMIS_Home!$B$4&amp;"",$A100&amp;""="Campus")),MAX($I$4:I99)+1,"")</f>
        <v/>
      </c>
    </row>
    <row r="101" spans="1:9" ht="6.95" customHeight="1">
      <c r="A101" s="13"/>
      <c r="B101" s="13"/>
      <c r="C101" s="13"/>
      <c r="D101" s="13"/>
      <c r="E101" s="13"/>
      <c r="F101" s="13"/>
      <c r="G101" s="13"/>
      <c r="H101" s="13"/>
      <c r="I101" s="114" t="str">
        <f>IF(AND($A101&lt;&gt;"",OR($A101&amp;""=PMIS_Home!$B$4&amp;"",$A101&amp;""="Campus")),MAX($I$4:I100)+1,"")</f>
        <v/>
      </c>
    </row>
    <row r="102" spans="1:9" ht="6.95" customHeight="1">
      <c r="A102" s="13"/>
      <c r="B102" s="13"/>
      <c r="C102" s="13"/>
      <c r="D102" s="13"/>
      <c r="E102" s="13"/>
      <c r="F102" s="13"/>
      <c r="G102" s="13"/>
      <c r="H102" s="13"/>
      <c r="I102" s="114" t="str">
        <f>IF(AND($A102&lt;&gt;"",OR($A102&amp;""=PMIS_Home!$B$4&amp;"",$A102&amp;""="Campus")),MAX($I$4:I101)+1,"")</f>
        <v/>
      </c>
    </row>
    <row r="103" spans="1:9" ht="6.95" customHeight="1">
      <c r="A103" s="13"/>
      <c r="B103" s="13"/>
      <c r="C103" s="13"/>
      <c r="D103" s="13"/>
      <c r="E103" s="13"/>
      <c r="F103" s="13"/>
      <c r="G103" s="13"/>
      <c r="H103" s="13"/>
      <c r="I103" s="114" t="str">
        <f>IF(AND($A103&lt;&gt;"",OR($A103&amp;""=PMIS_Home!$B$4&amp;"",$A103&amp;""="Campus")),MAX($I$4:I102)+1,"")</f>
        <v/>
      </c>
    </row>
    <row r="104" spans="1:9" ht="6.95" customHeight="1">
      <c r="A104" s="13"/>
      <c r="B104" s="13"/>
      <c r="C104" s="13"/>
      <c r="D104" s="13"/>
      <c r="E104" s="13"/>
      <c r="F104" s="13"/>
      <c r="G104" s="13"/>
      <c r="H104" s="13"/>
      <c r="I104" s="114" t="str">
        <f>IF(AND($A104&lt;&gt;"",OR($A104&amp;""=PMIS_Home!$B$4&amp;"",$A104&amp;""="Campus")),MAX($I$4:I103)+1,"")</f>
        <v/>
      </c>
    </row>
    <row r="105" spans="1:9" ht="6.95" customHeight="1">
      <c r="A105" s="13"/>
      <c r="B105" s="13"/>
      <c r="C105" s="13"/>
      <c r="D105" s="13"/>
      <c r="E105" s="13"/>
      <c r="F105" s="13"/>
      <c r="G105" s="13"/>
      <c r="H105" s="13"/>
      <c r="I105" s="114" t="str">
        <f>IF(AND($A105&lt;&gt;"",OR($A105&amp;""=PMIS_Home!$B$4&amp;"",$A105&amp;""="Campus")),MAX($I$4:I104)+1,"")</f>
        <v/>
      </c>
    </row>
    <row r="106" spans="1:9" ht="6.95" customHeight="1">
      <c r="A106" s="13"/>
      <c r="B106" s="13"/>
      <c r="C106" s="13"/>
      <c r="D106" s="13"/>
      <c r="E106" s="13"/>
      <c r="F106" s="13"/>
      <c r="G106" s="13"/>
      <c r="H106" s="13"/>
      <c r="I106" s="114" t="str">
        <f>IF(AND($A106&lt;&gt;"",OR($A106&amp;""=PMIS_Home!$B$4&amp;"",$A106&amp;""="Campus")),MAX($I$4:I105)+1,"")</f>
        <v/>
      </c>
    </row>
    <row r="107" spans="1:9" ht="6.95" customHeight="1">
      <c r="A107" s="13"/>
      <c r="B107" s="13"/>
      <c r="C107" s="13"/>
      <c r="D107" s="13"/>
      <c r="E107" s="13"/>
      <c r="F107" s="13"/>
      <c r="G107" s="13"/>
      <c r="H107" s="13"/>
      <c r="I107" s="114" t="str">
        <f>IF(AND($A107&lt;&gt;"",OR($A107&amp;""=PMIS_Home!$B$4&amp;"",$A107&amp;""="Campus")),MAX($I$4:I106)+1,"")</f>
        <v/>
      </c>
    </row>
    <row r="108" spans="1:9" ht="6.95" customHeight="1">
      <c r="A108" s="13"/>
      <c r="B108" s="13"/>
      <c r="C108" s="13"/>
      <c r="D108" s="13"/>
      <c r="E108" s="13"/>
      <c r="F108" s="13"/>
      <c r="G108" s="13"/>
      <c r="H108" s="13"/>
      <c r="I108" s="114" t="str">
        <f>IF(AND($A108&lt;&gt;"",OR($A108&amp;""=PMIS_Home!$B$4&amp;"",$A108&amp;""="Campus")),MAX($I$4:I107)+1,"")</f>
        <v/>
      </c>
    </row>
    <row r="109" spans="1:9" ht="6.95" customHeight="1">
      <c r="A109" s="13"/>
      <c r="B109" s="13"/>
      <c r="C109" s="13"/>
      <c r="D109" s="13"/>
      <c r="E109" s="13"/>
      <c r="F109" s="13"/>
      <c r="G109" s="13"/>
      <c r="H109" s="13"/>
      <c r="I109" s="114" t="str">
        <f>IF(AND($A109&lt;&gt;"",OR($A109&amp;""=PMIS_Home!$B$4&amp;"",$A109&amp;""="Campus")),MAX($I$4:I108)+1,"")</f>
        <v/>
      </c>
    </row>
    <row r="110" spans="1:9" ht="6.95" customHeight="1">
      <c r="A110" s="13"/>
      <c r="B110" s="13"/>
      <c r="C110" s="13"/>
      <c r="D110" s="13"/>
      <c r="E110" s="13"/>
      <c r="F110" s="13"/>
      <c r="G110" s="13"/>
      <c r="H110" s="13"/>
      <c r="I110" s="114" t="str">
        <f>IF(AND($A110&lt;&gt;"",OR($A110&amp;""=PMIS_Home!$B$4&amp;"",$A110&amp;""="Campus")),MAX($I$4:I109)+1,"")</f>
        <v/>
      </c>
    </row>
    <row r="111" spans="1:9" ht="6.95" customHeight="1">
      <c r="A111" s="13"/>
      <c r="B111" s="13"/>
      <c r="C111" s="13"/>
      <c r="D111" s="13"/>
      <c r="E111" s="13"/>
      <c r="F111" s="13"/>
      <c r="G111" s="13"/>
      <c r="H111" s="13"/>
      <c r="I111" s="114" t="str">
        <f>IF(AND($A111&lt;&gt;"",OR($A111&amp;""=PMIS_Home!$B$4&amp;"",$A111&amp;""="Campus")),MAX($I$4:I110)+1,"")</f>
        <v/>
      </c>
    </row>
    <row r="112" spans="1:9" ht="6.95" customHeight="1">
      <c r="A112" s="13"/>
      <c r="B112" s="13"/>
      <c r="C112" s="13"/>
      <c r="D112" s="13"/>
      <c r="E112" s="13"/>
      <c r="F112" s="13"/>
      <c r="G112" s="13"/>
      <c r="H112" s="13"/>
      <c r="I112" s="114" t="str">
        <f>IF(AND($A112&lt;&gt;"",OR($A112&amp;""=PMIS_Home!$B$4&amp;"",$A112&amp;""="Campus")),MAX($I$4:I111)+1,"")</f>
        <v/>
      </c>
    </row>
    <row r="113" spans="1:9" ht="6.95" customHeight="1">
      <c r="A113" s="13"/>
      <c r="B113" s="13"/>
      <c r="C113" s="13"/>
      <c r="D113" s="13"/>
      <c r="E113" s="13"/>
      <c r="F113" s="13"/>
      <c r="G113" s="13"/>
      <c r="H113" s="13"/>
      <c r="I113" s="114" t="str">
        <f>IF(AND($A113&lt;&gt;"",OR($A113&amp;""=PMIS_Home!$B$4&amp;"",$A113&amp;""="Campus")),MAX($I$4:I112)+1,"")</f>
        <v/>
      </c>
    </row>
    <row r="114" spans="1:9" ht="6.95" customHeight="1">
      <c r="A114" s="13"/>
      <c r="B114" s="13"/>
      <c r="C114" s="13"/>
      <c r="D114" s="13"/>
      <c r="E114" s="13"/>
      <c r="F114" s="13"/>
      <c r="G114" s="13"/>
      <c r="H114" s="13"/>
      <c r="I114" s="114" t="str">
        <f>IF(AND($A114&lt;&gt;"",OR($A114&amp;""=PMIS_Home!$B$4&amp;"",$A114&amp;""="Campus")),MAX($I$4:I113)+1,"")</f>
        <v/>
      </c>
    </row>
    <row r="115" spans="1:9" ht="6.95" customHeight="1">
      <c r="A115" s="13"/>
      <c r="B115" s="13"/>
      <c r="C115" s="13"/>
      <c r="D115" s="13"/>
      <c r="E115" s="13"/>
      <c r="F115" s="13"/>
      <c r="G115" s="13"/>
      <c r="H115" s="13"/>
      <c r="I115" s="114" t="str">
        <f>IF(AND($A115&lt;&gt;"",OR($A115&amp;""=PMIS_Home!$B$4&amp;"",$A115&amp;""="Campus")),MAX($I$4:I114)+1,"")</f>
        <v/>
      </c>
    </row>
    <row r="116" spans="1:9" ht="6.95" customHeight="1">
      <c r="A116" s="13"/>
      <c r="B116" s="13"/>
      <c r="C116" s="13"/>
      <c r="D116" s="13"/>
      <c r="E116" s="13"/>
      <c r="F116" s="13"/>
      <c r="G116" s="13"/>
      <c r="H116" s="13"/>
      <c r="I116" s="114" t="str">
        <f>IF(AND($A116&lt;&gt;"",OR($A116&amp;""=PMIS_Home!$B$4&amp;"",$A116&amp;""="Campus")),MAX($I$4:I115)+1,"")</f>
        <v/>
      </c>
    </row>
    <row r="117" spans="1:9" ht="6.95" customHeight="1">
      <c r="A117" s="13"/>
      <c r="B117" s="13"/>
      <c r="C117" s="13"/>
      <c r="D117" s="13"/>
      <c r="E117" s="13"/>
      <c r="F117" s="13"/>
      <c r="G117" s="13"/>
      <c r="H117" s="13"/>
      <c r="I117" s="114" t="str">
        <f>IF(AND($A117&lt;&gt;"",OR($A117&amp;""=PMIS_Home!$B$4&amp;"",$A117&amp;""="Campus")),MAX($I$4:I116)+1,"")</f>
        <v/>
      </c>
    </row>
    <row r="118" spans="1:9" ht="6.95" customHeight="1">
      <c r="A118" s="13"/>
      <c r="B118" s="13"/>
      <c r="C118" s="13"/>
      <c r="D118" s="13"/>
      <c r="E118" s="13"/>
      <c r="F118" s="13"/>
      <c r="G118" s="13"/>
      <c r="H118" s="13"/>
      <c r="I118" s="114" t="str">
        <f>IF(AND($A118&lt;&gt;"",OR($A118&amp;""=PMIS_Home!$B$4&amp;"",$A118&amp;""="Campus")),MAX($I$4:I117)+1,"")</f>
        <v/>
      </c>
    </row>
    <row r="119" spans="1:9" ht="6.95" customHeight="1">
      <c r="A119" s="13"/>
      <c r="B119" s="13"/>
      <c r="C119" s="13"/>
      <c r="D119" s="13"/>
      <c r="E119" s="13"/>
      <c r="F119" s="13"/>
      <c r="G119" s="13"/>
      <c r="H119" s="13"/>
      <c r="I119" s="114" t="str">
        <f>IF(AND($A119&lt;&gt;"",OR($A119&amp;""=PMIS_Home!$B$4&amp;"",$A119&amp;""="Campus")),MAX($I$4:I118)+1,"")</f>
        <v/>
      </c>
    </row>
    <row r="120" spans="1:9" ht="6.95" customHeight="1">
      <c r="A120" s="13"/>
      <c r="B120" s="13"/>
      <c r="C120" s="13"/>
      <c r="D120" s="13"/>
      <c r="E120" s="13"/>
      <c r="F120" s="13"/>
      <c r="G120" s="13"/>
      <c r="H120" s="13"/>
      <c r="I120" s="114" t="str">
        <f>IF(AND($A120&lt;&gt;"",OR($A120&amp;""=PMIS_Home!$B$4&amp;"",$A120&amp;""="Campus")),MAX($I$4:I119)+1,"")</f>
        <v/>
      </c>
    </row>
    <row r="121" spans="1:9" ht="6.95" customHeight="1">
      <c r="A121" s="13"/>
      <c r="B121" s="13"/>
      <c r="C121" s="13"/>
      <c r="D121" s="13"/>
      <c r="E121" s="13"/>
      <c r="F121" s="13"/>
      <c r="G121" s="13"/>
      <c r="H121" s="13"/>
      <c r="I121" s="114" t="str">
        <f>IF(AND($A121&lt;&gt;"",OR($A121&amp;""=PMIS_Home!$B$4&amp;"",$A121&amp;""="Campus")),MAX($I$4:I120)+1,"")</f>
        <v/>
      </c>
    </row>
    <row r="122" spans="1:9" ht="6.95" customHeight="1">
      <c r="A122" s="13"/>
      <c r="B122" s="13"/>
      <c r="C122" s="13"/>
      <c r="D122" s="13"/>
      <c r="E122" s="13"/>
      <c r="F122" s="13"/>
      <c r="G122" s="13"/>
      <c r="H122" s="13"/>
      <c r="I122" s="114" t="str">
        <f>IF(AND($A122&lt;&gt;"",OR($A122&amp;""=PMIS_Home!$B$4&amp;"",$A122&amp;""="Campus")),MAX($I$4:I121)+1,"")</f>
        <v/>
      </c>
    </row>
    <row r="123" spans="1:9" ht="6.95" customHeight="1">
      <c r="A123" s="13"/>
      <c r="B123" s="13"/>
      <c r="C123" s="13"/>
      <c r="D123" s="13"/>
      <c r="E123" s="13"/>
      <c r="F123" s="13"/>
      <c r="G123" s="13"/>
      <c r="H123" s="13"/>
      <c r="I123" s="114" t="str">
        <f>IF(AND($A123&lt;&gt;"",OR($A123&amp;""=PMIS_Home!$B$4&amp;"",$A123&amp;""="Campus")),MAX($I$4:I122)+1,"")</f>
        <v/>
      </c>
    </row>
    <row r="124" spans="1:9" ht="6.95" customHeight="1">
      <c r="A124" s="13"/>
      <c r="B124" s="13"/>
      <c r="C124" s="13"/>
      <c r="D124" s="13"/>
      <c r="E124" s="13"/>
      <c r="F124" s="13"/>
      <c r="G124" s="13"/>
      <c r="H124" s="13"/>
      <c r="I124" s="114" t="str">
        <f>IF(AND($A124&lt;&gt;"",OR($A124&amp;""=PMIS_Home!$B$4&amp;"",$A124&amp;""="Campus")),MAX($I$4:I123)+1,"")</f>
        <v/>
      </c>
    </row>
    <row r="125" spans="1:9" ht="6.95" customHeight="1">
      <c r="A125" s="13"/>
      <c r="B125" s="13"/>
      <c r="C125" s="13"/>
      <c r="D125" s="13"/>
      <c r="E125" s="13"/>
      <c r="F125" s="13"/>
      <c r="G125" s="13"/>
      <c r="H125" s="13"/>
      <c r="I125" s="114" t="str">
        <f>IF(AND($A125&lt;&gt;"",OR($A125&amp;""=PMIS_Home!$B$4&amp;"",$A125&amp;""="Campus")),MAX($I$4:I124)+1,"")</f>
        <v/>
      </c>
    </row>
    <row r="126" spans="1:9" ht="6.95" customHeight="1">
      <c r="A126" s="13"/>
      <c r="B126" s="13"/>
      <c r="C126" s="13"/>
      <c r="D126" s="13"/>
      <c r="E126" s="13"/>
      <c r="F126" s="13"/>
      <c r="G126" s="13"/>
      <c r="H126" s="13"/>
      <c r="I126" s="114" t="str">
        <f>IF(AND($A126&lt;&gt;"",OR($A126&amp;""=PMIS_Home!$B$4&amp;"",$A126&amp;""="Campus")),MAX($I$4:I125)+1,"")</f>
        <v/>
      </c>
    </row>
    <row r="127" spans="1:9" ht="6.95" customHeight="1">
      <c r="A127" s="13"/>
      <c r="B127" s="13"/>
      <c r="C127" s="13"/>
      <c r="D127" s="13"/>
      <c r="E127" s="13"/>
      <c r="F127" s="13"/>
      <c r="G127" s="13"/>
      <c r="H127" s="13"/>
      <c r="I127" s="114" t="str">
        <f>IF(AND($A127&lt;&gt;"",OR($A127&amp;""=PMIS_Home!$B$4&amp;"",$A127&amp;""="Campus")),MAX($I$4:I126)+1,"")</f>
        <v/>
      </c>
    </row>
    <row r="128" spans="1:9" ht="6.95" customHeight="1">
      <c r="A128" s="13"/>
      <c r="B128" s="13"/>
      <c r="C128" s="13"/>
      <c r="D128" s="13"/>
      <c r="E128" s="13"/>
      <c r="F128" s="13"/>
      <c r="G128" s="13"/>
      <c r="H128" s="13"/>
      <c r="I128" s="114" t="str">
        <f>IF(AND($A128&lt;&gt;"",OR($A128&amp;""=PMIS_Home!$B$4&amp;"",$A128&amp;""="Campus")),MAX($I$4:I127)+1,"")</f>
        <v/>
      </c>
    </row>
    <row r="129" spans="1:9" ht="6.95" customHeight="1">
      <c r="A129" s="13"/>
      <c r="B129" s="13"/>
      <c r="C129" s="13"/>
      <c r="D129" s="13"/>
      <c r="E129" s="13"/>
      <c r="F129" s="13"/>
      <c r="G129" s="13"/>
      <c r="H129" s="13"/>
      <c r="I129" s="114" t="str">
        <f>IF(AND($A129&lt;&gt;"",OR($A129&amp;""=PMIS_Home!$B$4&amp;"",$A129&amp;""="Campus")),MAX($I$4:I128)+1,"")</f>
        <v/>
      </c>
    </row>
    <row r="130" spans="1:9" ht="6.95" customHeight="1">
      <c r="A130" s="13"/>
      <c r="B130" s="13"/>
      <c r="C130" s="13"/>
      <c r="D130" s="13"/>
      <c r="E130" s="13"/>
      <c r="F130" s="13"/>
      <c r="G130" s="13"/>
      <c r="H130" s="13"/>
      <c r="I130" s="114" t="str">
        <f>IF(AND($A130&lt;&gt;"",OR($A130&amp;""=PMIS_Home!$B$4&amp;"",$A130&amp;""="Campus")),MAX($I$4:I129)+1,"")</f>
        <v/>
      </c>
    </row>
    <row r="131" spans="1:9" ht="6.95" customHeight="1">
      <c r="A131" s="13"/>
      <c r="B131" s="13"/>
      <c r="C131" s="13"/>
      <c r="D131" s="13"/>
      <c r="E131" s="13"/>
      <c r="F131" s="13"/>
      <c r="G131" s="13"/>
      <c r="H131" s="13"/>
      <c r="I131" s="114" t="str">
        <f>IF(AND($A131&lt;&gt;"",OR($A131&amp;""=PMIS_Home!$B$4&amp;"",$A131&amp;""="Campus")),MAX($I$4:I130)+1,"")</f>
        <v/>
      </c>
    </row>
    <row r="132" spans="1:9" ht="6.95" customHeight="1">
      <c r="A132" s="13"/>
      <c r="B132" s="13"/>
      <c r="C132" s="13"/>
      <c r="D132" s="13"/>
      <c r="E132" s="13"/>
      <c r="F132" s="13"/>
      <c r="G132" s="13"/>
      <c r="H132" s="13"/>
      <c r="I132" s="114" t="str">
        <f>IF(AND($A132&lt;&gt;"",OR($A132&amp;""=PMIS_Home!$B$4&amp;"",$A132&amp;""="Campus")),MAX($I$4:I131)+1,"")</f>
        <v/>
      </c>
    </row>
    <row r="133" spans="1:9" ht="6.95" customHeight="1">
      <c r="A133" s="13"/>
      <c r="B133" s="13"/>
      <c r="C133" s="13"/>
      <c r="D133" s="13"/>
      <c r="E133" s="13"/>
      <c r="F133" s="13"/>
      <c r="G133" s="13"/>
      <c r="H133" s="13"/>
      <c r="I133" s="114" t="str">
        <f>IF(AND($A133&lt;&gt;"",OR($A133&amp;""=PMIS_Home!$B$4&amp;"",$A133&amp;""="Campus")),MAX($I$4:I132)+1,"")</f>
        <v/>
      </c>
    </row>
    <row r="134" spans="1:9" ht="6.95" customHeight="1">
      <c r="A134" s="13"/>
      <c r="B134" s="13"/>
      <c r="C134" s="13"/>
      <c r="D134" s="13"/>
      <c r="E134" s="13"/>
      <c r="F134" s="13"/>
      <c r="G134" s="13"/>
      <c r="H134" s="13"/>
      <c r="I134" s="114" t="str">
        <f>IF(AND($A134&lt;&gt;"",OR($A134&amp;""=PMIS_Home!$B$4&amp;"",$A134&amp;""="Campus")),MAX($I$4:I133)+1,"")</f>
        <v/>
      </c>
    </row>
    <row r="135" spans="1:9" ht="6.95" customHeight="1">
      <c r="A135" s="13"/>
      <c r="B135" s="13"/>
      <c r="C135" s="13"/>
      <c r="D135" s="13"/>
      <c r="E135" s="13"/>
      <c r="F135" s="13"/>
      <c r="G135" s="13"/>
      <c r="H135" s="13"/>
      <c r="I135" s="114" t="str">
        <f>IF(AND($A135&lt;&gt;"",OR($A135&amp;""=PMIS_Home!$B$4&amp;"",$A135&amp;""="Campus")),MAX($I$4:I134)+1,"")</f>
        <v/>
      </c>
    </row>
    <row r="136" spans="1:9" ht="6.95" customHeight="1">
      <c r="A136" s="13"/>
      <c r="B136" s="13"/>
      <c r="C136" s="13"/>
      <c r="D136" s="13"/>
      <c r="E136" s="13"/>
      <c r="F136" s="13"/>
      <c r="G136" s="13"/>
      <c r="H136" s="13"/>
      <c r="I136" s="114" t="str">
        <f>IF(AND($A136&lt;&gt;"",OR($A136&amp;""=PMIS_Home!$B$4&amp;"",$A136&amp;""="Campus")),MAX($I$4:I135)+1,"")</f>
        <v/>
      </c>
    </row>
    <row r="137" spans="1:9" ht="6.95" customHeight="1">
      <c r="A137" s="13"/>
      <c r="B137" s="13"/>
      <c r="C137" s="13"/>
      <c r="D137" s="13"/>
      <c r="E137" s="13"/>
      <c r="F137" s="13"/>
      <c r="G137" s="13"/>
      <c r="H137" s="13"/>
      <c r="I137" s="114" t="str">
        <f>IF(AND($A137&lt;&gt;"",OR($A137&amp;""=PMIS_Home!$B$4&amp;"",$A137&amp;""="Campus")),MAX($I$4:I136)+1,"")</f>
        <v/>
      </c>
    </row>
    <row r="138" spans="1:9" ht="6.95" customHeight="1">
      <c r="A138" s="13"/>
      <c r="B138" s="13"/>
      <c r="C138" s="13"/>
      <c r="D138" s="13"/>
      <c r="E138" s="13"/>
      <c r="F138" s="13"/>
      <c r="G138" s="13"/>
      <c r="H138" s="13"/>
      <c r="I138" s="114" t="str">
        <f>IF(AND($A138&lt;&gt;"",OR($A138&amp;""=PMIS_Home!$B$4&amp;"",$A138&amp;""="Campus")),MAX($I$4:I137)+1,"")</f>
        <v/>
      </c>
    </row>
    <row r="139" spans="1:9" ht="6.95" customHeight="1">
      <c r="A139" s="13"/>
      <c r="B139" s="13"/>
      <c r="C139" s="13"/>
      <c r="D139" s="13"/>
      <c r="E139" s="13"/>
      <c r="F139" s="13"/>
      <c r="G139" s="13"/>
      <c r="H139" s="13"/>
      <c r="I139" s="114" t="str">
        <f>IF(AND($A139&lt;&gt;"",OR($A139&amp;""=PMIS_Home!$B$4&amp;"",$A139&amp;""="Campus")),MAX($I$4:I138)+1,"")</f>
        <v/>
      </c>
    </row>
    <row r="140" spans="1:9" ht="6.95" customHeight="1">
      <c r="A140" s="13"/>
      <c r="B140" s="13"/>
      <c r="C140" s="13"/>
      <c r="D140" s="13"/>
      <c r="E140" s="13"/>
      <c r="F140" s="13"/>
      <c r="G140" s="13"/>
      <c r="H140" s="13"/>
      <c r="I140" s="114" t="str">
        <f>IF(AND($A140&lt;&gt;"",OR($A140&amp;""=PMIS_Home!$B$4&amp;"",$A140&amp;""="Campus")),MAX($I$4:I139)+1,"")</f>
        <v/>
      </c>
    </row>
    <row r="141" spans="1:9" ht="6.95" customHeight="1">
      <c r="A141" s="13"/>
      <c r="B141" s="13"/>
      <c r="C141" s="13"/>
      <c r="D141" s="13"/>
      <c r="E141" s="13"/>
      <c r="F141" s="13"/>
      <c r="G141" s="13"/>
      <c r="H141" s="13"/>
      <c r="I141" s="114" t="str">
        <f>IF(AND($A141&lt;&gt;"",OR($A141&amp;""=PMIS_Home!$B$4&amp;"",$A141&amp;""="Campus")),MAX($I$4:I140)+1,"")</f>
        <v/>
      </c>
    </row>
    <row r="142" spans="1:9" ht="6.95" customHeight="1">
      <c r="A142" s="13"/>
      <c r="B142" s="13"/>
      <c r="C142" s="13"/>
      <c r="D142" s="13"/>
      <c r="E142" s="13"/>
      <c r="F142" s="13"/>
      <c r="G142" s="13"/>
      <c r="H142" s="13"/>
      <c r="I142" s="114" t="str">
        <f>IF(AND($A142&lt;&gt;"",OR($A142&amp;""=PMIS_Home!$B$4&amp;"",$A142&amp;""="Campus")),MAX($I$4:I141)+1,"")</f>
        <v/>
      </c>
    </row>
    <row r="143" spans="1:9" ht="6.95" customHeight="1">
      <c r="A143" s="13"/>
      <c r="B143" s="13"/>
      <c r="C143" s="13"/>
      <c r="D143" s="13"/>
      <c r="E143" s="13"/>
      <c r="F143" s="13"/>
      <c r="G143" s="13"/>
      <c r="H143" s="13"/>
      <c r="I143" s="114" t="str">
        <f>IF(AND($A143&lt;&gt;"",OR($A143&amp;""=PMIS_Home!$B$4&amp;"",$A143&amp;""="Campus")),MAX($I$4:I142)+1,"")</f>
        <v/>
      </c>
    </row>
    <row r="144" spans="1:9" ht="6.95" customHeight="1">
      <c r="A144" s="13"/>
      <c r="B144" s="13"/>
      <c r="C144" s="13"/>
      <c r="D144" s="13"/>
      <c r="E144" s="13"/>
      <c r="F144" s="13"/>
      <c r="G144" s="13"/>
      <c r="H144" s="13"/>
      <c r="I144" s="114" t="str">
        <f>IF(AND($A144&lt;&gt;"",OR($A144&amp;""=PMIS_Home!$B$4&amp;"",$A144&amp;""="Campus")),MAX($I$4:I143)+1,"")</f>
        <v/>
      </c>
    </row>
    <row r="145" spans="1:9" ht="6.95" customHeight="1">
      <c r="A145" s="13"/>
      <c r="B145" s="13"/>
      <c r="C145" s="13"/>
      <c r="D145" s="13"/>
      <c r="E145" s="13"/>
      <c r="F145" s="13"/>
      <c r="G145" s="13"/>
      <c r="H145" s="13"/>
      <c r="I145" s="114" t="str">
        <f>IF(AND($A145&lt;&gt;"",OR($A145&amp;""=PMIS_Home!$B$4&amp;"",$A145&amp;""="Campus")),MAX($I$4:I144)+1,"")</f>
        <v/>
      </c>
    </row>
    <row r="146" spans="1:9" ht="6.95" customHeight="1">
      <c r="A146" s="13"/>
      <c r="B146" s="13"/>
      <c r="C146" s="13"/>
      <c r="D146" s="13"/>
      <c r="E146" s="13"/>
      <c r="F146" s="13"/>
      <c r="G146" s="13"/>
      <c r="H146" s="13"/>
      <c r="I146" s="114" t="str">
        <f>IF(AND($A146&lt;&gt;"",OR($A146&amp;""=PMIS_Home!$B$4&amp;"",$A146&amp;""="Campus")),MAX($I$4:I145)+1,"")</f>
        <v/>
      </c>
    </row>
    <row r="147" spans="1:9" ht="6.95" customHeight="1">
      <c r="A147" s="13"/>
      <c r="B147" s="13"/>
      <c r="C147" s="13"/>
      <c r="D147" s="13"/>
      <c r="E147" s="13"/>
      <c r="F147" s="13"/>
      <c r="G147" s="13"/>
      <c r="H147" s="13"/>
      <c r="I147" s="114" t="str">
        <f>IF(AND($A147&lt;&gt;"",OR($A147&amp;""=PMIS_Home!$B$4&amp;"",$A147&amp;""="Campus")),MAX($I$4:I146)+1,"")</f>
        <v/>
      </c>
    </row>
    <row r="148" spans="1:9" ht="6.95" customHeight="1">
      <c r="A148" s="13"/>
      <c r="B148" s="13"/>
      <c r="C148" s="13"/>
      <c r="D148" s="13"/>
      <c r="E148" s="13"/>
      <c r="F148" s="13"/>
      <c r="G148" s="13"/>
      <c r="H148" s="13"/>
      <c r="I148" s="114" t="str">
        <f>IF(AND($A148&lt;&gt;"",OR($A148&amp;""=PMIS_Home!$B$4&amp;"",$A148&amp;""="Campus")),MAX($I$4:I147)+1,"")</f>
        <v/>
      </c>
    </row>
    <row r="149" spans="1:9" ht="6.95" customHeight="1">
      <c r="A149" s="13"/>
      <c r="B149" s="13"/>
      <c r="C149" s="13"/>
      <c r="D149" s="13"/>
      <c r="E149" s="13"/>
      <c r="F149" s="13"/>
      <c r="G149" s="13"/>
      <c r="H149" s="13"/>
      <c r="I149" s="114" t="str">
        <f>IF(AND($A149&lt;&gt;"",OR($A149&amp;""=PMIS_Home!$B$4&amp;"",$A149&amp;""="Campus")),MAX($I$4:I148)+1,"")</f>
        <v/>
      </c>
    </row>
    <row r="150" spans="1:9" ht="6.95" customHeight="1">
      <c r="A150" s="13"/>
      <c r="B150" s="13"/>
      <c r="C150" s="13"/>
      <c r="D150" s="13"/>
      <c r="E150" s="13"/>
      <c r="F150" s="13"/>
      <c r="G150" s="13"/>
      <c r="H150" s="13"/>
      <c r="I150" s="114" t="str">
        <f>IF(AND($A150&lt;&gt;"",OR($A150&amp;""=PMIS_Home!$B$4&amp;"",$A150&amp;""="Campus")),MAX($I$4:I149)+1,"")</f>
        <v/>
      </c>
    </row>
    <row r="151" spans="1:9" ht="6.95" customHeight="1">
      <c r="A151" s="13"/>
      <c r="B151" s="13"/>
      <c r="C151" s="13"/>
      <c r="D151" s="13"/>
      <c r="E151" s="13"/>
      <c r="F151" s="13"/>
      <c r="G151" s="13"/>
      <c r="H151" s="13"/>
      <c r="I151" s="114" t="str">
        <f>IF(AND($A151&lt;&gt;"",OR($A151&amp;""=PMIS_Home!$B$4&amp;"",$A151&amp;""="Campus")),MAX($I$4:I150)+1,"")</f>
        <v/>
      </c>
    </row>
    <row r="152" spans="1:9" ht="6.95" customHeight="1">
      <c r="A152" s="13"/>
      <c r="B152" s="13"/>
      <c r="C152" s="13"/>
      <c r="D152" s="13"/>
      <c r="E152" s="13"/>
      <c r="F152" s="13"/>
      <c r="G152" s="13"/>
      <c r="H152" s="13"/>
      <c r="I152" s="114" t="str">
        <f>IF(AND($A152&lt;&gt;"",OR($A152&amp;""=PMIS_Home!$B$4&amp;"",$A152&amp;""="Campus")),MAX($I$4:I151)+1,"")</f>
        <v/>
      </c>
    </row>
    <row r="153" spans="1:9" ht="6.95" customHeight="1">
      <c r="A153" s="13"/>
      <c r="B153" s="13"/>
      <c r="C153" s="13"/>
      <c r="D153" s="13"/>
      <c r="E153" s="13"/>
      <c r="F153" s="13"/>
      <c r="G153" s="13"/>
      <c r="H153" s="13"/>
      <c r="I153" s="114" t="str">
        <f>IF(AND($A153&lt;&gt;"",OR($A153&amp;""=PMIS_Home!$B$4&amp;"",$A153&amp;""="Campus")),MAX($I$4:I152)+1,"")</f>
        <v/>
      </c>
    </row>
    <row r="154" spans="1:9" ht="6.95" customHeight="1">
      <c r="A154" s="13"/>
      <c r="B154" s="13"/>
      <c r="C154" s="13"/>
      <c r="D154" s="13"/>
      <c r="E154" s="13"/>
      <c r="F154" s="13"/>
      <c r="G154" s="13"/>
      <c r="H154" s="13"/>
      <c r="I154" s="114" t="str">
        <f>IF(AND($A154&lt;&gt;"",OR($A154&amp;""=PMIS_Home!$B$4&amp;"",$A154&amp;""="Campus")),MAX($I$4:I153)+1,"")</f>
        <v/>
      </c>
    </row>
    <row r="155" spans="1:9" ht="6.95" customHeight="1">
      <c r="A155" s="13"/>
      <c r="B155" s="13"/>
      <c r="C155" s="13"/>
      <c r="D155" s="13"/>
      <c r="E155" s="13"/>
      <c r="F155" s="13"/>
      <c r="G155" s="13"/>
      <c r="H155" s="13"/>
      <c r="I155" s="114" t="str">
        <f>IF(AND($A155&lt;&gt;"",OR($A155&amp;""=PMIS_Home!$B$4&amp;"",$A155&amp;""="Campus")),MAX($I$4:I154)+1,"")</f>
        <v/>
      </c>
    </row>
    <row r="156" spans="1:9" ht="6.95" customHeight="1">
      <c r="A156" s="13"/>
      <c r="B156" s="13"/>
      <c r="C156" s="13"/>
      <c r="D156" s="13"/>
      <c r="E156" s="13"/>
      <c r="F156" s="13"/>
      <c r="G156" s="13"/>
      <c r="H156" s="13"/>
      <c r="I156" s="114" t="str">
        <f>IF(AND($A156&lt;&gt;"",OR($A156&amp;""=PMIS_Home!$B$4&amp;"",$A156&amp;""="Campus")),MAX($I$4:I155)+1,"")</f>
        <v/>
      </c>
    </row>
    <row r="157" spans="1:9" ht="6.95" customHeight="1">
      <c r="A157" s="13"/>
      <c r="B157" s="13"/>
      <c r="C157" s="13"/>
      <c r="D157" s="13"/>
      <c r="E157" s="13"/>
      <c r="F157" s="13"/>
      <c r="G157" s="13"/>
      <c r="H157" s="13"/>
      <c r="I157" s="114" t="str">
        <f>IF(AND($A157&lt;&gt;"",OR($A157&amp;""=PMIS_Home!$B$4&amp;"",$A157&amp;""="Campus")),MAX($I$4:I156)+1,"")</f>
        <v/>
      </c>
    </row>
    <row r="158" spans="1:9" ht="6.95" customHeight="1">
      <c r="A158" s="13"/>
      <c r="B158" s="13"/>
      <c r="C158" s="13"/>
      <c r="D158" s="13"/>
      <c r="E158" s="13"/>
      <c r="F158" s="13"/>
      <c r="G158" s="13"/>
      <c r="H158" s="13"/>
      <c r="I158" s="114" t="str">
        <f>IF(AND($A158&lt;&gt;"",OR($A158&amp;""=PMIS_Home!$B$4&amp;"",$A158&amp;""="Campus")),MAX($I$4:I157)+1,"")</f>
        <v/>
      </c>
    </row>
    <row r="159" spans="1:9" ht="6.95" customHeight="1">
      <c r="A159" s="13"/>
      <c r="B159" s="13"/>
      <c r="C159" s="13"/>
      <c r="D159" s="13"/>
      <c r="E159" s="13"/>
      <c r="F159" s="13"/>
      <c r="G159" s="13"/>
      <c r="H159" s="13"/>
      <c r="I159" s="114" t="str">
        <f>IF(AND($A159&lt;&gt;"",OR($A159&amp;""=PMIS_Home!$B$4&amp;"",$A159&amp;""="Campus")),MAX($I$4:I158)+1,"")</f>
        <v/>
      </c>
    </row>
    <row r="160" spans="1:9" ht="6.95" customHeight="1">
      <c r="A160" s="13"/>
      <c r="B160" s="13"/>
      <c r="C160" s="13"/>
      <c r="D160" s="13"/>
      <c r="E160" s="13"/>
      <c r="F160" s="13"/>
      <c r="G160" s="13"/>
      <c r="H160" s="13"/>
      <c r="I160" s="114" t="str">
        <f>IF(AND($A160&lt;&gt;"",OR($A160&amp;""=PMIS_Home!$B$4&amp;"",$A160&amp;""="Campus")),MAX($I$4:I159)+1,"")</f>
        <v/>
      </c>
    </row>
    <row r="161" spans="1:9" ht="6.95" customHeight="1">
      <c r="A161" s="13"/>
      <c r="B161" s="13"/>
      <c r="C161" s="13"/>
      <c r="D161" s="13"/>
      <c r="E161" s="13"/>
      <c r="F161" s="13"/>
      <c r="G161" s="13"/>
      <c r="H161" s="13"/>
      <c r="I161" s="114" t="str">
        <f>IF(AND($A161&lt;&gt;"",OR($A161&amp;""=PMIS_Home!$B$4&amp;"",$A161&amp;""="Campus")),MAX($I$4:I160)+1,"")</f>
        <v/>
      </c>
    </row>
    <row r="162" spans="1:9" ht="6.95" customHeight="1">
      <c r="A162" s="13"/>
      <c r="B162" s="13"/>
      <c r="C162" s="13"/>
      <c r="D162" s="13"/>
      <c r="E162" s="13"/>
      <c r="F162" s="13"/>
      <c r="G162" s="13"/>
      <c r="H162" s="13"/>
      <c r="I162" s="114" t="str">
        <f>IF(AND($A162&lt;&gt;"",OR($A162&amp;""=PMIS_Home!$B$4&amp;"",$A162&amp;""="Campus")),MAX($I$4:I161)+1,"")</f>
        <v/>
      </c>
    </row>
    <row r="163" spans="1:9" ht="6.95" customHeight="1">
      <c r="A163" s="13"/>
      <c r="B163" s="13"/>
      <c r="C163" s="13"/>
      <c r="D163" s="13"/>
      <c r="E163" s="13"/>
      <c r="F163" s="13"/>
      <c r="G163" s="13"/>
      <c r="H163" s="13"/>
      <c r="I163" s="114" t="str">
        <f>IF(AND($A163&lt;&gt;"",OR($A163&amp;""=PMIS_Home!$B$4&amp;"",$A163&amp;""="Campus")),MAX($I$4:I162)+1,"")</f>
        <v/>
      </c>
    </row>
    <row r="164" spans="1:9" ht="6.95" customHeight="1">
      <c r="A164" s="13"/>
      <c r="B164" s="13"/>
      <c r="C164" s="13"/>
      <c r="D164" s="13"/>
      <c r="E164" s="13"/>
      <c r="F164" s="13"/>
      <c r="G164" s="13"/>
      <c r="H164" s="13"/>
      <c r="I164" s="114" t="str">
        <f>IF(AND($A164&lt;&gt;"",OR($A164&amp;""=PMIS_Home!$B$4&amp;"",$A164&amp;""="Campus")),MAX($I$4:I163)+1,"")</f>
        <v/>
      </c>
    </row>
    <row r="165" spans="1:9" ht="6.95" customHeight="1">
      <c r="A165" s="13"/>
      <c r="B165" s="13"/>
      <c r="C165" s="13"/>
      <c r="D165" s="13"/>
      <c r="E165" s="13"/>
      <c r="F165" s="13"/>
      <c r="G165" s="13"/>
      <c r="H165" s="13"/>
      <c r="I165" s="114" t="str">
        <f>IF(AND($A165&lt;&gt;"",OR($A165&amp;""=PMIS_Home!$B$4&amp;"",$A165&amp;""="Campus")),MAX($I$4:I164)+1,"")</f>
        <v/>
      </c>
    </row>
    <row r="166" spans="1:9" ht="6.95" customHeight="1">
      <c r="A166" s="13"/>
      <c r="B166" s="13"/>
      <c r="C166" s="13"/>
      <c r="D166" s="13"/>
      <c r="E166" s="13"/>
      <c r="F166" s="13"/>
      <c r="G166" s="13"/>
      <c r="H166" s="13"/>
      <c r="I166" s="114" t="str">
        <f>IF(AND($A166&lt;&gt;"",OR($A166&amp;""=PMIS_Home!$B$4&amp;"",$A166&amp;""="Campus")),MAX($I$4:I165)+1,"")</f>
        <v/>
      </c>
    </row>
    <row r="167" spans="1:9" ht="6.95" customHeight="1">
      <c r="A167" s="13"/>
      <c r="B167" s="13"/>
      <c r="C167" s="13"/>
      <c r="D167" s="13"/>
      <c r="E167" s="13"/>
      <c r="F167" s="13"/>
      <c r="G167" s="13"/>
      <c r="H167" s="13"/>
      <c r="I167" s="114" t="str">
        <f>IF(AND($A167&lt;&gt;"",OR($A167&amp;""=PMIS_Home!$B$4&amp;"",$A167&amp;""="Campus")),MAX($I$4:I166)+1,"")</f>
        <v/>
      </c>
    </row>
    <row r="168" spans="1:9" ht="6.95" customHeight="1">
      <c r="A168" s="13"/>
      <c r="B168" s="13"/>
      <c r="C168" s="13"/>
      <c r="D168" s="13"/>
      <c r="E168" s="13"/>
      <c r="F168" s="13"/>
      <c r="G168" s="13"/>
      <c r="H168" s="13"/>
      <c r="I168" s="114" t="str">
        <f>IF(AND($A168&lt;&gt;"",OR($A168&amp;""=PMIS_Home!$B$4&amp;"",$A168&amp;""="Campus")),MAX($I$4:I167)+1,"")</f>
        <v/>
      </c>
    </row>
    <row r="169" spans="1:9" ht="6.95" customHeight="1">
      <c r="A169" s="13"/>
      <c r="B169" s="13"/>
      <c r="C169" s="13"/>
      <c r="D169" s="13"/>
      <c r="E169" s="13"/>
      <c r="F169" s="13"/>
      <c r="G169" s="13"/>
      <c r="H169" s="13"/>
      <c r="I169" s="114" t="str">
        <f>IF(AND($A169&lt;&gt;"",OR($A169&amp;""=PMIS_Home!$B$4&amp;"",$A169&amp;""="Campus")),MAX($I$4:I168)+1,"")</f>
        <v/>
      </c>
    </row>
    <row r="170" spans="1:9" ht="6.95" customHeight="1">
      <c r="A170" s="13"/>
      <c r="B170" s="13"/>
      <c r="C170" s="13"/>
      <c r="D170" s="13"/>
      <c r="E170" s="13"/>
      <c r="F170" s="13"/>
      <c r="G170" s="13"/>
      <c r="H170" s="13"/>
      <c r="I170" s="114" t="str">
        <f>IF(AND($A170&lt;&gt;"",OR($A170&amp;""=PMIS_Home!$B$4&amp;"",$A170&amp;""="Campus")),MAX($I$4:I169)+1,"")</f>
        <v/>
      </c>
    </row>
    <row r="171" spans="1:9" ht="6.95" customHeight="1">
      <c r="A171" s="13"/>
      <c r="B171" s="13"/>
      <c r="C171" s="13"/>
      <c r="D171" s="13"/>
      <c r="E171" s="13"/>
      <c r="F171" s="13"/>
      <c r="G171" s="13"/>
      <c r="H171" s="13"/>
      <c r="I171" s="114" t="str">
        <f>IF(AND($A171&lt;&gt;"",OR($A171&amp;""=PMIS_Home!$B$4&amp;"",$A171&amp;""="Campus")),MAX($I$4:I170)+1,"")</f>
        <v/>
      </c>
    </row>
    <row r="172" spans="1:9" ht="6.95" customHeight="1">
      <c r="A172" s="13"/>
      <c r="B172" s="13"/>
      <c r="C172" s="13"/>
      <c r="D172" s="13"/>
      <c r="E172" s="13"/>
      <c r="F172" s="13"/>
      <c r="G172" s="13"/>
      <c r="H172" s="13"/>
      <c r="I172" s="114" t="str">
        <f>IF(AND($A172&lt;&gt;"",OR($A172&amp;""=PMIS_Home!$B$4&amp;"",$A172&amp;""="Campus")),MAX($I$4:I171)+1,"")</f>
        <v/>
      </c>
    </row>
    <row r="173" spans="1:9" ht="6.95" customHeight="1">
      <c r="A173" s="13"/>
      <c r="B173" s="13"/>
      <c r="C173" s="13"/>
      <c r="D173" s="13"/>
      <c r="E173" s="13"/>
      <c r="F173" s="13"/>
      <c r="G173" s="13"/>
      <c r="H173" s="13"/>
      <c r="I173" s="114" t="str">
        <f>IF(AND($A173&lt;&gt;"",OR($A173&amp;""=PMIS_Home!$B$4&amp;"",$A173&amp;""="Campus")),MAX($I$4:I172)+1,"")</f>
        <v/>
      </c>
    </row>
    <row r="174" spans="1:9" ht="6.95" customHeight="1">
      <c r="A174" s="13"/>
      <c r="B174" s="13"/>
      <c r="C174" s="13"/>
      <c r="D174" s="13"/>
      <c r="E174" s="13"/>
      <c r="F174" s="13"/>
      <c r="G174" s="13"/>
      <c r="H174" s="13"/>
      <c r="I174" s="114" t="str">
        <f>IF(AND($A174&lt;&gt;"",OR($A174&amp;""=PMIS_Home!$B$4&amp;"",$A174&amp;""="Campus")),MAX($I$4:I173)+1,"")</f>
        <v/>
      </c>
    </row>
    <row r="175" spans="1:9" ht="6.95" customHeight="1">
      <c r="A175" s="13"/>
      <c r="B175" s="13"/>
      <c r="C175" s="13"/>
      <c r="D175" s="13"/>
      <c r="E175" s="13"/>
      <c r="F175" s="13"/>
      <c r="G175" s="13"/>
      <c r="H175" s="13"/>
      <c r="I175" s="114" t="str">
        <f>IF(AND($A175&lt;&gt;"",OR($A175&amp;""=PMIS_Home!$B$4&amp;"",$A175&amp;""="Campus")),MAX($I$4:I174)+1,"")</f>
        <v/>
      </c>
    </row>
    <row r="176" spans="1:9" ht="6.95" customHeight="1">
      <c r="A176" s="13"/>
      <c r="B176" s="13"/>
      <c r="C176" s="13"/>
      <c r="D176" s="13"/>
      <c r="E176" s="13"/>
      <c r="F176" s="13"/>
      <c r="G176" s="13"/>
      <c r="H176" s="13"/>
      <c r="I176" s="114" t="str">
        <f>IF(AND($A176&lt;&gt;"",OR($A176&amp;""=PMIS_Home!$B$4&amp;"",$A176&amp;""="Campus")),MAX($I$4:I175)+1,"")</f>
        <v/>
      </c>
    </row>
    <row r="177" spans="1:9" ht="6.95" customHeight="1">
      <c r="A177" s="13"/>
      <c r="B177" s="13"/>
      <c r="C177" s="13"/>
      <c r="D177" s="13"/>
      <c r="E177" s="13"/>
      <c r="F177" s="13"/>
      <c r="G177" s="13"/>
      <c r="H177" s="13"/>
      <c r="I177" s="114" t="str">
        <f>IF(AND($A177&lt;&gt;"",OR($A177&amp;""=PMIS_Home!$B$4&amp;"",$A177&amp;""="Campus")),MAX($I$4:I176)+1,"")</f>
        <v/>
      </c>
    </row>
    <row r="178" spans="1:9" ht="6.95" customHeight="1">
      <c r="A178" s="13"/>
      <c r="B178" s="13"/>
      <c r="C178" s="13"/>
      <c r="D178" s="13"/>
      <c r="E178" s="13"/>
      <c r="F178" s="13"/>
      <c r="G178" s="13"/>
      <c r="H178" s="13"/>
      <c r="I178" s="114" t="str">
        <f>IF(AND($A178&lt;&gt;"",OR($A178&amp;""=PMIS_Home!$B$4&amp;"",$A178&amp;""="Campus")),MAX($I$4:I177)+1,"")</f>
        <v/>
      </c>
    </row>
    <row r="179" spans="1:9" ht="6.95" customHeight="1">
      <c r="A179" s="13"/>
      <c r="B179" s="13"/>
      <c r="C179" s="13"/>
      <c r="D179" s="13"/>
      <c r="E179" s="13"/>
      <c r="F179" s="13"/>
      <c r="G179" s="13"/>
      <c r="H179" s="13"/>
      <c r="I179" s="114" t="str">
        <f>IF(AND($A179&lt;&gt;"",OR($A179&amp;""=PMIS_Home!$B$4&amp;"",$A179&amp;""="Campus")),MAX($I$4:I178)+1,"")</f>
        <v/>
      </c>
    </row>
    <row r="180" spans="1:9" ht="6.95" customHeight="1">
      <c r="A180" s="13"/>
      <c r="B180" s="13"/>
      <c r="C180" s="13"/>
      <c r="D180" s="13"/>
      <c r="E180" s="13"/>
      <c r="F180" s="13"/>
      <c r="G180" s="13"/>
      <c r="H180" s="13"/>
      <c r="I180" s="114" t="str">
        <f>IF(AND($A180&lt;&gt;"",OR($A180&amp;""=PMIS_Home!$B$4&amp;"",$A180&amp;""="Campus")),MAX($I$4:I179)+1,"")</f>
        <v/>
      </c>
    </row>
    <row r="181" spans="1:9" ht="6.95" customHeight="1">
      <c r="A181" s="13"/>
      <c r="B181" s="13"/>
      <c r="C181" s="13"/>
      <c r="D181" s="13"/>
      <c r="E181" s="13"/>
      <c r="F181" s="13"/>
      <c r="G181" s="13"/>
      <c r="H181" s="13"/>
      <c r="I181" s="114" t="str">
        <f>IF(AND($A181&lt;&gt;"",OR($A181&amp;""=PMIS_Home!$B$4&amp;"",$A181&amp;""="Campus")),MAX($I$4:I180)+1,"")</f>
        <v/>
      </c>
    </row>
    <row r="182" spans="1:9" ht="6.95" customHeight="1">
      <c r="A182" s="13"/>
      <c r="B182" s="13"/>
      <c r="C182" s="13"/>
      <c r="D182" s="13"/>
      <c r="E182" s="13"/>
      <c r="F182" s="13"/>
      <c r="G182" s="13"/>
      <c r="H182" s="13"/>
      <c r="I182" s="114" t="str">
        <f>IF(AND($A182&lt;&gt;"",OR($A182&amp;""=PMIS_Home!$B$4&amp;"",$A182&amp;""="Campus")),MAX($I$4:I181)+1,"")</f>
        <v/>
      </c>
    </row>
    <row r="183" spans="1:9" ht="6.95" customHeight="1">
      <c r="A183" s="13"/>
      <c r="B183" s="13"/>
      <c r="C183" s="13"/>
      <c r="D183" s="13"/>
      <c r="E183" s="13"/>
      <c r="F183" s="13"/>
      <c r="G183" s="13"/>
      <c r="H183" s="13"/>
      <c r="I183" s="114" t="str">
        <f>IF(AND($A183&lt;&gt;"",OR($A183&amp;""=PMIS_Home!$B$4&amp;"",$A183&amp;""="Campus")),MAX($I$4:I182)+1,"")</f>
        <v/>
      </c>
    </row>
    <row r="184" spans="1:9" ht="6.95" customHeight="1">
      <c r="A184" s="13"/>
      <c r="B184" s="13"/>
      <c r="C184" s="13"/>
      <c r="D184" s="13"/>
      <c r="E184" s="13"/>
      <c r="F184" s="13"/>
      <c r="G184" s="13"/>
      <c r="H184" s="13"/>
      <c r="I184" s="114" t="str">
        <f>IF(AND($A184&lt;&gt;"",OR($A184&amp;""=PMIS_Home!$B$4&amp;"",$A184&amp;""="Campus")),MAX($I$4:I183)+1,"")</f>
        <v/>
      </c>
    </row>
    <row r="185" spans="1:9" ht="6.95" customHeight="1">
      <c r="A185" s="13"/>
      <c r="B185" s="13"/>
      <c r="C185" s="13"/>
      <c r="D185" s="13"/>
      <c r="E185" s="13"/>
      <c r="F185" s="13"/>
      <c r="G185" s="13"/>
      <c r="H185" s="13"/>
      <c r="I185" s="114" t="str">
        <f>IF(AND($A185&lt;&gt;"",OR($A185&amp;""=PMIS_Home!$B$4&amp;"",$A185&amp;""="Campus")),MAX($I$4:I184)+1,"")</f>
        <v/>
      </c>
    </row>
    <row r="186" spans="1:9" ht="6.95" customHeight="1">
      <c r="A186" s="13"/>
      <c r="B186" s="13"/>
      <c r="C186" s="13"/>
      <c r="D186" s="13"/>
      <c r="E186" s="13"/>
      <c r="F186" s="13"/>
      <c r="G186" s="13"/>
      <c r="H186" s="13"/>
      <c r="I186" s="114" t="str">
        <f>IF(AND($A186&lt;&gt;"",OR($A186&amp;""=PMIS_Home!$B$4&amp;"",$A186&amp;""="Campus")),MAX($I$4:I185)+1,"")</f>
        <v/>
      </c>
    </row>
    <row r="187" spans="1:9" ht="6.95" customHeight="1">
      <c r="A187" s="13"/>
      <c r="B187" s="13"/>
      <c r="C187" s="13"/>
      <c r="D187" s="13"/>
      <c r="E187" s="13"/>
      <c r="F187" s="13"/>
      <c r="G187" s="13"/>
      <c r="H187" s="13"/>
      <c r="I187" s="114" t="str">
        <f>IF(AND($A187&lt;&gt;"",OR($A187&amp;""=PMIS_Home!$B$4&amp;"",$A187&amp;""="Campus")),MAX($I$4:I186)+1,"")</f>
        <v/>
      </c>
    </row>
    <row r="188" spans="1:9" ht="6.95" customHeight="1">
      <c r="A188" s="13"/>
      <c r="B188" s="13"/>
      <c r="C188" s="13"/>
      <c r="D188" s="13"/>
      <c r="E188" s="13"/>
      <c r="F188" s="13"/>
      <c r="G188" s="13"/>
      <c r="H188" s="13"/>
      <c r="I188" s="114" t="str">
        <f>IF(AND($A188&lt;&gt;"",OR($A188&amp;""=PMIS_Home!$B$4&amp;"",$A188&amp;""="Campus")),MAX($I$4:I187)+1,"")</f>
        <v/>
      </c>
    </row>
    <row r="189" spans="1:9" ht="6.95" customHeight="1">
      <c r="A189" s="13"/>
      <c r="B189" s="13"/>
      <c r="C189" s="13"/>
      <c r="D189" s="13"/>
      <c r="E189" s="13"/>
      <c r="F189" s="13"/>
      <c r="G189" s="13"/>
      <c r="H189" s="13"/>
      <c r="I189" s="114" t="str">
        <f>IF(AND($A189&lt;&gt;"",OR($A189&amp;""=PMIS_Home!$B$4&amp;"",$A189&amp;""="Campus")),MAX($I$4:I188)+1,"")</f>
        <v/>
      </c>
    </row>
    <row r="190" spans="1:9" ht="6.95" customHeight="1">
      <c r="A190" s="13"/>
      <c r="B190" s="13"/>
      <c r="C190" s="13"/>
      <c r="D190" s="13"/>
      <c r="E190" s="13"/>
      <c r="F190" s="13"/>
      <c r="G190" s="13"/>
      <c r="H190" s="13"/>
      <c r="I190" s="114" t="str">
        <f>IF(AND($A190&lt;&gt;"",OR($A190&amp;""=PMIS_Home!$B$4&amp;"",$A190&amp;""="Campus")),MAX($I$4:I189)+1,"")</f>
        <v/>
      </c>
    </row>
    <row r="191" spans="1:9" ht="6.95" customHeight="1">
      <c r="A191" s="13"/>
      <c r="B191" s="13"/>
      <c r="C191" s="13"/>
      <c r="D191" s="13"/>
      <c r="E191" s="13"/>
      <c r="F191" s="13"/>
      <c r="G191" s="13"/>
      <c r="H191" s="13"/>
      <c r="I191" s="114" t="str">
        <f>IF(AND($A191&lt;&gt;"",OR($A191&amp;""=PMIS_Home!$B$4&amp;"",$A191&amp;""="Campus")),MAX($I$4:I190)+1,"")</f>
        <v/>
      </c>
    </row>
    <row r="192" spans="1:9" ht="6.95" customHeight="1">
      <c r="A192" s="13"/>
      <c r="B192" s="13"/>
      <c r="C192" s="13"/>
      <c r="D192" s="13"/>
      <c r="E192" s="13"/>
      <c r="F192" s="13"/>
      <c r="G192" s="13"/>
      <c r="H192" s="13"/>
      <c r="I192" s="114" t="str">
        <f>IF(AND($A192&lt;&gt;"",OR($A192&amp;""=PMIS_Home!$B$4&amp;"",$A192&amp;""="Campus")),MAX($I$4:I191)+1,"")</f>
        <v/>
      </c>
    </row>
    <row r="193" spans="1:9" ht="6.95" customHeight="1">
      <c r="A193" s="13"/>
      <c r="B193" s="13"/>
      <c r="C193" s="13"/>
      <c r="D193" s="13"/>
      <c r="E193" s="13"/>
      <c r="F193" s="13"/>
      <c r="G193" s="13"/>
      <c r="H193" s="13"/>
      <c r="I193" s="114" t="str">
        <f>IF(AND($A193&lt;&gt;"",OR($A193&amp;""=PMIS_Home!$B$4&amp;"",$A193&amp;""="Campus")),MAX($I$4:I192)+1,"")</f>
        <v/>
      </c>
    </row>
    <row r="194" spans="1:9" ht="6.95" customHeight="1">
      <c r="A194" s="13"/>
      <c r="B194" s="13"/>
      <c r="C194" s="13"/>
      <c r="D194" s="13"/>
      <c r="E194" s="13"/>
      <c r="F194" s="13"/>
      <c r="G194" s="13"/>
      <c r="H194" s="13"/>
      <c r="I194" s="114" t="str">
        <f>IF(AND($A194&lt;&gt;"",OR($A194&amp;""=PMIS_Home!$B$4&amp;"",$A194&amp;""="Campus")),MAX($I$4:I193)+1,"")</f>
        <v/>
      </c>
    </row>
    <row r="195" spans="1:9" ht="6.95" customHeight="1">
      <c r="A195" s="13"/>
      <c r="B195" s="13"/>
      <c r="C195" s="13"/>
      <c r="D195" s="13"/>
      <c r="E195" s="13"/>
      <c r="F195" s="13"/>
      <c r="G195" s="13"/>
      <c r="H195" s="13"/>
      <c r="I195" s="114" t="str">
        <f>IF(AND($A195&lt;&gt;"",OR($A195&amp;""=PMIS_Home!$B$4&amp;"",$A195&amp;""="Campus")),MAX($I$4:I194)+1,"")</f>
        <v/>
      </c>
    </row>
    <row r="196" spans="1:9" ht="6.95" customHeight="1">
      <c r="A196" s="13"/>
      <c r="B196" s="13"/>
      <c r="C196" s="13"/>
      <c r="D196" s="13"/>
      <c r="E196" s="13"/>
      <c r="F196" s="13"/>
      <c r="G196" s="13"/>
      <c r="H196" s="13"/>
      <c r="I196" s="114" t="str">
        <f>IF(AND($A196&lt;&gt;"",OR($A196&amp;""=PMIS_Home!$B$4&amp;"",$A196&amp;""="Campus")),MAX($I$4:I195)+1,"")</f>
        <v/>
      </c>
    </row>
    <row r="197" spans="1:9" ht="6.95" customHeight="1">
      <c r="A197" s="13"/>
      <c r="B197" s="13"/>
      <c r="C197" s="13"/>
      <c r="D197" s="13"/>
      <c r="E197" s="13"/>
      <c r="F197" s="13"/>
      <c r="G197" s="13"/>
      <c r="H197" s="13"/>
      <c r="I197" s="114" t="str">
        <f>IF(AND($A197&lt;&gt;"",OR($A197&amp;""=PMIS_Home!$B$4&amp;"",$A197&amp;""="Campus")),MAX($I$4:I196)+1,"")</f>
        <v/>
      </c>
    </row>
    <row r="198" spans="1:9" ht="6.95" customHeight="1">
      <c r="A198" s="13"/>
      <c r="B198" s="13"/>
      <c r="C198" s="13"/>
      <c r="D198" s="13"/>
      <c r="E198" s="13"/>
      <c r="F198" s="13"/>
      <c r="G198" s="13"/>
      <c r="H198" s="13"/>
      <c r="I198" s="114" t="str">
        <f>IF(AND($A198&lt;&gt;"",OR($A198&amp;""=PMIS_Home!$B$4&amp;"",$A198&amp;""="Campus")),MAX($I$4:I197)+1,"")</f>
        <v/>
      </c>
    </row>
    <row r="199" spans="1:9" ht="6.95" customHeight="1">
      <c r="A199" s="13"/>
      <c r="B199" s="13"/>
      <c r="C199" s="13"/>
      <c r="D199" s="13"/>
      <c r="E199" s="13"/>
      <c r="F199" s="13"/>
      <c r="G199" s="13"/>
      <c r="H199" s="13"/>
      <c r="I199" s="114" t="str">
        <f>IF(AND($A199&lt;&gt;"",OR($A199&amp;""=PMIS_Home!$B$4&amp;"",$A199&amp;""="Campus")),MAX($I$4:I198)+1,"")</f>
        <v/>
      </c>
    </row>
    <row r="200" spans="1:9" ht="6.95" customHeight="1">
      <c r="A200" s="13"/>
      <c r="B200" s="13"/>
      <c r="C200" s="13"/>
      <c r="D200" s="13"/>
      <c r="E200" s="13"/>
      <c r="F200" s="13"/>
      <c r="G200" s="13"/>
      <c r="H200" s="13"/>
      <c r="I200" s="114" t="str">
        <f>IF(AND($A200&lt;&gt;"",OR($A200&amp;""=PMIS_Home!$B$4&amp;"",$A200&amp;""="Campus")),MAX($I$4:I199)+1,"")</f>
        <v/>
      </c>
    </row>
    <row r="201" spans="1:9" ht="6.95" customHeight="1">
      <c r="A201" s="13"/>
      <c r="B201" s="13"/>
      <c r="C201" s="13"/>
      <c r="D201" s="13"/>
      <c r="E201" s="13"/>
      <c r="F201" s="13"/>
      <c r="G201" s="13"/>
      <c r="H201" s="13"/>
      <c r="I201" s="114" t="str">
        <f>IF(AND($A201&lt;&gt;"",OR($A201&amp;""=PMIS_Home!$B$4&amp;"",$A201&amp;""="Campus")),MAX($I$4:I200)+1,"")</f>
        <v/>
      </c>
    </row>
    <row r="202" spans="1:9" ht="6.95" customHeight="1">
      <c r="A202" s="13"/>
      <c r="B202" s="13"/>
      <c r="C202" s="13"/>
      <c r="D202" s="13"/>
      <c r="E202" s="13"/>
      <c r="F202" s="13"/>
      <c r="G202" s="13"/>
      <c r="H202" s="13"/>
      <c r="I202" s="114" t="str">
        <f>IF(AND($A202&lt;&gt;"",OR($A202&amp;""=PMIS_Home!$B$4&amp;"",$A202&amp;""="Campus")),MAX($I$4:I201)+1,"")</f>
        <v/>
      </c>
    </row>
    <row r="203" spans="1:9" ht="6.95" customHeight="1">
      <c r="A203" s="13"/>
      <c r="B203" s="13"/>
      <c r="C203" s="13"/>
      <c r="D203" s="13"/>
      <c r="E203" s="13"/>
      <c r="F203" s="13"/>
      <c r="G203" s="13"/>
      <c r="H203" s="13"/>
      <c r="I203" s="114" t="str">
        <f>IF(AND($A203&lt;&gt;"",OR($A203&amp;""=PMIS_Home!$B$4&amp;"",$A203&amp;""="Campus")),MAX($I$4:I202)+1,"")</f>
        <v/>
      </c>
    </row>
    <row r="204" spans="1:9" ht="6.95" customHeight="1">
      <c r="A204" s="13"/>
      <c r="B204" s="13"/>
      <c r="C204" s="13"/>
      <c r="D204" s="13"/>
      <c r="E204" s="13"/>
      <c r="F204" s="13"/>
      <c r="G204" s="13"/>
      <c r="H204" s="13"/>
      <c r="I204" s="114" t="str">
        <f>IF(AND($A204&lt;&gt;"",OR($A204&amp;""=PMIS_Home!$B$4&amp;"",$A204&amp;""="Campus")),MAX($I$4:I203)+1,"")</f>
        <v/>
      </c>
    </row>
    <row r="205" spans="1:9" ht="6.95" customHeight="1">
      <c r="A205" s="13"/>
      <c r="B205" s="13"/>
      <c r="C205" s="13"/>
      <c r="D205" s="13"/>
      <c r="E205" s="13"/>
      <c r="F205" s="13"/>
      <c r="G205" s="13"/>
      <c r="H205" s="13"/>
      <c r="I205" s="114" t="str">
        <f>IF(AND($A205&lt;&gt;"",OR($A205&amp;""=PMIS_Home!$B$4&amp;"",$A205&amp;""="Campus")),MAX($I$4:I204)+1,"")</f>
        <v/>
      </c>
    </row>
    <row r="206" spans="1:9" ht="6.95" customHeight="1">
      <c r="A206" s="13"/>
      <c r="B206" s="13"/>
      <c r="C206" s="13"/>
      <c r="D206" s="13"/>
      <c r="E206" s="13"/>
      <c r="F206" s="13"/>
      <c r="G206" s="13"/>
      <c r="H206" s="13"/>
      <c r="I206" s="114" t="str">
        <f>IF(AND($A206&lt;&gt;"",OR($A206&amp;""=PMIS_Home!$B$4&amp;"",$A206&amp;""="Campus")),MAX($I$4:I205)+1,"")</f>
        <v/>
      </c>
    </row>
    <row r="207" spans="1:9" ht="6.95" customHeight="1">
      <c r="A207" s="13"/>
      <c r="B207" s="13"/>
      <c r="C207" s="13"/>
      <c r="D207" s="13"/>
      <c r="E207" s="13"/>
      <c r="F207" s="13"/>
      <c r="G207" s="13"/>
      <c r="H207" s="13"/>
      <c r="I207" s="114" t="str">
        <f>IF(AND($A207&lt;&gt;"",OR($A207&amp;""=PMIS_Home!$B$4&amp;"",$A207&amp;""="Campus")),MAX($I$4:I206)+1,"")</f>
        <v/>
      </c>
    </row>
    <row r="208" spans="1:9" ht="6.95" customHeight="1">
      <c r="A208" s="13"/>
      <c r="B208" s="13"/>
      <c r="C208" s="13"/>
      <c r="D208" s="13"/>
      <c r="E208" s="13"/>
      <c r="F208" s="13"/>
      <c r="G208" s="13"/>
      <c r="H208" s="13"/>
      <c r="I208" s="114" t="str">
        <f>IF(AND($A208&lt;&gt;"",OR($A208&amp;""=PMIS_Home!$B$4&amp;"",$A208&amp;""="Campus")),MAX($I$4:I207)+1,"")</f>
        <v/>
      </c>
    </row>
    <row r="209" spans="1:9" ht="6.95" customHeight="1">
      <c r="A209" s="13"/>
      <c r="B209" s="13"/>
      <c r="C209" s="13"/>
      <c r="D209" s="13"/>
      <c r="E209" s="13"/>
      <c r="F209" s="13"/>
      <c r="G209" s="13"/>
      <c r="H209" s="13"/>
      <c r="I209" s="114" t="str">
        <f>IF(AND($A209&lt;&gt;"",OR($A209&amp;""=PMIS_Home!$B$4&amp;"",$A209&amp;""="Campus")),MAX($I$4:I208)+1,"")</f>
        <v/>
      </c>
    </row>
    <row r="210" spans="1:9" ht="6.95" customHeight="1">
      <c r="A210" s="13"/>
      <c r="B210" s="13"/>
      <c r="C210" s="13"/>
      <c r="D210" s="13"/>
      <c r="E210" s="13"/>
      <c r="F210" s="13"/>
      <c r="G210" s="13"/>
      <c r="H210" s="13"/>
      <c r="I210" s="114" t="str">
        <f>IF(AND($A210&lt;&gt;"",OR($A210&amp;""=PMIS_Home!$B$4&amp;"",$A210&amp;""="Campus")),MAX($I$4:I209)+1,"")</f>
        <v/>
      </c>
    </row>
    <row r="211" spans="1:9" ht="6.95" customHeight="1">
      <c r="A211" s="13"/>
      <c r="B211" s="13"/>
      <c r="C211" s="13"/>
      <c r="D211" s="13"/>
      <c r="E211" s="13"/>
      <c r="F211" s="13"/>
      <c r="G211" s="13"/>
      <c r="H211" s="13"/>
      <c r="I211" s="114" t="str">
        <f>IF(AND($A211&lt;&gt;"",OR($A211&amp;""=PMIS_Home!$B$4&amp;"",$A211&amp;""="Campus")),MAX($I$4:I210)+1,"")</f>
        <v/>
      </c>
    </row>
    <row r="212" spans="1:9" ht="6.95" customHeight="1">
      <c r="A212" s="13"/>
      <c r="B212" s="13"/>
      <c r="C212" s="13"/>
      <c r="D212" s="13"/>
      <c r="E212" s="13"/>
      <c r="F212" s="13"/>
      <c r="G212" s="13"/>
      <c r="H212" s="13"/>
      <c r="I212" s="114" t="str">
        <f>IF(AND($A212&lt;&gt;"",OR($A212&amp;""=PMIS_Home!$B$4&amp;"",$A212&amp;""="Campus")),MAX($I$4:I211)+1,"")</f>
        <v/>
      </c>
    </row>
    <row r="213" spans="1:9" ht="6.95" customHeight="1">
      <c r="A213" s="13"/>
      <c r="B213" s="13"/>
      <c r="C213" s="13"/>
      <c r="D213" s="13"/>
      <c r="E213" s="13"/>
      <c r="F213" s="13"/>
      <c r="G213" s="13"/>
      <c r="H213" s="13"/>
      <c r="I213" s="114" t="str">
        <f>IF(AND($A213&lt;&gt;"",OR($A213&amp;""=PMIS_Home!$B$4&amp;"",$A213&amp;""="Campus")),MAX($I$4:I212)+1,"")</f>
        <v/>
      </c>
    </row>
    <row r="214" spans="1:9" ht="6.95" customHeight="1">
      <c r="A214" s="13"/>
      <c r="B214" s="13"/>
      <c r="C214" s="13"/>
      <c r="D214" s="13"/>
      <c r="E214" s="13"/>
      <c r="F214" s="13"/>
      <c r="G214" s="13"/>
      <c r="H214" s="13"/>
      <c r="I214" s="114" t="str">
        <f>IF(AND($A214&lt;&gt;"",OR($A214&amp;""=PMIS_Home!$B$4&amp;"",$A214&amp;""="Campus")),MAX($I$4:I213)+1,"")</f>
        <v/>
      </c>
    </row>
    <row r="215" spans="1:9" ht="6.95" customHeight="1">
      <c r="A215" s="13"/>
      <c r="B215" s="13"/>
      <c r="C215" s="13"/>
      <c r="D215" s="13"/>
      <c r="E215" s="13"/>
      <c r="F215" s="13"/>
      <c r="G215" s="13"/>
      <c r="H215" s="13"/>
      <c r="I215" s="114" t="str">
        <f>IF(AND($A215&lt;&gt;"",OR($A215&amp;""=PMIS_Home!$B$4&amp;"",$A215&amp;""="Campus")),MAX($I$4:I214)+1,"")</f>
        <v/>
      </c>
    </row>
    <row r="216" spans="1:9" ht="6.95" customHeight="1">
      <c r="A216" s="13"/>
      <c r="B216" s="13"/>
      <c r="C216" s="13"/>
      <c r="D216" s="13"/>
      <c r="E216" s="13"/>
      <c r="F216" s="13"/>
      <c r="G216" s="13"/>
      <c r="H216" s="13"/>
      <c r="I216" s="114" t="str">
        <f>IF(AND($A216&lt;&gt;"",OR($A216&amp;""=PMIS_Home!$B$4&amp;"",$A216&amp;""="Campus")),MAX($I$4:I215)+1,"")</f>
        <v/>
      </c>
    </row>
    <row r="217" spans="1:9" ht="6.95" customHeight="1">
      <c r="A217" s="13"/>
      <c r="B217" s="13"/>
      <c r="C217" s="13"/>
      <c r="D217" s="13"/>
      <c r="E217" s="13"/>
      <c r="F217" s="13"/>
      <c r="G217" s="13"/>
      <c r="H217" s="13"/>
      <c r="I217" s="114" t="str">
        <f>IF(AND($A217&lt;&gt;"",OR($A217&amp;""=PMIS_Home!$B$4&amp;"",$A217&amp;""="Campus")),MAX($I$4:I216)+1,"")</f>
        <v/>
      </c>
    </row>
    <row r="218" spans="1:9" ht="6.95" customHeight="1">
      <c r="A218" s="13"/>
      <c r="B218" s="13"/>
      <c r="C218" s="13"/>
      <c r="D218" s="13"/>
      <c r="E218" s="13"/>
      <c r="F218" s="13"/>
      <c r="G218" s="13"/>
      <c r="H218" s="13"/>
      <c r="I218" s="114" t="str">
        <f>IF(AND($A218&lt;&gt;"",OR($A218&amp;""=PMIS_Home!$B$4&amp;"",$A218&amp;""="Campus")),MAX($I$4:I217)+1,"")</f>
        <v/>
      </c>
    </row>
    <row r="219" spans="1:9" ht="6.95" customHeight="1">
      <c r="A219" s="13"/>
      <c r="B219" s="13"/>
      <c r="C219" s="13"/>
      <c r="D219" s="13"/>
      <c r="E219" s="13"/>
      <c r="F219" s="13"/>
      <c r="G219" s="13"/>
      <c r="H219" s="13"/>
      <c r="I219" s="114" t="str">
        <f>IF(AND($A219&lt;&gt;"",OR($A219&amp;""=PMIS_Home!$B$4&amp;"",$A219&amp;""="Campus")),MAX($I$4:I218)+1,"")</f>
        <v/>
      </c>
    </row>
    <row r="220" spans="1:9" ht="6.95" customHeight="1">
      <c r="A220" s="13"/>
      <c r="B220" s="13"/>
      <c r="C220" s="13"/>
      <c r="D220" s="13"/>
      <c r="E220" s="13"/>
      <c r="F220" s="13"/>
      <c r="G220" s="13"/>
      <c r="H220" s="13"/>
      <c r="I220" s="114" t="str">
        <f>IF(AND($A220&lt;&gt;"",OR($A220&amp;""=PMIS_Home!$B$4&amp;"",$A220&amp;""="Campus")),MAX($I$4:I219)+1,"")</f>
        <v/>
      </c>
    </row>
    <row r="221" spans="1:9" ht="7.35" customHeight="1">
      <c r="I221" s="74" t="str">
        <f>IF(AND($A221&lt;&gt;"",OR($A221&amp;""=PMIS_Home!$B$4&amp;"",$A221&amp;""="Campus")),MAX($I$4:I220)+1,"")</f>
        <v/>
      </c>
    </row>
    <row r="222" spans="1:9" ht="7.35" customHeight="1">
      <c r="I222" s="74" t="str">
        <f>IF(AND($A222&lt;&gt;"",OR($A222&amp;""=PMIS_Home!$B$4&amp;"",$A222&amp;""="Campus")),MAX($I$4:I221)+1,"")</f>
        <v/>
      </c>
    </row>
    <row r="223" spans="1:9" ht="7.35" customHeight="1">
      <c r="I223" s="74" t="str">
        <f>IF(AND($A223&lt;&gt;"",OR($A223&amp;""=PMIS_Home!$B$4&amp;"",$A223&amp;""="Campus")),MAX($I$4:I222)+1,"")</f>
        <v/>
      </c>
    </row>
    <row r="224" spans="1:9" ht="7.35" customHeight="1">
      <c r="I224" s="74" t="str">
        <f>IF(AND($A224&lt;&gt;"",OR($A224&amp;""=PMIS_Home!$B$4&amp;"",$A224&amp;""="Campus")),MAX($I$4:I223)+1,"")</f>
        <v/>
      </c>
    </row>
    <row r="225" spans="9:9" ht="7.35" customHeight="1">
      <c r="I225" s="74" t="str">
        <f>IF(AND($A225&lt;&gt;"",OR($A225&amp;""=PMIS_Home!$B$4&amp;"",$A225&amp;""="Campus")),MAX($I$4:I224)+1,"")</f>
        <v/>
      </c>
    </row>
    <row r="226" spans="9:9" ht="7.35" customHeight="1">
      <c r="I226" s="74" t="str">
        <f>IF(AND($A226&lt;&gt;"",OR($A226&amp;""=PMIS_Home!$B$4&amp;"",$A226&amp;""="Campus")),MAX($I$4:I225)+1,"")</f>
        <v/>
      </c>
    </row>
    <row r="227" spans="9:9" ht="7.35" customHeight="1">
      <c r="I227" s="74" t="str">
        <f>IF(AND($A227&lt;&gt;"",OR($A227&amp;""=PMIS_Home!$B$4&amp;"",$A227&amp;""="Campus")),MAX($I$4:I226)+1,"")</f>
        <v/>
      </c>
    </row>
    <row r="228" spans="9:9" ht="7.35" customHeight="1">
      <c r="I228" s="74" t="str">
        <f>IF(AND($A228&lt;&gt;"",OR($A228&amp;""=PMIS_Home!$B$4&amp;"",$A228&amp;""="Campus")),MAX($I$4:I227)+1,"")</f>
        <v/>
      </c>
    </row>
    <row r="229" spans="9:9" ht="7.35" customHeight="1">
      <c r="I229" s="74" t="str">
        <f>IF(AND($A229&lt;&gt;"",OR($A229&amp;""=PMIS_Home!$B$4&amp;"",$A229&amp;""="Campus")),MAX($I$4:I228)+1,"")</f>
        <v/>
      </c>
    </row>
    <row r="230" spans="9:9" ht="7.35" customHeight="1">
      <c r="I230" s="74" t="str">
        <f>IF(AND($A230&lt;&gt;"",OR($A230&amp;""=PMIS_Home!$B$4&amp;"",$A230&amp;""="Campus")),MAX($I$4:I229)+1,"")</f>
        <v/>
      </c>
    </row>
    <row r="231" spans="9:9" ht="7.35" customHeight="1">
      <c r="I231" s="74" t="str">
        <f>IF(AND($A231&lt;&gt;"",OR($A231&amp;""=PMIS_Home!$B$4&amp;"",$A231&amp;""="Campus")),MAX($I$4:I230)+1,"")</f>
        <v/>
      </c>
    </row>
    <row r="232" spans="9:9" ht="7.35" customHeight="1">
      <c r="I232" s="74" t="str">
        <f>IF(AND($A232&lt;&gt;"",OR($A232&amp;""=PMIS_Home!$B$4&amp;"",$A232&amp;""="Campus")),MAX($I$4:I231)+1,"")</f>
        <v/>
      </c>
    </row>
    <row r="233" spans="9:9" ht="7.35" customHeight="1">
      <c r="I233" s="74" t="str">
        <f>IF(AND($A233&lt;&gt;"",OR($A233&amp;""=PMIS_Home!$B$4&amp;"",$A233&amp;""="Campus")),MAX($I$4:I232)+1,"")</f>
        <v/>
      </c>
    </row>
    <row r="234" spans="9:9" ht="7.35" customHeight="1">
      <c r="I234" s="74" t="str">
        <f>IF(AND($A234&lt;&gt;"",OR($A234&amp;""=PMIS_Home!$B$4&amp;"",$A234&amp;""="Campus")),MAX($I$4:I233)+1,"")</f>
        <v/>
      </c>
    </row>
    <row r="235" spans="9:9" ht="7.35" customHeight="1">
      <c r="I235" s="74" t="str">
        <f>IF(AND($A235&lt;&gt;"",OR($A235&amp;""=PMIS_Home!$B$4&amp;"",$A235&amp;""="Campus")),MAX($I$4:I234)+1,"")</f>
        <v/>
      </c>
    </row>
    <row r="236" spans="9:9" ht="7.35" customHeight="1">
      <c r="I236" s="74" t="str">
        <f>IF(AND($A236&lt;&gt;"",OR($A236&amp;""=PMIS_Home!$B$4&amp;"",$A236&amp;""="Campus")),MAX($I$4:I235)+1,"")</f>
        <v/>
      </c>
    </row>
    <row r="237" spans="9:9" ht="7.35" customHeight="1">
      <c r="I237" s="74" t="str">
        <f>IF(AND($A237&lt;&gt;"",OR($A237&amp;""=PMIS_Home!$B$4&amp;"",$A237&amp;""="Campus")),MAX($I$4:I236)+1,"")</f>
        <v/>
      </c>
    </row>
    <row r="238" spans="9:9" ht="7.35" customHeight="1">
      <c r="I238" s="74" t="str">
        <f>IF(AND($A238&lt;&gt;"",OR($A238&amp;""=PMIS_Home!$B$4&amp;"",$A238&amp;""="Campus")),MAX($I$4:I237)+1,"")</f>
        <v/>
      </c>
    </row>
    <row r="239" spans="9:9" ht="7.35" customHeight="1">
      <c r="I239" s="74" t="str">
        <f>IF(AND($A239&lt;&gt;"",OR($A239&amp;""=PMIS_Home!$B$4&amp;"",$A239&amp;""="Campus")),MAX($I$4:I238)+1,"")</f>
        <v/>
      </c>
    </row>
    <row r="240" spans="9:9" ht="7.35" customHeight="1">
      <c r="I240" s="74" t="str">
        <f>IF(AND($A240&lt;&gt;"",OR($A240&amp;""=PMIS_Home!$B$4&amp;"",$A240&amp;""="Campus")),MAX($I$4:I239)+1,"")</f>
        <v/>
      </c>
    </row>
    <row r="241" spans="9:9" ht="7.35" customHeight="1">
      <c r="I241" s="74" t="str">
        <f>IF(AND($A241&lt;&gt;"",OR($A241&amp;""=PMIS_Home!$B$4&amp;"",$A241&amp;""="Campus")),MAX($I$4:I240)+1,"")</f>
        <v/>
      </c>
    </row>
    <row r="242" spans="9:9" ht="7.35" customHeight="1">
      <c r="I242" s="74" t="str">
        <f>IF(AND($A242&lt;&gt;"",OR($A242&amp;""=PMIS_Home!$B$4&amp;"",$A242&amp;""="Campus")),MAX($I$4:I241)+1,"")</f>
        <v/>
      </c>
    </row>
    <row r="243" spans="9:9" ht="7.35" customHeight="1">
      <c r="I243" s="74" t="str">
        <f>IF(AND($A243&lt;&gt;"",OR($A243&amp;""=PMIS_Home!$B$4&amp;"",$A243&amp;""="Campus")),MAX($I$4:I242)+1,"")</f>
        <v/>
      </c>
    </row>
    <row r="244" spans="9:9" ht="7.35" customHeight="1">
      <c r="I244" s="74" t="str">
        <f>IF(AND($A244&lt;&gt;"",OR($A244&amp;""=PMIS_Home!$B$4&amp;"",$A244&amp;""="Campus")),MAX($I$4:I243)+1,"")</f>
        <v/>
      </c>
    </row>
    <row r="245" spans="9:9" ht="7.35" customHeight="1">
      <c r="I245" s="74" t="str">
        <f>IF(AND($A245&lt;&gt;"",OR($A245&amp;""=PMIS_Home!$B$4&amp;"",$A245&amp;""="Campus")),MAX($I$4:I244)+1,"")</f>
        <v/>
      </c>
    </row>
    <row r="246" spans="9:9" ht="7.35" customHeight="1">
      <c r="I246" s="74" t="str">
        <f>IF(AND($A246&lt;&gt;"",OR($A246&amp;""=PMIS_Home!$B$4&amp;"",$A246&amp;""="Campus")),MAX($I$4:I245)+1,"")</f>
        <v/>
      </c>
    </row>
    <row r="247" spans="9:9" ht="7.35" customHeight="1">
      <c r="I247" s="74" t="str">
        <f>IF(AND($A247&lt;&gt;"",OR($A247&amp;""=PMIS_Home!$B$4&amp;"",$A247&amp;""="Campus")),MAX($I$4:I246)+1,"")</f>
        <v/>
      </c>
    </row>
    <row r="248" spans="9:9" ht="7.35" customHeight="1">
      <c r="I248" s="74" t="str">
        <f>IF(AND($A248&lt;&gt;"",OR($A248&amp;""=PMIS_Home!$B$4&amp;"",$A248&amp;""="Campus")),MAX($I$4:I247)+1,"")</f>
        <v/>
      </c>
    </row>
    <row r="249" spans="9:9" ht="7.35" customHeight="1">
      <c r="I249" s="74" t="str">
        <f>IF(AND($A249&lt;&gt;"",OR($A249&amp;""=PMIS_Home!$B$4&amp;"",$A249&amp;""="Campus")),MAX($I$4:I248)+1,"")</f>
        <v/>
      </c>
    </row>
    <row r="250" spans="9:9" ht="7.35" customHeight="1">
      <c r="I250" s="74" t="str">
        <f>IF(AND($A250&lt;&gt;"",OR($A250&amp;""=PMIS_Home!$B$4&amp;"",$A250&amp;""="Campus")),MAX($I$4:I249)+1,"")</f>
        <v/>
      </c>
    </row>
    <row r="251" spans="9:9" ht="7.35" customHeight="1">
      <c r="I251" s="74" t="str">
        <f>IF(AND($A251&lt;&gt;"",OR($A251&amp;""=PMIS_Home!$B$4&amp;"",$A251&amp;""="Campus")),MAX($I$4:I250)+1,"")</f>
        <v/>
      </c>
    </row>
    <row r="252" spans="9:9" ht="7.35" customHeight="1">
      <c r="I252" s="74" t="str">
        <f>IF(AND($A252&lt;&gt;"",OR($A252&amp;""=PMIS_Home!$B$4&amp;"",$A252&amp;""="Campus")),MAX($I$4:I251)+1,"")</f>
        <v/>
      </c>
    </row>
    <row r="253" spans="9:9" ht="7.35" customHeight="1">
      <c r="I253" s="74" t="str">
        <f>IF(AND($A253&lt;&gt;"",OR($A253&amp;""=PMIS_Home!$B$4&amp;"",$A253&amp;""="Campus")),MAX($I$4:I252)+1,"")</f>
        <v/>
      </c>
    </row>
    <row r="254" spans="9:9" ht="7.35" customHeight="1">
      <c r="I254" s="74" t="str">
        <f>IF(AND($A254&lt;&gt;"",OR($A254&amp;""=PMIS_Home!$B$4&amp;"",$A254&amp;""="Campus")),MAX($I$4:I253)+1,"")</f>
        <v/>
      </c>
    </row>
    <row r="255" spans="9:9" ht="7.35" customHeight="1">
      <c r="I255" s="74" t="str">
        <f>IF(AND($A255&lt;&gt;"",OR($A255&amp;""=PMIS_Home!$B$4&amp;"",$A255&amp;""="Campus")),MAX($I$4:I254)+1,"")</f>
        <v/>
      </c>
    </row>
    <row r="256" spans="9:9" ht="7.35" customHeight="1">
      <c r="I256" s="74" t="str">
        <f>IF(AND($A256&lt;&gt;"",OR($A256&amp;""=PMIS_Home!$B$4&amp;"",$A256&amp;""="Campus")),MAX($I$4:I255)+1,"")</f>
        <v/>
      </c>
    </row>
    <row r="257" spans="9:9" ht="7.35" customHeight="1">
      <c r="I257" s="74" t="str">
        <f>IF(AND($A257&lt;&gt;"",OR($A257&amp;""=PMIS_Home!$B$4&amp;"",$A257&amp;""="Campus")),MAX($I$4:I256)+1,"")</f>
        <v/>
      </c>
    </row>
    <row r="258" spans="9:9" ht="7.35" customHeight="1">
      <c r="I258" s="74" t="str">
        <f>IF(AND($A258&lt;&gt;"",OR($A258&amp;""=PMIS_Home!$B$4&amp;"",$A258&amp;""="Campus")),MAX($I$4:I257)+1,"")</f>
        <v/>
      </c>
    </row>
    <row r="259" spans="9:9" ht="7.35" customHeight="1">
      <c r="I259" s="74" t="str">
        <f>IF(AND($A259&lt;&gt;"",OR($A259&amp;""=PMIS_Home!$B$4&amp;"",$A259&amp;""="Campus")),MAX($I$4:I258)+1,"")</f>
        <v/>
      </c>
    </row>
    <row r="260" spans="9:9" ht="7.35" customHeight="1">
      <c r="I260" s="74" t="str">
        <f>IF(AND($A260&lt;&gt;"",OR($A260&amp;""=PMIS_Home!$B$4&amp;"",$A260&amp;""="Campus")),MAX($I$4:I259)+1,"")</f>
        <v/>
      </c>
    </row>
    <row r="261" spans="9:9" ht="7.35" customHeight="1">
      <c r="I261" s="74" t="str">
        <f>IF(AND($A261&lt;&gt;"",OR($A261&amp;""=PMIS_Home!$B$4&amp;"",$A261&amp;""="Campus")),MAX($I$4:I260)+1,"")</f>
        <v/>
      </c>
    </row>
    <row r="262" spans="9:9" ht="7.35" customHeight="1">
      <c r="I262" s="74" t="str">
        <f>IF(AND($A262&lt;&gt;"",OR($A262&amp;""=PMIS_Home!$B$4&amp;"",$A262&amp;""="Campus")),MAX($I$4:I261)+1,"")</f>
        <v/>
      </c>
    </row>
    <row r="263" spans="9:9" ht="7.35" customHeight="1">
      <c r="I263" s="74" t="str">
        <f>IF(AND($A263&lt;&gt;"",OR($A263&amp;""=PMIS_Home!$B$4&amp;"",$A263&amp;""="Campus")),MAX($I$4:I262)+1,"")</f>
        <v/>
      </c>
    </row>
    <row r="264" spans="9:9" ht="7.35" customHeight="1">
      <c r="I264" s="74" t="str">
        <f>IF(AND($A264&lt;&gt;"",OR($A264&amp;""=PMIS_Home!$B$4&amp;"",$A264&amp;""="Campus")),MAX($I$4:I263)+1,"")</f>
        <v/>
      </c>
    </row>
    <row r="265" spans="9:9" ht="7.35" customHeight="1">
      <c r="I265" s="74" t="str">
        <f>IF(AND($A265&lt;&gt;"",OR($A265&amp;""=PMIS_Home!$B$4&amp;"",$A265&amp;""="Campus")),MAX($I$4:I264)+1,"")</f>
        <v/>
      </c>
    </row>
    <row r="266" spans="9:9" ht="7.35" customHeight="1">
      <c r="I266" s="74" t="str">
        <f>IF(AND($A266&lt;&gt;"",OR($A266&amp;""=PMIS_Home!$B$4&amp;"",$A266&amp;""="Campus")),MAX($I$4:I265)+1,"")</f>
        <v/>
      </c>
    </row>
    <row r="267" spans="9:9" ht="7.35" customHeight="1">
      <c r="I267" s="74" t="str">
        <f>IF(AND($A267&lt;&gt;"",OR($A267&amp;""=PMIS_Home!$B$4&amp;"",$A267&amp;""="Campus")),MAX($I$4:I266)+1,"")</f>
        <v/>
      </c>
    </row>
    <row r="268" spans="9:9" ht="7.35" customHeight="1">
      <c r="I268" s="74" t="str">
        <f>IF(AND($A268&lt;&gt;"",OR($A268&amp;""=PMIS_Home!$B$4&amp;"",$A268&amp;""="Campus")),MAX($I$4:I267)+1,"")</f>
        <v/>
      </c>
    </row>
    <row r="269" spans="9:9" ht="7.35" customHeight="1">
      <c r="I269" s="74" t="str">
        <f>IF(AND($A269&lt;&gt;"",OR($A269&amp;""=PMIS_Home!$B$4&amp;"",$A269&amp;""="Campus")),MAX($I$4:I268)+1,"")</f>
        <v/>
      </c>
    </row>
    <row r="270" spans="9:9" ht="7.35" customHeight="1">
      <c r="I270" s="74" t="str">
        <f>IF(AND($A270&lt;&gt;"",OR($A270&amp;""=PMIS_Home!$B$4&amp;"",$A270&amp;""="Campus")),MAX($I$4:I269)+1,"")</f>
        <v/>
      </c>
    </row>
    <row r="271" spans="9:9" ht="7.35" customHeight="1">
      <c r="I271" s="74" t="str">
        <f>IF(AND($A271&lt;&gt;"",OR($A271&amp;""=PMIS_Home!$B$4&amp;"",$A271&amp;""="Campus")),MAX($I$4:I270)+1,"")</f>
        <v/>
      </c>
    </row>
    <row r="272" spans="9:9" ht="7.35" customHeight="1">
      <c r="I272" s="74" t="str">
        <f>IF(AND($A272&lt;&gt;"",OR($A272&amp;""=PMIS_Home!$B$4&amp;"",$A272&amp;""="Campus")),MAX($I$4:I271)+1,"")</f>
        <v/>
      </c>
    </row>
    <row r="273" spans="9:9" ht="7.35" customHeight="1">
      <c r="I273" s="74" t="str">
        <f>IF(AND($A273&lt;&gt;"",OR($A273&amp;""=PMIS_Home!$B$4&amp;"",$A273&amp;""="Campus")),MAX($I$4:I272)+1,"")</f>
        <v/>
      </c>
    </row>
    <row r="274" spans="9:9" ht="7.35" customHeight="1">
      <c r="I274" s="74" t="str">
        <f>IF(AND($A274&lt;&gt;"",OR($A274&amp;""=PMIS_Home!$B$4&amp;"",$A274&amp;""="Campus")),MAX($I$4:I273)+1,"")</f>
        <v/>
      </c>
    </row>
    <row r="275" spans="9:9" ht="7.35" customHeight="1">
      <c r="I275" s="74" t="str">
        <f>IF(AND($A275&lt;&gt;"",OR($A275&amp;""=PMIS_Home!$B$4&amp;"",$A275&amp;""="Campus")),MAX($I$4:I274)+1,"")</f>
        <v/>
      </c>
    </row>
    <row r="276" spans="9:9" ht="7.35" customHeight="1">
      <c r="I276" s="74" t="str">
        <f>IF(AND($A276&lt;&gt;"",OR($A276&amp;""=PMIS_Home!$B$4&amp;"",$A276&amp;""="Campus")),MAX($I$4:I275)+1,"")</f>
        <v/>
      </c>
    </row>
    <row r="277" spans="9:9" ht="7.35" customHeight="1">
      <c r="I277" s="74" t="str">
        <f>IF(AND($A277&lt;&gt;"",OR($A277&amp;""=PMIS_Home!$B$4&amp;"",$A277&amp;""="Campus")),MAX($I$4:I276)+1,"")</f>
        <v/>
      </c>
    </row>
    <row r="278" spans="9:9" ht="7.35" customHeight="1">
      <c r="I278" s="74" t="str">
        <f>IF(AND($A278&lt;&gt;"",OR($A278&amp;""=PMIS_Home!$B$4&amp;"",$A278&amp;""="Campus")),MAX($I$4:I277)+1,"")</f>
        <v/>
      </c>
    </row>
    <row r="279" spans="9:9" ht="7.35" customHeight="1">
      <c r="I279" s="74" t="str">
        <f>IF(AND($A279&lt;&gt;"",OR($A279&amp;""=PMIS_Home!$B$4&amp;"",$A279&amp;""="Campus")),MAX($I$4:I278)+1,"")</f>
        <v/>
      </c>
    </row>
    <row r="280" spans="9:9" ht="7.35" customHeight="1">
      <c r="I280" s="74" t="str">
        <f>IF(AND($A280&lt;&gt;"",OR($A280&amp;""=PMIS_Home!$B$4&amp;"",$A280&amp;""="Campus")),MAX($I$4:I279)+1,"")</f>
        <v/>
      </c>
    </row>
    <row r="281" spans="9:9" ht="7.35" customHeight="1">
      <c r="I281" s="74" t="str">
        <f>IF(AND($A281&lt;&gt;"",OR($A281&amp;""=PMIS_Home!$B$4&amp;"",$A281&amp;""="Campus")),MAX($I$4:I280)+1,"")</f>
        <v/>
      </c>
    </row>
    <row r="282" spans="9:9" ht="7.35" customHeight="1">
      <c r="I282" s="74" t="str">
        <f>IF(AND($A282&lt;&gt;"",OR($A282&amp;""=PMIS_Home!$B$4&amp;"",$A282&amp;""="Campus")),MAX($I$4:I281)+1,"")</f>
        <v/>
      </c>
    </row>
    <row r="283" spans="9:9" ht="7.35" customHeight="1">
      <c r="I283" s="74" t="str">
        <f>IF(AND($A283&lt;&gt;"",OR($A283&amp;""=PMIS_Home!$B$4&amp;"",$A283&amp;""="Campus")),MAX($I$4:I282)+1,"")</f>
        <v/>
      </c>
    </row>
    <row r="284" spans="9:9" ht="7.35" customHeight="1">
      <c r="I284" s="74" t="str">
        <f>IF(AND($A284&lt;&gt;"",OR($A284&amp;""=PMIS_Home!$B$4&amp;"",$A284&amp;""="Campus")),MAX($I$4:I283)+1,"")</f>
        <v/>
      </c>
    </row>
    <row r="285" spans="9:9" ht="7.35" customHeight="1">
      <c r="I285" s="74" t="str">
        <f>IF(AND($A285&lt;&gt;"",OR($A285&amp;""=PMIS_Home!$B$4&amp;"",$A285&amp;""="Campus")),MAX($I$4:I284)+1,"")</f>
        <v/>
      </c>
    </row>
    <row r="286" spans="9:9" ht="7.35" customHeight="1">
      <c r="I286" s="74" t="str">
        <f>IF(AND($A286&lt;&gt;"",OR($A286&amp;""=PMIS_Home!$B$4&amp;"",$A286&amp;""="Campus")),MAX($I$4:I285)+1,"")</f>
        <v/>
      </c>
    </row>
    <row r="287" spans="9:9" ht="7.35" customHeight="1">
      <c r="I287" s="74" t="str">
        <f>IF(AND($A287&lt;&gt;"",OR($A287&amp;""=PMIS_Home!$B$4&amp;"",$A287&amp;""="Campus")),MAX($I$4:I286)+1,"")</f>
        <v/>
      </c>
    </row>
    <row r="288" spans="9:9" ht="7.35" customHeight="1">
      <c r="I288" s="74" t="str">
        <f>IF(AND($A288&lt;&gt;"",OR($A288&amp;""=PMIS_Home!$B$4&amp;"",$A288&amp;""="Campus")),MAX($I$4:I287)+1,"")</f>
        <v/>
      </c>
    </row>
    <row r="289" spans="9:9" ht="7.35" customHeight="1">
      <c r="I289" s="74" t="str">
        <f>IF(AND($A289&lt;&gt;"",OR($A289&amp;""=PMIS_Home!$B$4&amp;"",$A289&amp;""="Campus")),MAX($I$4:I288)+1,"")</f>
        <v/>
      </c>
    </row>
    <row r="290" spans="9:9" ht="7.35" customHeight="1">
      <c r="I290" s="74" t="str">
        <f>IF(AND($A290&lt;&gt;"",OR($A290&amp;""=PMIS_Home!$B$4&amp;"",$A290&amp;""="Campus")),MAX($I$4:I289)+1,"")</f>
        <v/>
      </c>
    </row>
    <row r="291" spans="9:9" ht="7.35" customHeight="1">
      <c r="I291" s="74" t="str">
        <f>IF(AND($A291&lt;&gt;"",OR($A291&amp;""=PMIS_Home!$B$4&amp;"",$A291&amp;""="Campus")),MAX($I$4:I290)+1,"")</f>
        <v/>
      </c>
    </row>
    <row r="292" spans="9:9" ht="7.35" customHeight="1">
      <c r="I292" s="74" t="str">
        <f>IF(AND($A292&lt;&gt;"",OR($A292&amp;""=PMIS_Home!$B$4&amp;"",$A292&amp;""="Campus")),MAX($I$4:I291)+1,"")</f>
        <v/>
      </c>
    </row>
    <row r="293" spans="9:9" ht="7.35" customHeight="1">
      <c r="I293" s="74" t="str">
        <f>IF(AND($A293&lt;&gt;"",OR($A293&amp;""=PMIS_Home!$B$4&amp;"",$A293&amp;""="Campus")),MAX($I$4:I292)+1,"")</f>
        <v/>
      </c>
    </row>
    <row r="294" spans="9:9" ht="7.35" customHeight="1">
      <c r="I294" s="74" t="str">
        <f>IF(AND($A294&lt;&gt;"",OR($A294&amp;""=PMIS_Home!$B$4&amp;"",$A294&amp;""="Campus")),MAX($I$4:I293)+1,"")</f>
        <v/>
      </c>
    </row>
    <row r="295" spans="9:9" ht="7.35" customHeight="1">
      <c r="I295" s="74" t="str">
        <f>IF(AND($A295&lt;&gt;"",OR($A295&amp;""=PMIS_Home!$B$4&amp;"",$A295&amp;""="Campus")),MAX($I$4:I294)+1,"")</f>
        <v/>
      </c>
    </row>
    <row r="296" spans="9:9" ht="7.35" customHeight="1">
      <c r="I296" s="74" t="str">
        <f>IF(AND($A296&lt;&gt;"",OR($A296&amp;""=PMIS_Home!$B$4&amp;"",$A296&amp;""="Campus")),MAX($I$4:I295)+1,"")</f>
        <v/>
      </c>
    </row>
    <row r="297" spans="9:9" ht="7.35" customHeight="1">
      <c r="I297" s="74" t="str">
        <f>IF(AND($A297&lt;&gt;"",OR($A297&amp;""=PMIS_Home!$B$4&amp;"",$A297&amp;""="Campus")),MAX($I$4:I296)+1,"")</f>
        <v/>
      </c>
    </row>
    <row r="298" spans="9:9" ht="7.35" customHeight="1">
      <c r="I298" s="74" t="str">
        <f>IF(AND($A298&lt;&gt;"",OR($A298&amp;""=PMIS_Home!$B$4&amp;"",$A298&amp;""="Campus")),MAX($I$4:I297)+1,"")</f>
        <v/>
      </c>
    </row>
    <row r="299" spans="9:9" ht="7.35" customHeight="1">
      <c r="I299" s="74" t="str">
        <f>IF(AND($A299&lt;&gt;"",OR($A299&amp;""=PMIS_Home!$B$4&amp;"",$A299&amp;""="Campus")),MAX($I$4:I298)+1,"")</f>
        <v/>
      </c>
    </row>
    <row r="300" spans="9:9" ht="7.35" customHeight="1">
      <c r="I300" s="74" t="str">
        <f>IF(AND($A300&lt;&gt;"",OR($A300&amp;""=PMIS_Home!$B$4&amp;"",$A300&amp;""="Campus")),MAX($I$4:I299)+1,"")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defaultColWidth="8.7109375" defaultRowHeight="15"/>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723</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election activeCell="B6" sqref="B6"/>
    </sheetView>
  </sheetViews>
  <sheetFormatPr defaultColWidth="8.7109375" defaultRowHeight="15"/>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724</v>
      </c>
    </row>
    <row r="2" spans="1:12" ht="8.25" customHeight="1">
      <c r="A2" s="21" t="s">
        <v>725</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726</v>
      </c>
      <c r="B5" s="35" t="s">
        <v>727</v>
      </c>
      <c r="C5" s="13"/>
      <c r="D5" s="13"/>
      <c r="E5" s="35" t="s">
        <v>727</v>
      </c>
      <c r="F5" s="13"/>
      <c r="G5" s="13"/>
      <c r="H5" s="35" t="s">
        <v>394</v>
      </c>
      <c r="I5" s="13"/>
      <c r="J5" s="13"/>
      <c r="K5" s="35" t="s">
        <v>728</v>
      </c>
      <c r="L5" s="73">
        <f>IF(AND($H5&lt;&gt;"",OR($H5&amp;""=PMIS_Home!$B$4&amp;"",$H5&amp;""="Campus")),MAX($L$4:L4)+1,"")</f>
        <v>1</v>
      </c>
    </row>
    <row r="6" spans="1:12" ht="13.5" customHeight="1">
      <c r="A6" s="35" t="s">
        <v>729</v>
      </c>
      <c r="B6" s="35" t="s">
        <v>730</v>
      </c>
      <c r="C6" s="35" t="s">
        <v>731</v>
      </c>
      <c r="D6" s="13"/>
      <c r="E6" s="35" t="s">
        <v>730</v>
      </c>
      <c r="F6" s="13"/>
      <c r="G6" s="13"/>
      <c r="H6" s="35" t="s">
        <v>394</v>
      </c>
      <c r="I6" s="35" t="s">
        <v>732</v>
      </c>
      <c r="J6" s="35" t="s">
        <v>733</v>
      </c>
      <c r="K6" s="35" t="s">
        <v>734</v>
      </c>
      <c r="L6" s="73">
        <f>IF(AND($H6&lt;&gt;"",OR($H6&amp;""=PMIS_Home!$B$4&amp;"",$H6&amp;""="Campus")),MAX($L$4:L5)+1,"")</f>
        <v>2</v>
      </c>
    </row>
    <row r="7" spans="1:12" ht="13.5" customHeight="1">
      <c r="A7" s="35" t="s">
        <v>735</v>
      </c>
      <c r="B7" s="35" t="s">
        <v>736</v>
      </c>
      <c r="C7" s="35" t="s">
        <v>737</v>
      </c>
      <c r="D7" s="13"/>
      <c r="E7" s="35" t="s">
        <v>736</v>
      </c>
      <c r="F7" s="13"/>
      <c r="G7" s="13"/>
      <c r="H7" s="35" t="s">
        <v>394</v>
      </c>
      <c r="I7" s="35" t="s">
        <v>738</v>
      </c>
      <c r="J7" s="35" t="s">
        <v>739</v>
      </c>
      <c r="K7" s="35" t="s">
        <v>740</v>
      </c>
      <c r="L7" s="73">
        <f>IF(AND($H7&lt;&gt;"",OR($H7&amp;""=PMIS_Home!$B$4&amp;"",$H7&amp;""="Campus")),MAX($L$4:L6)+1,"")</f>
        <v>3</v>
      </c>
    </row>
    <row r="8" spans="1:12" ht="10.5" customHeight="1">
      <c r="A8" s="35" t="s">
        <v>741</v>
      </c>
      <c r="B8" s="35" t="s">
        <v>742</v>
      </c>
      <c r="C8" s="35" t="s">
        <v>743</v>
      </c>
      <c r="D8" s="13"/>
      <c r="E8" s="35" t="s">
        <v>742</v>
      </c>
      <c r="F8" s="13"/>
      <c r="G8" s="13"/>
      <c r="H8" s="35" t="s">
        <v>394</v>
      </c>
      <c r="I8" s="35" t="s">
        <v>744</v>
      </c>
      <c r="J8" s="35" t="s">
        <v>745</v>
      </c>
      <c r="K8" s="35" t="s">
        <v>746</v>
      </c>
      <c r="L8" s="73">
        <f>IF(AND($H8&lt;&gt;"",OR($H8&amp;""=PMIS_Home!$B$4&amp;"",$H8&amp;""="Campus")),MAX($L$4:L7)+1,"")</f>
        <v>4</v>
      </c>
    </row>
    <row r="9" spans="1:12" ht="15.75" customHeight="1">
      <c r="A9" s="35" t="s">
        <v>747</v>
      </c>
      <c r="B9" s="35" t="s">
        <v>748</v>
      </c>
      <c r="C9" s="35" t="s">
        <v>749</v>
      </c>
      <c r="D9" s="13"/>
      <c r="E9" s="35" t="s">
        <v>748</v>
      </c>
      <c r="F9" s="13"/>
      <c r="G9" s="13"/>
      <c r="H9" s="35" t="s">
        <v>394</v>
      </c>
      <c r="I9" s="35" t="s">
        <v>750</v>
      </c>
      <c r="J9" s="35" t="s">
        <v>751</v>
      </c>
      <c r="K9" s="35" t="s">
        <v>752</v>
      </c>
      <c r="L9" s="73">
        <f>IF(AND($H9&lt;&gt;"",OR($H9&amp;""=PMIS_Home!$B$4&amp;"",$H9&amp;""="Campus")),MAX($L$4:L8)+1,"")</f>
        <v>5</v>
      </c>
    </row>
    <row r="10" spans="1:12" ht="13.5" customHeight="1">
      <c r="A10" s="35" t="s">
        <v>753</v>
      </c>
      <c r="B10" s="35" t="s">
        <v>754</v>
      </c>
      <c r="C10" s="35" t="s">
        <v>252</v>
      </c>
      <c r="D10" s="13"/>
      <c r="E10" s="35" t="s">
        <v>754</v>
      </c>
      <c r="F10" s="13"/>
      <c r="G10" s="13"/>
      <c r="H10" s="35" t="s">
        <v>394</v>
      </c>
      <c r="I10" s="35" t="s">
        <v>755</v>
      </c>
      <c r="J10" s="35" t="s">
        <v>756</v>
      </c>
      <c r="K10" s="35" t="s">
        <v>757</v>
      </c>
      <c r="L10" s="73">
        <f>IF(AND($H10&lt;&gt;"",OR($H10&amp;""=PMIS_Home!$B$4&amp;"",$H10&amp;""="Campus")),MAX($L$4:L9)+1,"")</f>
        <v>6</v>
      </c>
    </row>
    <row r="11" spans="1:12" ht="10.5" customHeight="1">
      <c r="A11" s="35" t="s">
        <v>758</v>
      </c>
      <c r="B11" s="35" t="s">
        <v>759</v>
      </c>
      <c r="C11" s="35" t="s">
        <v>760</v>
      </c>
      <c r="D11" s="13"/>
      <c r="E11" s="35" t="s">
        <v>759</v>
      </c>
      <c r="F11" s="13"/>
      <c r="G11" s="13"/>
      <c r="H11" s="35" t="s">
        <v>394</v>
      </c>
      <c r="I11" s="35" t="s">
        <v>761</v>
      </c>
      <c r="J11" s="35" t="s">
        <v>762</v>
      </c>
      <c r="K11" s="35" t="s">
        <v>763</v>
      </c>
      <c r="L11" s="73">
        <f>IF(AND($H11&lt;&gt;"",OR($H11&amp;""=PMIS_Home!$B$4&amp;"",$H11&amp;""="Campus")),MAX($L$4:L10)+1,"")</f>
        <v>7</v>
      </c>
    </row>
    <row r="12" spans="1:12" ht="13.5" customHeight="1">
      <c r="A12" s="35" t="s">
        <v>764</v>
      </c>
      <c r="B12" s="35" t="s">
        <v>765</v>
      </c>
      <c r="C12" s="35" t="s">
        <v>365</v>
      </c>
      <c r="D12" s="13"/>
      <c r="E12" s="35" t="s">
        <v>765</v>
      </c>
      <c r="F12" s="13"/>
      <c r="G12" s="13"/>
      <c r="H12" s="35" t="s">
        <v>394</v>
      </c>
      <c r="I12" s="35" t="s">
        <v>766</v>
      </c>
      <c r="J12" s="35" t="s">
        <v>767</v>
      </c>
      <c r="K12" s="35" t="s">
        <v>768</v>
      </c>
      <c r="L12" s="73">
        <f>IF(AND($H12&lt;&gt;"",OR($H12&amp;""=PMIS_Home!$B$4&amp;"",$H12&amp;""="Campus")),MAX($L$4:L11)+1,"")</f>
        <v>8</v>
      </c>
    </row>
    <row r="13" spans="1:12" ht="13.5" customHeight="1">
      <c r="A13" s="35" t="s">
        <v>769</v>
      </c>
      <c r="B13" s="35" t="s">
        <v>770</v>
      </c>
      <c r="C13" s="35" t="s">
        <v>365</v>
      </c>
      <c r="D13" s="13"/>
      <c r="E13" s="35" t="s">
        <v>770</v>
      </c>
      <c r="F13" s="13"/>
      <c r="G13" s="13"/>
      <c r="H13" s="35" t="s">
        <v>394</v>
      </c>
      <c r="I13" s="35" t="s">
        <v>766</v>
      </c>
      <c r="J13" s="35" t="s">
        <v>767</v>
      </c>
      <c r="K13" s="35" t="s">
        <v>771</v>
      </c>
      <c r="L13" s="73">
        <f>IF(AND($H13&lt;&gt;"",OR($H13&amp;""=PMIS_Home!$B$4&amp;"",$H13&amp;""="Campus")),MAX($L$4:L12)+1,"")</f>
        <v>9</v>
      </c>
    </row>
    <row r="14" spans="1:12" ht="13.5" customHeight="1">
      <c r="A14" s="35" t="s">
        <v>772</v>
      </c>
      <c r="B14" s="35" t="s">
        <v>773</v>
      </c>
      <c r="C14" s="35" t="s">
        <v>365</v>
      </c>
      <c r="D14" s="13"/>
      <c r="E14" s="35" t="s">
        <v>773</v>
      </c>
      <c r="F14" s="13"/>
      <c r="G14" s="13"/>
      <c r="H14" s="35" t="s">
        <v>394</v>
      </c>
      <c r="I14" s="35" t="s">
        <v>766</v>
      </c>
      <c r="J14" s="35" t="s">
        <v>767</v>
      </c>
      <c r="K14" s="35" t="s">
        <v>774</v>
      </c>
      <c r="L14" s="73">
        <f>IF(AND($H14&lt;&gt;"",OR($H14&amp;""=PMIS_Home!$B$4&amp;"",$H14&amp;""="Campus")),MAX($L$4:L13)+1,"")</f>
        <v>10</v>
      </c>
    </row>
    <row r="15" spans="1:12" ht="13.5" customHeight="1">
      <c r="A15" s="35" t="s">
        <v>775</v>
      </c>
      <c r="B15" s="35" t="s">
        <v>776</v>
      </c>
      <c r="C15" s="35" t="s">
        <v>365</v>
      </c>
      <c r="D15" s="13"/>
      <c r="E15" s="35" t="s">
        <v>776</v>
      </c>
      <c r="F15" s="13"/>
      <c r="G15" s="13"/>
      <c r="H15" s="35" t="s">
        <v>394</v>
      </c>
      <c r="I15" s="35" t="s">
        <v>766</v>
      </c>
      <c r="J15" s="35" t="s">
        <v>767</v>
      </c>
      <c r="K15" s="35" t="s">
        <v>777</v>
      </c>
      <c r="L15" s="73">
        <f>IF(AND($H15&lt;&gt;"",OR($H15&amp;""=PMIS_Home!$B$4&amp;"",$H15&amp;""="Campus")),MAX($L$4:L14)+1,"")</f>
        <v>11</v>
      </c>
    </row>
    <row r="16" spans="1:12" ht="13.5" customHeight="1">
      <c r="A16" s="35" t="s">
        <v>778</v>
      </c>
      <c r="B16" s="35" t="s">
        <v>779</v>
      </c>
      <c r="C16" s="35" t="s">
        <v>365</v>
      </c>
      <c r="D16" s="13"/>
      <c r="E16" s="35" t="s">
        <v>779</v>
      </c>
      <c r="F16" s="13"/>
      <c r="G16" s="13"/>
      <c r="H16" s="35" t="s">
        <v>394</v>
      </c>
      <c r="I16" s="35" t="s">
        <v>766</v>
      </c>
      <c r="J16" s="35" t="s">
        <v>767</v>
      </c>
      <c r="K16" s="35" t="s">
        <v>780</v>
      </c>
      <c r="L16" s="73">
        <f>IF(AND($H16&lt;&gt;"",OR($H16&amp;""=PMIS_Home!$B$4&amp;"",$H16&amp;""="Campus")),MAX($L$4:L15)+1,"")</f>
        <v>12</v>
      </c>
    </row>
    <row r="17" spans="1:12" ht="13.5" customHeight="1">
      <c r="A17" s="35" t="s">
        <v>781</v>
      </c>
      <c r="B17" s="35" t="s">
        <v>782</v>
      </c>
      <c r="C17" s="35" t="s">
        <v>365</v>
      </c>
      <c r="D17" s="13"/>
      <c r="E17" s="35" t="s">
        <v>782</v>
      </c>
      <c r="F17" s="13"/>
      <c r="G17" s="13"/>
      <c r="H17" s="35" t="s">
        <v>394</v>
      </c>
      <c r="I17" s="35" t="s">
        <v>766</v>
      </c>
      <c r="J17" s="35" t="s">
        <v>767</v>
      </c>
      <c r="K17" s="35" t="s">
        <v>783</v>
      </c>
      <c r="L17" s="73">
        <f>IF(AND($H17&lt;&gt;"",OR($H17&amp;""=PMIS_Home!$B$4&amp;"",$H17&amp;""="Campus")),MAX($L$4:L16)+1,"")</f>
        <v>13</v>
      </c>
    </row>
    <row r="18" spans="1:12" ht="13.5" customHeight="1">
      <c r="A18" s="35" t="s">
        <v>784</v>
      </c>
      <c r="B18" s="35" t="s">
        <v>785</v>
      </c>
      <c r="C18" s="35" t="s">
        <v>365</v>
      </c>
      <c r="D18" s="13"/>
      <c r="E18" s="35" t="s">
        <v>785</v>
      </c>
      <c r="F18" s="13"/>
      <c r="G18" s="13"/>
      <c r="H18" s="35" t="s">
        <v>394</v>
      </c>
      <c r="I18" s="35" t="s">
        <v>766</v>
      </c>
      <c r="J18" s="35" t="s">
        <v>767</v>
      </c>
      <c r="K18" s="35" t="s">
        <v>786</v>
      </c>
      <c r="L18" s="73">
        <f>IF(AND($H18&lt;&gt;"",OR($H18&amp;""=PMIS_Home!$B$4&amp;"",$H18&amp;""="Campus")),MAX($L$4:L17)+1,"")</f>
        <v>14</v>
      </c>
    </row>
    <row r="19" spans="1:12" ht="13.5" customHeight="1">
      <c r="A19" s="35" t="s">
        <v>787</v>
      </c>
      <c r="B19" s="35" t="s">
        <v>788</v>
      </c>
      <c r="C19" s="35" t="s">
        <v>365</v>
      </c>
      <c r="D19" s="13"/>
      <c r="E19" s="35" t="s">
        <v>788</v>
      </c>
      <c r="F19" s="13"/>
      <c r="G19" s="13"/>
      <c r="H19" s="35" t="s">
        <v>394</v>
      </c>
      <c r="I19" s="35" t="s">
        <v>766</v>
      </c>
      <c r="J19" s="35" t="s">
        <v>767</v>
      </c>
      <c r="K19" s="35" t="s">
        <v>789</v>
      </c>
      <c r="L19" s="73">
        <f>IF(AND($H19&lt;&gt;"",OR($H19&amp;""=PMIS_Home!$B$4&amp;"",$H19&amp;""="Campus")),MAX($L$4:L18)+1,"")</f>
        <v>15</v>
      </c>
    </row>
    <row r="20" spans="1:12" ht="13.5" customHeight="1">
      <c r="A20" s="35" t="s">
        <v>790</v>
      </c>
      <c r="B20" s="35" t="s">
        <v>791</v>
      </c>
      <c r="C20" s="35" t="s">
        <v>365</v>
      </c>
      <c r="D20" s="13"/>
      <c r="E20" s="35" t="s">
        <v>791</v>
      </c>
      <c r="F20" s="13"/>
      <c r="G20" s="13"/>
      <c r="H20" s="35" t="s">
        <v>394</v>
      </c>
      <c r="I20" s="35" t="s">
        <v>766</v>
      </c>
      <c r="J20" s="35" t="s">
        <v>767</v>
      </c>
      <c r="K20" s="35" t="s">
        <v>792</v>
      </c>
      <c r="L20" s="73">
        <f>IF(AND($H20&lt;&gt;"",OR($H20&amp;""=PMIS_Home!$B$4&amp;"",$H20&amp;""="Campus")),MAX($L$4:L19)+1,"")</f>
        <v>16</v>
      </c>
    </row>
    <row r="21" spans="1:12" ht="13.5" customHeight="1">
      <c r="A21" s="35" t="s">
        <v>793</v>
      </c>
      <c r="B21" s="35" t="s">
        <v>794</v>
      </c>
      <c r="C21" s="35" t="s">
        <v>365</v>
      </c>
      <c r="D21" s="13"/>
      <c r="E21" s="35" t="s">
        <v>794</v>
      </c>
      <c r="F21" s="13"/>
      <c r="G21" s="13"/>
      <c r="H21" s="35" t="s">
        <v>394</v>
      </c>
      <c r="I21" s="35" t="s">
        <v>766</v>
      </c>
      <c r="J21" s="35" t="s">
        <v>767</v>
      </c>
      <c r="K21" s="35" t="s">
        <v>795</v>
      </c>
      <c r="L21" s="73">
        <f>IF(AND($H21&lt;&gt;"",OR($H21&amp;""=PMIS_Home!$B$4&amp;"",$H21&amp;""="Campus")),MAX($L$4:L20)+1,"")</f>
        <v>17</v>
      </c>
    </row>
    <row r="22" spans="1:12" ht="13.5" customHeight="1">
      <c r="A22" s="35" t="s">
        <v>796</v>
      </c>
      <c r="B22" s="35" t="s">
        <v>797</v>
      </c>
      <c r="C22" s="35" t="s">
        <v>365</v>
      </c>
      <c r="D22" s="13"/>
      <c r="E22" s="35" t="s">
        <v>797</v>
      </c>
      <c r="F22" s="13"/>
      <c r="G22" s="13"/>
      <c r="H22" s="35" t="s">
        <v>394</v>
      </c>
      <c r="I22" s="35" t="s">
        <v>766</v>
      </c>
      <c r="J22" s="35" t="s">
        <v>767</v>
      </c>
      <c r="K22" s="35" t="s">
        <v>798</v>
      </c>
      <c r="L22" s="73">
        <f>IF(AND($H22&lt;&gt;"",OR($H22&amp;""=PMIS_Home!$B$4&amp;"",$H22&amp;""="Campus")),MAX($L$4:L21)+1,"")</f>
        <v>18</v>
      </c>
    </row>
    <row r="23" spans="1:12" ht="13.5" customHeight="1">
      <c r="A23" s="35" t="s">
        <v>799</v>
      </c>
      <c r="B23" s="35" t="s">
        <v>800</v>
      </c>
      <c r="C23" s="35" t="s">
        <v>365</v>
      </c>
      <c r="D23" s="13"/>
      <c r="E23" s="35" t="s">
        <v>800</v>
      </c>
      <c r="F23" s="13"/>
      <c r="G23" s="13"/>
      <c r="H23" s="35" t="s">
        <v>394</v>
      </c>
      <c r="I23" s="35" t="s">
        <v>766</v>
      </c>
      <c r="J23" s="35" t="s">
        <v>767</v>
      </c>
      <c r="K23" s="35" t="s">
        <v>801</v>
      </c>
      <c r="L23" s="73">
        <f>IF(AND($H23&lt;&gt;"",OR($H23&amp;""=PMIS_Home!$B$4&amp;"",$H23&amp;""="Campus")),MAX($L$4:L22)+1,"")</f>
        <v>19</v>
      </c>
    </row>
    <row r="24" spans="1:12" ht="13.5" customHeight="1">
      <c r="A24" s="35" t="s">
        <v>802</v>
      </c>
      <c r="B24" s="35" t="s">
        <v>803</v>
      </c>
      <c r="C24" s="35" t="s">
        <v>365</v>
      </c>
      <c r="D24" s="13"/>
      <c r="E24" s="35" t="s">
        <v>803</v>
      </c>
      <c r="F24" s="13"/>
      <c r="G24" s="13"/>
      <c r="H24" s="35" t="s">
        <v>394</v>
      </c>
      <c r="I24" s="35" t="s">
        <v>766</v>
      </c>
      <c r="J24" s="35" t="s">
        <v>767</v>
      </c>
      <c r="K24" s="35" t="s">
        <v>804</v>
      </c>
      <c r="L24" s="73">
        <f>IF(AND($H24&lt;&gt;"",OR($H24&amp;""=PMIS_Home!$B$4&amp;"",$H24&amp;""="Campus")),MAX($L$4:L23)+1,"")</f>
        <v>20</v>
      </c>
    </row>
    <row r="25" spans="1:12" ht="13.5" customHeight="1">
      <c r="A25" s="35" t="s">
        <v>805</v>
      </c>
      <c r="B25" s="35" t="s">
        <v>806</v>
      </c>
      <c r="C25" s="35" t="s">
        <v>365</v>
      </c>
      <c r="D25" s="13"/>
      <c r="E25" s="35" t="s">
        <v>806</v>
      </c>
      <c r="F25" s="13"/>
      <c r="G25" s="13"/>
      <c r="H25" s="35" t="s">
        <v>394</v>
      </c>
      <c r="I25" s="35" t="s">
        <v>766</v>
      </c>
      <c r="J25" s="35" t="s">
        <v>767</v>
      </c>
      <c r="K25" s="35" t="s">
        <v>807</v>
      </c>
      <c r="L25" s="73">
        <f>IF(AND($H25&lt;&gt;"",OR($H25&amp;""=PMIS_Home!$B$4&amp;"",$H25&amp;""="Campus")),MAX($L$4:L24)+1,"")</f>
        <v>21</v>
      </c>
    </row>
    <row r="26" spans="1:12" ht="13.5" customHeight="1">
      <c r="A26" s="35" t="s">
        <v>808</v>
      </c>
      <c r="B26" s="35" t="s">
        <v>809</v>
      </c>
      <c r="C26" s="35" t="s">
        <v>365</v>
      </c>
      <c r="D26" s="13"/>
      <c r="E26" s="35" t="s">
        <v>809</v>
      </c>
      <c r="F26" s="13"/>
      <c r="G26" s="13"/>
      <c r="H26" s="35" t="s">
        <v>394</v>
      </c>
      <c r="I26" s="35" t="s">
        <v>766</v>
      </c>
      <c r="J26" s="35" t="s">
        <v>767</v>
      </c>
      <c r="K26" s="35" t="s">
        <v>810</v>
      </c>
      <c r="L26" s="73">
        <f>IF(AND($H26&lt;&gt;"",OR($H26&amp;""=PMIS_Home!$B$4&amp;"",$H26&amp;""="Campus")),MAX($L$4:L25)+1,"")</f>
        <v>22</v>
      </c>
    </row>
    <row r="27" spans="1:12" ht="13.5" customHeight="1">
      <c r="A27" s="35" t="s">
        <v>811</v>
      </c>
      <c r="B27" s="35" t="s">
        <v>812</v>
      </c>
      <c r="C27" s="35" t="s">
        <v>365</v>
      </c>
      <c r="D27" s="13"/>
      <c r="E27" s="35" t="s">
        <v>812</v>
      </c>
      <c r="F27" s="13"/>
      <c r="G27" s="13"/>
      <c r="H27" s="35" t="s">
        <v>394</v>
      </c>
      <c r="I27" s="35" t="s">
        <v>766</v>
      </c>
      <c r="J27" s="35" t="s">
        <v>767</v>
      </c>
      <c r="K27" s="35" t="s">
        <v>813</v>
      </c>
      <c r="L27" s="73">
        <f>IF(AND($H27&lt;&gt;"",OR($H27&amp;""=PMIS_Home!$B$4&amp;"",$H27&amp;""="Campus")),MAX($L$4:L26)+1,"")</f>
        <v>23</v>
      </c>
    </row>
    <row r="28" spans="1:12" ht="13.5" customHeight="1">
      <c r="A28" s="35" t="s">
        <v>814</v>
      </c>
      <c r="B28" s="35" t="s">
        <v>815</v>
      </c>
      <c r="C28" s="35" t="s">
        <v>365</v>
      </c>
      <c r="D28" s="13"/>
      <c r="E28" s="35" t="s">
        <v>815</v>
      </c>
      <c r="F28" s="13"/>
      <c r="G28" s="13"/>
      <c r="H28" s="35" t="s">
        <v>394</v>
      </c>
      <c r="I28" s="35" t="s">
        <v>766</v>
      </c>
      <c r="J28" s="35" t="s">
        <v>767</v>
      </c>
      <c r="K28" s="35" t="s">
        <v>816</v>
      </c>
      <c r="L28" s="73">
        <f>IF(AND($H28&lt;&gt;"",OR($H28&amp;""=PMIS_Home!$B$4&amp;"",$H28&amp;""="Campus")),MAX($L$4:L27)+1,"")</f>
        <v>24</v>
      </c>
    </row>
    <row r="29" spans="1:12" ht="13.5" customHeight="1">
      <c r="A29" s="35" t="s">
        <v>817</v>
      </c>
      <c r="B29" s="35" t="s">
        <v>818</v>
      </c>
      <c r="C29" s="35" t="s">
        <v>365</v>
      </c>
      <c r="D29" s="13"/>
      <c r="E29" s="35" t="s">
        <v>818</v>
      </c>
      <c r="F29" s="13"/>
      <c r="G29" s="13"/>
      <c r="H29" s="35" t="s">
        <v>394</v>
      </c>
      <c r="I29" s="35" t="s">
        <v>766</v>
      </c>
      <c r="J29" s="35" t="s">
        <v>767</v>
      </c>
      <c r="K29" s="35" t="s">
        <v>819</v>
      </c>
      <c r="L29" s="73">
        <f>IF(AND($H29&lt;&gt;"",OR($H29&amp;""=PMIS_Home!$B$4&amp;"",$H29&amp;""="Campus")),MAX($L$4:L28)+1,"")</f>
        <v>25</v>
      </c>
    </row>
    <row r="30" spans="1:12" ht="13.5" customHeight="1">
      <c r="A30" s="35" t="s">
        <v>820</v>
      </c>
      <c r="B30" s="35" t="s">
        <v>821</v>
      </c>
      <c r="C30" s="35" t="s">
        <v>365</v>
      </c>
      <c r="D30" s="13"/>
      <c r="E30" s="35" t="s">
        <v>821</v>
      </c>
      <c r="F30" s="13"/>
      <c r="G30" s="13"/>
      <c r="H30" s="35" t="s">
        <v>394</v>
      </c>
      <c r="I30" s="35" t="s">
        <v>766</v>
      </c>
      <c r="J30" s="35" t="s">
        <v>767</v>
      </c>
      <c r="K30" s="35" t="s">
        <v>822</v>
      </c>
      <c r="L30" s="73">
        <f>IF(AND($H30&lt;&gt;"",OR($H30&amp;""=PMIS_Home!$B$4&amp;"",$H30&amp;""="Campus")),MAX($L$4:L29)+1,"")</f>
        <v>26</v>
      </c>
    </row>
    <row r="31" spans="1:12" ht="13.5" customHeight="1">
      <c r="A31" s="35" t="s">
        <v>823</v>
      </c>
      <c r="B31" s="35" t="s">
        <v>824</v>
      </c>
      <c r="C31" s="35" t="s">
        <v>365</v>
      </c>
      <c r="D31" s="13"/>
      <c r="E31" s="35" t="s">
        <v>824</v>
      </c>
      <c r="F31" s="13"/>
      <c r="G31" s="13"/>
      <c r="H31" s="35" t="s">
        <v>394</v>
      </c>
      <c r="I31" s="35" t="s">
        <v>766</v>
      </c>
      <c r="J31" s="35" t="s">
        <v>767</v>
      </c>
      <c r="K31" s="35" t="s">
        <v>825</v>
      </c>
      <c r="L31" s="73">
        <f>IF(AND($H31&lt;&gt;"",OR($H31&amp;""=PMIS_Home!$B$4&amp;"",$H31&amp;""="Campus")),MAX($L$4:L30)+1,"")</f>
        <v>27</v>
      </c>
    </row>
    <row r="32" spans="1:12" ht="13.5" customHeight="1">
      <c r="A32" s="35" t="s">
        <v>826</v>
      </c>
      <c r="B32" s="35" t="s">
        <v>827</v>
      </c>
      <c r="C32" s="35" t="s">
        <v>365</v>
      </c>
      <c r="D32" s="13"/>
      <c r="E32" s="35" t="s">
        <v>827</v>
      </c>
      <c r="F32" s="13"/>
      <c r="G32" s="13"/>
      <c r="H32" s="35" t="s">
        <v>394</v>
      </c>
      <c r="I32" s="35" t="s">
        <v>766</v>
      </c>
      <c r="J32" s="35" t="s">
        <v>767</v>
      </c>
      <c r="K32" s="35" t="s">
        <v>828</v>
      </c>
      <c r="L32" s="73">
        <f>IF(AND($H32&lt;&gt;"",OR($H32&amp;""=PMIS_Home!$B$4&amp;"",$H32&amp;""="Campus")),MAX($L$4:L31)+1,"")</f>
        <v>28</v>
      </c>
    </row>
    <row r="33" spans="1:12" ht="13.5" customHeight="1">
      <c r="A33" s="35" t="s">
        <v>829</v>
      </c>
      <c r="B33" s="35" t="s">
        <v>830</v>
      </c>
      <c r="C33" s="35" t="s">
        <v>365</v>
      </c>
      <c r="D33" s="13"/>
      <c r="E33" s="35" t="s">
        <v>830</v>
      </c>
      <c r="F33" s="13"/>
      <c r="G33" s="13"/>
      <c r="H33" s="35" t="s">
        <v>394</v>
      </c>
      <c r="I33" s="35" t="s">
        <v>766</v>
      </c>
      <c r="J33" s="35" t="s">
        <v>767</v>
      </c>
      <c r="K33" s="35" t="s">
        <v>831</v>
      </c>
      <c r="L33" s="73">
        <f>IF(AND($H33&lt;&gt;"",OR($H33&amp;""=PMIS_Home!$B$4&amp;"",$H33&amp;""="Campus")),MAX($L$4:L32)+1,"")</f>
        <v>29</v>
      </c>
    </row>
    <row r="34" spans="1:12" ht="13.5" customHeight="1">
      <c r="A34" s="35" t="s">
        <v>832</v>
      </c>
      <c r="B34" s="35" t="s">
        <v>833</v>
      </c>
      <c r="C34" s="35" t="s">
        <v>365</v>
      </c>
      <c r="D34" s="13"/>
      <c r="E34" s="35" t="s">
        <v>833</v>
      </c>
      <c r="F34" s="13"/>
      <c r="G34" s="13"/>
      <c r="H34" s="35" t="s">
        <v>394</v>
      </c>
      <c r="I34" s="35" t="s">
        <v>766</v>
      </c>
      <c r="J34" s="35" t="s">
        <v>767</v>
      </c>
      <c r="K34" s="35" t="s">
        <v>834</v>
      </c>
      <c r="L34" s="73">
        <f>IF(AND($H34&lt;&gt;"",OR($H34&amp;""=PMIS_Home!$B$4&amp;"",$H34&amp;""="Campus")),MAX($L$4:L33)+1,"")</f>
        <v>30</v>
      </c>
    </row>
    <row r="35" spans="1:12" ht="13.5" customHeight="1">
      <c r="A35" s="35" t="s">
        <v>835</v>
      </c>
      <c r="B35" s="35" t="s">
        <v>836</v>
      </c>
      <c r="C35" s="35" t="s">
        <v>365</v>
      </c>
      <c r="D35" s="13"/>
      <c r="E35" s="35" t="s">
        <v>836</v>
      </c>
      <c r="F35" s="13"/>
      <c r="G35" s="13"/>
      <c r="H35" s="35" t="s">
        <v>394</v>
      </c>
      <c r="I35" s="35" t="s">
        <v>766</v>
      </c>
      <c r="J35" s="35" t="s">
        <v>767</v>
      </c>
      <c r="K35" s="35" t="s">
        <v>837</v>
      </c>
      <c r="L35" s="73">
        <f>IF(AND($H35&lt;&gt;"",OR($H35&amp;""=PMIS_Home!$B$4&amp;"",$H35&amp;""="Campus")),MAX($L$4:L34)+1,"")</f>
        <v>31</v>
      </c>
    </row>
    <row r="36" spans="1:12" ht="13.5" customHeight="1">
      <c r="A36" s="35" t="s">
        <v>838</v>
      </c>
      <c r="B36" s="35" t="s">
        <v>839</v>
      </c>
      <c r="C36" s="35" t="s">
        <v>365</v>
      </c>
      <c r="D36" s="13"/>
      <c r="E36" s="35" t="s">
        <v>839</v>
      </c>
      <c r="F36" s="13"/>
      <c r="G36" s="13"/>
      <c r="H36" s="35" t="s">
        <v>394</v>
      </c>
      <c r="I36" s="35" t="s">
        <v>766</v>
      </c>
      <c r="J36" s="35" t="s">
        <v>767</v>
      </c>
      <c r="K36" s="35" t="s">
        <v>840</v>
      </c>
      <c r="L36" s="73">
        <f>IF(AND($H36&lt;&gt;"",OR($H36&amp;""=PMIS_Home!$B$4&amp;"",$H36&amp;""="Campus")),MAX($L$4:L35)+1,"")</f>
        <v>32</v>
      </c>
    </row>
    <row r="37" spans="1:12" ht="13.5" customHeight="1">
      <c r="A37" s="35" t="s">
        <v>841</v>
      </c>
      <c r="B37" s="35" t="s">
        <v>842</v>
      </c>
      <c r="C37" s="35" t="s">
        <v>365</v>
      </c>
      <c r="D37" s="13"/>
      <c r="E37" s="35" t="s">
        <v>842</v>
      </c>
      <c r="F37" s="13"/>
      <c r="G37" s="13"/>
      <c r="H37" s="35" t="s">
        <v>394</v>
      </c>
      <c r="I37" s="35" t="s">
        <v>766</v>
      </c>
      <c r="J37" s="35" t="s">
        <v>767</v>
      </c>
      <c r="K37" s="35" t="s">
        <v>843</v>
      </c>
      <c r="L37" s="73">
        <f>IF(AND($H37&lt;&gt;"",OR($H37&amp;""=PMIS_Home!$B$4&amp;"",$H37&amp;""="Campus")),MAX($L$4:L36)+1,"")</f>
        <v>33</v>
      </c>
    </row>
    <row r="38" spans="1:12" ht="13.5" customHeight="1">
      <c r="A38" s="35" t="s">
        <v>844</v>
      </c>
      <c r="B38" s="35" t="s">
        <v>845</v>
      </c>
      <c r="C38" s="35" t="s">
        <v>365</v>
      </c>
      <c r="D38" s="13"/>
      <c r="E38" s="35" t="s">
        <v>845</v>
      </c>
      <c r="F38" s="13"/>
      <c r="G38" s="13"/>
      <c r="H38" s="35" t="s">
        <v>394</v>
      </c>
      <c r="I38" s="35" t="s">
        <v>766</v>
      </c>
      <c r="J38" s="35" t="s">
        <v>767</v>
      </c>
      <c r="K38" s="35" t="s">
        <v>846</v>
      </c>
      <c r="L38" s="73">
        <f>IF(AND($H38&lt;&gt;"",OR($H38&amp;""=PMIS_Home!$B$4&amp;"",$H38&amp;""="Campus")),MAX($L$4:L37)+1,"")</f>
        <v>34</v>
      </c>
    </row>
    <row r="39" spans="1:12" ht="13.5" customHeight="1">
      <c r="A39" s="35" t="s">
        <v>847</v>
      </c>
      <c r="B39" s="35" t="s">
        <v>848</v>
      </c>
      <c r="C39" s="35" t="s">
        <v>365</v>
      </c>
      <c r="D39" s="13"/>
      <c r="E39" s="35" t="s">
        <v>848</v>
      </c>
      <c r="F39" s="13"/>
      <c r="G39" s="13"/>
      <c r="H39" s="35" t="s">
        <v>394</v>
      </c>
      <c r="I39" s="35" t="s">
        <v>766</v>
      </c>
      <c r="J39" s="35" t="s">
        <v>767</v>
      </c>
      <c r="K39" s="35" t="s">
        <v>849</v>
      </c>
      <c r="L39" s="73">
        <f>IF(AND($H39&lt;&gt;"",OR($H39&amp;""=PMIS_Home!$B$4&amp;"",$H39&amp;""="Campus")),MAX($L$4:L38)+1,"")</f>
        <v>35</v>
      </c>
    </row>
    <row r="40" spans="1:12" ht="13.5" customHeight="1">
      <c r="A40" s="35" t="s">
        <v>850</v>
      </c>
      <c r="B40" s="35" t="s">
        <v>851</v>
      </c>
      <c r="C40" s="35" t="s">
        <v>365</v>
      </c>
      <c r="D40" s="13"/>
      <c r="E40" s="35" t="s">
        <v>851</v>
      </c>
      <c r="F40" s="13"/>
      <c r="G40" s="13"/>
      <c r="H40" s="35" t="s">
        <v>394</v>
      </c>
      <c r="I40" s="35" t="s">
        <v>766</v>
      </c>
      <c r="J40" s="35" t="s">
        <v>767</v>
      </c>
      <c r="K40" s="35" t="s">
        <v>852</v>
      </c>
      <c r="L40" s="73">
        <f>IF(AND($H40&lt;&gt;"",OR($H40&amp;""=PMIS_Home!$B$4&amp;"",$H40&amp;""="Campus")),MAX($L$4:L39)+1,"")</f>
        <v>36</v>
      </c>
    </row>
    <row r="41" spans="1:12" ht="13.5" customHeight="1">
      <c r="A41" s="35" t="s">
        <v>853</v>
      </c>
      <c r="B41" s="35" t="s">
        <v>854</v>
      </c>
      <c r="C41" s="35" t="s">
        <v>365</v>
      </c>
      <c r="D41" s="13"/>
      <c r="E41" s="35" t="s">
        <v>854</v>
      </c>
      <c r="F41" s="13"/>
      <c r="G41" s="13"/>
      <c r="H41" s="35" t="s">
        <v>394</v>
      </c>
      <c r="I41" s="35" t="s">
        <v>766</v>
      </c>
      <c r="J41" s="35" t="s">
        <v>767</v>
      </c>
      <c r="K41" s="35" t="s">
        <v>855</v>
      </c>
      <c r="L41" s="73">
        <f>IF(AND($H41&lt;&gt;"",OR($H41&amp;""=PMIS_Home!$B$4&amp;"",$H41&amp;""="Campus")),MAX($L$4:L40)+1,"")</f>
        <v>37</v>
      </c>
    </row>
    <row r="42" spans="1:12" ht="13.5" customHeight="1">
      <c r="A42" s="35" t="s">
        <v>856</v>
      </c>
      <c r="B42" s="35" t="s">
        <v>857</v>
      </c>
      <c r="C42" s="35" t="s">
        <v>365</v>
      </c>
      <c r="D42" s="13"/>
      <c r="E42" s="35" t="s">
        <v>857</v>
      </c>
      <c r="F42" s="13"/>
      <c r="G42" s="13"/>
      <c r="H42" s="35" t="s">
        <v>394</v>
      </c>
      <c r="I42" s="35" t="s">
        <v>766</v>
      </c>
      <c r="J42" s="35" t="s">
        <v>767</v>
      </c>
      <c r="K42" s="35" t="s">
        <v>858</v>
      </c>
      <c r="L42" s="73">
        <f>IF(AND($H42&lt;&gt;"",OR($H42&amp;""=PMIS_Home!$B$4&amp;"",$H42&amp;""="Campus")),MAX($L$4:L41)+1,"")</f>
        <v>38</v>
      </c>
    </row>
    <row r="43" spans="1:12" ht="10.5" customHeight="1">
      <c r="A43" s="35" t="s">
        <v>859</v>
      </c>
      <c r="B43" s="35" t="s">
        <v>860</v>
      </c>
      <c r="C43" s="35" t="s">
        <v>365</v>
      </c>
      <c r="D43" s="13"/>
      <c r="E43" s="35" t="s">
        <v>860</v>
      </c>
      <c r="F43" s="13"/>
      <c r="G43" s="13"/>
      <c r="H43" s="35" t="s">
        <v>394</v>
      </c>
      <c r="I43" s="35" t="s">
        <v>766</v>
      </c>
      <c r="J43" s="35" t="s">
        <v>767</v>
      </c>
      <c r="K43" s="35" t="s">
        <v>861</v>
      </c>
      <c r="L43" s="73">
        <f>IF(AND($H43&lt;&gt;"",OR($H43&amp;""=PMIS_Home!$B$4&amp;"",$H43&amp;""="Campus")),MAX($L$4:L42)+1,"")</f>
        <v>39</v>
      </c>
    </row>
    <row r="44" spans="1:12" ht="13.5" customHeight="1">
      <c r="A44" s="35" t="s">
        <v>862</v>
      </c>
      <c r="B44" s="35" t="s">
        <v>863</v>
      </c>
      <c r="C44" s="13"/>
      <c r="D44" s="13"/>
      <c r="E44" s="35" t="s">
        <v>863</v>
      </c>
      <c r="F44" s="13"/>
      <c r="G44" s="13"/>
      <c r="H44" s="35" t="s">
        <v>394</v>
      </c>
      <c r="I44" s="13"/>
      <c r="J44" s="13"/>
      <c r="K44" s="35" t="s">
        <v>864</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defaultColWidth="8.7109375" defaultRowHeight="15"/>
  <cols>
    <col min="1" max="1" width="58.7109375" style="8" customWidth="1"/>
  </cols>
  <sheetData>
    <row r="1" spans="1:1" ht="7.35" customHeight="1">
      <c r="A1" s="115" t="s">
        <v>865</v>
      </c>
    </row>
    <row r="2" spans="1:1" ht="7.35" customHeight="1">
      <c r="A2" s="115" t="s">
        <v>728</v>
      </c>
    </row>
    <row r="3" spans="1:1" ht="7.35" customHeight="1">
      <c r="A3" s="115" t="s">
        <v>282</v>
      </c>
    </row>
    <row r="4" spans="1:1" ht="7.35" customHeight="1">
      <c r="A4" s="115" t="s">
        <v>734</v>
      </c>
    </row>
    <row r="5" spans="1:1" ht="7.35" customHeight="1">
      <c r="A5" s="115" t="s">
        <v>740</v>
      </c>
    </row>
    <row r="6" spans="1:1" ht="7.35" customHeight="1">
      <c r="A6" s="115" t="s">
        <v>746</v>
      </c>
    </row>
    <row r="7" spans="1:1" ht="7.35" customHeight="1">
      <c r="A7" s="115" t="s">
        <v>752</v>
      </c>
    </row>
    <row r="8" spans="1:1" ht="7.35" customHeight="1">
      <c r="A8" s="115" t="s">
        <v>757</v>
      </c>
    </row>
    <row r="9" spans="1:1" ht="7.35" customHeight="1">
      <c r="A9" s="115" t="s">
        <v>763</v>
      </c>
    </row>
    <row r="10" spans="1:1" ht="7.35" customHeight="1">
      <c r="A10" s="115" t="s">
        <v>768</v>
      </c>
    </row>
    <row r="11" spans="1:1" ht="7.35" customHeight="1">
      <c r="A11" s="115" t="s">
        <v>771</v>
      </c>
    </row>
    <row r="12" spans="1:1" ht="7.35" customHeight="1">
      <c r="A12" s="115" t="s">
        <v>774</v>
      </c>
    </row>
    <row r="13" spans="1:1" ht="7.35" customHeight="1">
      <c r="A13" s="115" t="s">
        <v>777</v>
      </c>
    </row>
    <row r="14" spans="1:1" ht="7.35" customHeight="1">
      <c r="A14" s="115" t="s">
        <v>780</v>
      </c>
    </row>
    <row r="15" spans="1:1" ht="7.35" customHeight="1">
      <c r="A15" s="115" t="s">
        <v>783</v>
      </c>
    </row>
    <row r="16" spans="1:1" ht="7.35" customHeight="1">
      <c r="A16" s="115" t="s">
        <v>786</v>
      </c>
    </row>
    <row r="17" spans="1:1" ht="7.35" customHeight="1">
      <c r="A17" s="115" t="s">
        <v>789</v>
      </c>
    </row>
    <row r="18" spans="1:1" ht="7.35" customHeight="1">
      <c r="A18" s="115" t="s">
        <v>792</v>
      </c>
    </row>
    <row r="19" spans="1:1" ht="7.35" customHeight="1">
      <c r="A19" s="115" t="s">
        <v>795</v>
      </c>
    </row>
    <row r="20" spans="1:1" ht="7.35" customHeight="1">
      <c r="A20" s="115" t="s">
        <v>798</v>
      </c>
    </row>
    <row r="21" spans="1:1" ht="7.35" customHeight="1">
      <c r="A21" s="115" t="s">
        <v>801</v>
      </c>
    </row>
    <row r="22" spans="1:1" ht="7.35" customHeight="1">
      <c r="A22" s="115" t="s">
        <v>804</v>
      </c>
    </row>
    <row r="23" spans="1:1" ht="7.35" customHeight="1">
      <c r="A23" s="115" t="s">
        <v>807</v>
      </c>
    </row>
    <row r="24" spans="1:1" ht="7.35" customHeight="1">
      <c r="A24" s="115" t="s">
        <v>810</v>
      </c>
    </row>
    <row r="25" spans="1:1" ht="7.35" customHeight="1">
      <c r="A25" s="115" t="s">
        <v>813</v>
      </c>
    </row>
    <row r="26" spans="1:1" ht="7.35" customHeight="1">
      <c r="A26" s="115" t="s">
        <v>816</v>
      </c>
    </row>
    <row r="27" spans="1:1" ht="7.35" customHeight="1">
      <c r="A27" s="115" t="s">
        <v>819</v>
      </c>
    </row>
    <row r="28" spans="1:1" ht="7.35" customHeight="1">
      <c r="A28" s="115" t="s">
        <v>822</v>
      </c>
    </row>
    <row r="29" spans="1:1" ht="7.35" customHeight="1">
      <c r="A29" s="115" t="s">
        <v>825</v>
      </c>
    </row>
    <row r="30" spans="1:1" ht="7.35" customHeight="1">
      <c r="A30" s="115" t="s">
        <v>828</v>
      </c>
    </row>
    <row r="31" spans="1:1" ht="7.35" customHeight="1">
      <c r="A31" s="115" t="s">
        <v>831</v>
      </c>
    </row>
    <row r="32" spans="1:1" ht="7.35" customHeight="1">
      <c r="A32" s="115" t="s">
        <v>834</v>
      </c>
    </row>
    <row r="33" spans="1:1" ht="7.35" customHeight="1">
      <c r="A33" s="115" t="s">
        <v>837</v>
      </c>
    </row>
    <row r="34" spans="1:1" ht="7.35" customHeight="1">
      <c r="A34" s="115" t="s">
        <v>840</v>
      </c>
    </row>
    <row r="35" spans="1:1" ht="7.35" customHeight="1">
      <c r="A35" s="115" t="s">
        <v>843</v>
      </c>
    </row>
    <row r="36" spans="1:1" ht="7.35" customHeight="1">
      <c r="A36" s="115" t="s">
        <v>846</v>
      </c>
    </row>
    <row r="37" spans="1:1" ht="7.35" customHeight="1">
      <c r="A37" s="115" t="s">
        <v>849</v>
      </c>
    </row>
    <row r="38" spans="1:1" ht="7.35" customHeight="1">
      <c r="A38" s="115" t="s">
        <v>852</v>
      </c>
    </row>
    <row r="39" spans="1:1" ht="7.35" customHeight="1">
      <c r="A39" s="115" t="s">
        <v>855</v>
      </c>
    </row>
    <row r="40" spans="1:1" ht="7.35" customHeight="1">
      <c r="A40" s="115" t="s">
        <v>858</v>
      </c>
    </row>
    <row r="41" spans="1:1" ht="7.35" customHeight="1">
      <c r="A41" s="115" t="s">
        <v>861</v>
      </c>
    </row>
    <row r="42" spans="1:1" ht="7.35" customHeight="1">
      <c r="A42" s="115" t="s">
        <v>864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topLeftCell="S3" workbookViewId="0">
      <selection activeCell="A25" sqref="A25:XFD25"/>
    </sheetView>
  </sheetViews>
  <sheetFormatPr defaultColWidth="8.7109375" defaultRowHeight="15"/>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7109375" style="139" customWidth="1"/>
    <col min="23" max="23" width="15" style="139" customWidth="1"/>
    <col min="24" max="24" width="11.28515625" style="139" customWidth="1"/>
    <col min="25" max="25" width="18" style="139" customWidth="1"/>
    <col min="26" max="26" width="12.28515625" style="139" customWidth="1"/>
    <col min="27" max="27" width="13.7109375" style="139" customWidth="1"/>
    <col min="28" max="16384" width="8.7109375" style="139"/>
  </cols>
  <sheetData>
    <row r="1" spans="1:41" ht="7.35" customHeight="1">
      <c r="A1" s="57" t="s">
        <v>866</v>
      </c>
      <c r="Q1" s="59" t="str">
        <f>HYPERLINK("#'PMIS_Data'!A1","Data")</f>
        <v>Data</v>
      </c>
      <c r="R1" s="19"/>
      <c r="S1" s="19"/>
      <c r="Y1" s="57" t="s">
        <v>867</v>
      </c>
    </row>
    <row r="2" spans="1:41" ht="56.25" customHeight="1">
      <c r="A2" s="140" t="s">
        <v>142</v>
      </c>
      <c r="B2" s="140" t="s">
        <v>173</v>
      </c>
      <c r="C2" s="140" t="s">
        <v>151</v>
      </c>
      <c r="D2" s="141" t="s">
        <v>549</v>
      </c>
      <c r="E2" s="141" t="s">
        <v>538</v>
      </c>
      <c r="F2" s="140" t="s">
        <v>154</v>
      </c>
      <c r="G2" s="140" t="s">
        <v>868</v>
      </c>
      <c r="H2" s="140" t="s">
        <v>161</v>
      </c>
      <c r="I2" s="140" t="s">
        <v>199</v>
      </c>
      <c r="J2" s="140" t="s">
        <v>163</v>
      </c>
      <c r="K2" s="140" t="s">
        <v>148</v>
      </c>
      <c r="L2" s="140" t="s">
        <v>153</v>
      </c>
      <c r="M2" s="140" t="s">
        <v>155</v>
      </c>
      <c r="N2" s="140" t="s">
        <v>146</v>
      </c>
      <c r="O2" s="140" t="s">
        <v>157</v>
      </c>
      <c r="P2" s="140" t="s">
        <v>556</v>
      </c>
      <c r="Q2" s="140" t="s">
        <v>869</v>
      </c>
      <c r="R2" s="140" t="s">
        <v>870</v>
      </c>
      <c r="S2" s="140" t="s">
        <v>871</v>
      </c>
      <c r="T2" s="140" t="s">
        <v>872</v>
      </c>
      <c r="U2" s="140" t="s">
        <v>873</v>
      </c>
      <c r="V2" s="140" t="s">
        <v>874</v>
      </c>
      <c r="W2" s="140" t="s">
        <v>875</v>
      </c>
      <c r="X2" s="140" t="s">
        <v>179</v>
      </c>
      <c r="Y2" s="140" t="s">
        <v>876</v>
      </c>
      <c r="Z2" s="338" t="s">
        <v>5636</v>
      </c>
      <c r="AA2" s="338" t="s">
        <v>5698</v>
      </c>
      <c r="AB2" s="338" t="s">
        <v>5641</v>
      </c>
      <c r="AC2" s="338" t="s">
        <v>5699</v>
      </c>
      <c r="AD2" s="338" t="s">
        <v>5700</v>
      </c>
      <c r="AE2" s="338" t="s">
        <v>5701</v>
      </c>
      <c r="AF2" s="338" t="s">
        <v>5702</v>
      </c>
      <c r="AG2" s="338" t="s">
        <v>5703</v>
      </c>
      <c r="AH2" s="338" t="s">
        <v>5704</v>
      </c>
      <c r="AI2" s="338" t="s">
        <v>5651</v>
      </c>
      <c r="AJ2" s="338" t="s">
        <v>5705</v>
      </c>
      <c r="AK2" s="338" t="s">
        <v>5706</v>
      </c>
      <c r="AL2" s="338" t="s">
        <v>5577</v>
      </c>
      <c r="AM2" s="338" t="s">
        <v>5707</v>
      </c>
      <c r="AN2" s="338" t="s">
        <v>5569</v>
      </c>
      <c r="AO2" s="338" t="s">
        <v>5708</v>
      </c>
    </row>
    <row r="3" spans="1:41" ht="34.9"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4">
        <f ca="1">IFERROR(INDEX(INDIRECT("'"&amp;$B3&amp;"'!$C:$C"),MATCH("Payment Confidence",INDIRECT("'"&amp;$B3&amp;"'!$A:$A"),0)),0)</f>
        <v>0</v>
      </c>
      <c r="AA3" s="192" t="str">
        <f t="shared" ref="AA3:AA32" ca="1" si="6">IF(Z3&gt;=0.95,"Approve Payment",IF(Z3&gt;=0.75,"Partial / Verify",IF(Z3&gt;0,"Withhold / Review","Not Mapped")))</f>
        <v>Not Mapped</v>
      </c>
      <c r="AB3" s="334" t="str">
        <f t="shared" ref="AB3:AB32" ca="1" si="7">IFERROR(INDEX(INDIRECT("'"&amp;$B3&amp;"'!$C:$C"),MATCH("OIT Readiness",INDIRECT("'"&amp;$B3&amp;"'!$A:$A"),0)),0)</f>
        <v/>
      </c>
      <c r="AC3" s="192" t="str">
        <f t="shared" ref="AC3:AC32" ca="1" si="8">IF(AB3&gt;=0.9,"Ready",IF(AB3&gt;=0.6,"At Risk",IF(AB3&gt;0,"Blocked","Not Mapped")))</f>
        <v>Ready</v>
      </c>
      <c r="AD3" s="192" t="str">
        <f t="shared" ref="AD3:AD32" ca="1" si="9">IF(AB3&lt;0.9,"Review OIT prerequisites / comments on assessment","Clear")</f>
        <v>Clear</v>
      </c>
      <c r="AE3" s="334">
        <f t="shared" ref="AE3:AE32" ca="1" si="10">IFERROR(INDEX(INDIRECT("'"&amp;$B3&amp;"'!$C:$C"),MATCH("Inspection Compliance",INDIRECT("'"&amp;$B3&amp;"'!$A:$A"),0)),0)</f>
        <v>0</v>
      </c>
      <c r="AF3" s="192" t="str">
        <f t="shared" ref="AF3:AF32" ca="1" si="11">IF(AE3&gt;=0.95,"Pass",IF(AE3&gt;=0.75,"Verify",IF(AE3&gt;0,"Deficient","Not Mapped")))</f>
        <v>Not Mapped</v>
      </c>
      <c r="AG3" s="334">
        <f ca="1">IFERROR(AVERAGE(INDEX(INDIRECT("'"&amp;$B3&amp;"'!$F:$F"),MATCH("Electrical",INDIRECT("'"&amp;$B3&amp;"'!$A:$A"),0)):INDEX(INDIRECT("'"&amp;$B3&amp;"'!$F:$F"),MATCH("Firestop",INDIRECT("'"&amp;$B3&amp;"'!$A:$A"),0))),0)</f>
        <v>0</v>
      </c>
      <c r="AH3" s="192" t="str">
        <f t="shared" ref="AH3:AH32" ca="1" si="12">IF(AG3&gt;=1,"Ahead / On Baseline",IF(AG3&gt;=0.8,"Satisfactory",IF(AG3&gt;0,"Behind","Not Mapped")))</f>
        <v>Not Mapped</v>
      </c>
      <c r="AI3" s="334">
        <f t="shared" ref="AI3:AI32" ca="1" si="13">IFERROR(INDEX(INDIRECT("'"&amp;$B3&amp;"'!$C:$C"),MATCH("Acceptance Readiness",INDIRECT("'"&amp;$B3&amp;"'!$A:$A"),0)),0)</f>
        <v>0</v>
      </c>
      <c r="AJ3" s="192" t="str">
        <f t="shared" ref="AJ3:AJ32" ca="1" si="14">IF(AI3&gt;=1,"Ready for Turnover",IF(AI3&gt;=0.8,"Ready w/ Punch",IF(AI3&gt;0,"Not Ready","Not Mapped")))</f>
        <v>Not Mapped</v>
      </c>
      <c r="AK3" s="192" t="str">
        <f t="shared" ref="AK3:AK32" ca="1" si="15">IFERROR(INDEX(INDIRECT("'"&amp;$B3&amp;"'!$B:$B"),MATCH("Gate Completion",INDIRECT("'"&amp;$B3&amp;"'!$A:$A"),0)),"")</f>
        <v>0 / 8 Complete</v>
      </c>
      <c r="AL3" s="192">
        <f t="shared" ref="AL3:AL32" ca="1" si="16">IFERROR(INDEX(INDIRECT("'"&amp;$B3&amp;"'!$B:$B"),MATCH("Open Gate Count",INDIRECT("'"&amp;$B3&amp;"'!$A:$A"),0)),0)</f>
        <v>8</v>
      </c>
      <c r="AM3" s="192" t="str">
        <f t="shared" ref="AM3:AM32" ca="1" si="17">IF(AI3&gt;=1,"Recommend Turnover",IF(AB3&lt;0.6,"Resolve OIT Blocker",IF(Z3&lt;0.75,"Review Payment",IF(AE3&lt;0.9,"QA / Material Review",IF(AG3&lt;0.8,"Productivity Review","Monitor")))))</f>
        <v>Review Payment</v>
      </c>
      <c r="AN3" s="192" t="str">
        <f t="shared" ref="AN3:AN32" ca="1" si="18">IF(AI3&gt;=1,"🟢 READY",IF(OR(AB3&lt;0.6,Z3&lt;0.75,AE3&lt;0.75,AG3&lt;0.8),"🔴 ATTENTION",IF(AVERAGE(Z3,AB3,AE3,AG3,AI3)&gt;=0.8,"🟡 WATCH","⚪ NOT STARTED")))</f>
        <v>🔴 ATTENTION</v>
      </c>
      <c r="AO3" s="192"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4.9"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4">
        <f t="shared" ref="Z4:Z32" ca="1" si="20">IFERROR(INDEX(INDIRECT("'"&amp;$B4&amp;"'!$C:$C"),MATCH("Payment Confidence",INDIRECT("'"&amp;$B4&amp;"'!$A:$A"),0)),0)</f>
        <v>0</v>
      </c>
      <c r="AA4" s="192" t="str">
        <f t="shared" ca="1" si="6"/>
        <v>Not Mapped</v>
      </c>
      <c r="AB4" s="334" t="str">
        <f t="shared" ca="1" si="7"/>
        <v/>
      </c>
      <c r="AC4" s="192" t="str">
        <f t="shared" ca="1" si="8"/>
        <v>Ready</v>
      </c>
      <c r="AD4" s="192" t="str">
        <f t="shared" ca="1" si="9"/>
        <v>Clear</v>
      </c>
      <c r="AE4" s="334">
        <f t="shared" ca="1" si="10"/>
        <v>0</v>
      </c>
      <c r="AF4" s="192" t="str">
        <f t="shared" ca="1" si="11"/>
        <v>Not Mapped</v>
      </c>
      <c r="AG4" s="334">
        <f ca="1">IFERROR(AVERAGE(INDEX(INDIRECT("'"&amp;$B4&amp;"'!$F:$F"),MATCH("Electrical",INDIRECT("'"&amp;$B4&amp;"'!$A:$A"),0)):INDEX(INDIRECT("'"&amp;$B4&amp;"'!$F:$F"),MATCH("Firestop",INDIRECT("'"&amp;$B4&amp;"'!$A:$A"),0))),0)</f>
        <v>0</v>
      </c>
      <c r="AH4" s="192" t="str">
        <f t="shared" ca="1" si="12"/>
        <v>Not Mapped</v>
      </c>
      <c r="AI4" s="334">
        <f t="shared" ca="1" si="13"/>
        <v>0</v>
      </c>
      <c r="AJ4" s="192" t="str">
        <f t="shared" ca="1" si="14"/>
        <v>Not Mapped</v>
      </c>
      <c r="AK4" s="192" t="str">
        <f t="shared" ca="1" si="15"/>
        <v>0 / 8 Complete</v>
      </c>
      <c r="AL4" s="192">
        <f t="shared" ca="1" si="16"/>
        <v>8</v>
      </c>
      <c r="AM4" s="192" t="str">
        <f t="shared" ca="1" si="17"/>
        <v>Review Payment</v>
      </c>
      <c r="AN4" s="192" t="str">
        <f t="shared" ca="1" si="18"/>
        <v>🔴 ATTENTION</v>
      </c>
      <c r="AO4" s="192" t="str">
        <f t="shared" ca="1" si="19"/>
        <v>Mapped</v>
      </c>
    </row>
    <row r="5" spans="1:41" ht="40.700000000000003"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4">
        <f t="shared" ca="1" si="20"/>
        <v>0</v>
      </c>
      <c r="AA5" s="192" t="str">
        <f t="shared" ca="1" si="6"/>
        <v>Not Mapped</v>
      </c>
      <c r="AB5" s="334" t="str">
        <f t="shared" ca="1" si="7"/>
        <v/>
      </c>
      <c r="AC5" s="192" t="str">
        <f t="shared" ca="1" si="8"/>
        <v>Ready</v>
      </c>
      <c r="AD5" s="192" t="str">
        <f t="shared" ca="1" si="9"/>
        <v>Clear</v>
      </c>
      <c r="AE5" s="334">
        <f t="shared" ca="1" si="10"/>
        <v>0</v>
      </c>
      <c r="AF5" s="192" t="str">
        <f t="shared" ca="1" si="11"/>
        <v>Not Mapped</v>
      </c>
      <c r="AG5" s="334">
        <f ca="1">IFERROR(AVERAGE(INDEX(INDIRECT("'"&amp;$B5&amp;"'!$F:$F"),MATCH("Electrical",INDIRECT("'"&amp;$B5&amp;"'!$A:$A"),0)):INDEX(INDIRECT("'"&amp;$B5&amp;"'!$F:$F"),MATCH("Firestop",INDIRECT("'"&amp;$B5&amp;"'!$A:$A"),0))),0)</f>
        <v>0</v>
      </c>
      <c r="AH5" s="192" t="str">
        <f t="shared" ca="1" si="12"/>
        <v>Not Mapped</v>
      </c>
      <c r="AI5" s="334">
        <f t="shared" ca="1" si="13"/>
        <v>0</v>
      </c>
      <c r="AJ5" s="192" t="str">
        <f t="shared" ca="1" si="14"/>
        <v>Not Mapped</v>
      </c>
      <c r="AK5" s="192" t="str">
        <f t="shared" ca="1" si="15"/>
        <v>0 / 8 Complete</v>
      </c>
      <c r="AL5" s="192">
        <f t="shared" ca="1" si="16"/>
        <v>8</v>
      </c>
      <c r="AM5" s="192" t="str">
        <f t="shared" ca="1" si="17"/>
        <v>Review Payment</v>
      </c>
      <c r="AN5" s="192" t="str">
        <f t="shared" ca="1" si="18"/>
        <v>🔴 ATTENTION</v>
      </c>
      <c r="AO5" s="192" t="str">
        <f t="shared" ca="1" si="19"/>
        <v>Mapped</v>
      </c>
    </row>
    <row r="6" spans="1:41" ht="11.6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4">
        <f t="shared" ca="1" si="20"/>
        <v>0</v>
      </c>
      <c r="AA6" s="192" t="str">
        <f t="shared" ca="1" si="6"/>
        <v>Not Mapped</v>
      </c>
      <c r="AB6" s="334" t="str">
        <f t="shared" ca="1" si="7"/>
        <v/>
      </c>
      <c r="AC6" s="192" t="str">
        <f t="shared" ca="1" si="8"/>
        <v>Ready</v>
      </c>
      <c r="AD6" s="192" t="str">
        <f t="shared" ca="1" si="9"/>
        <v>Clear</v>
      </c>
      <c r="AE6" s="334">
        <f t="shared" ca="1" si="10"/>
        <v>0</v>
      </c>
      <c r="AF6" s="192" t="str">
        <f t="shared" ca="1" si="11"/>
        <v>Not Mapped</v>
      </c>
      <c r="AG6" s="334">
        <f ca="1">IFERROR(AVERAGE(INDEX(INDIRECT("'"&amp;$B6&amp;"'!$F:$F"),MATCH("Electrical",INDIRECT("'"&amp;$B6&amp;"'!$A:$A"),0)):INDEX(INDIRECT("'"&amp;$B6&amp;"'!$F:$F"),MATCH("Firestop",INDIRECT("'"&amp;$B6&amp;"'!$A:$A"),0))),0)</f>
        <v>0</v>
      </c>
      <c r="AH6" s="192" t="str">
        <f t="shared" ca="1" si="12"/>
        <v>Not Mapped</v>
      </c>
      <c r="AI6" s="334">
        <f t="shared" ca="1" si="13"/>
        <v>0</v>
      </c>
      <c r="AJ6" s="192" t="str">
        <f t="shared" ca="1" si="14"/>
        <v>Not Mapped</v>
      </c>
      <c r="AK6" s="192" t="str">
        <f t="shared" ca="1" si="15"/>
        <v>0 / 8 Complete</v>
      </c>
      <c r="AL6" s="192">
        <f t="shared" ca="1" si="16"/>
        <v>8</v>
      </c>
      <c r="AM6" s="192" t="str">
        <f t="shared" ca="1" si="17"/>
        <v>Review Payment</v>
      </c>
      <c r="AN6" s="192" t="str">
        <f t="shared" ca="1" si="18"/>
        <v>🔴 ATTENTION</v>
      </c>
      <c r="AO6" s="192" t="str">
        <f t="shared" ca="1" si="19"/>
        <v>Mapped</v>
      </c>
    </row>
    <row r="7" spans="1:41" ht="11.65" customHeight="1">
      <c r="A7" s="106" t="str">
        <f>B05_Assessment!$B$2&amp;""</f>
        <v>05</v>
      </c>
      <c r="B7" s="106" t="str">
        <f>"B05_Assessment"</f>
        <v>B05_Assessment</v>
      </c>
      <c r="C7" s="106" t="str">
        <f>B05_Assessment!$F$2</f>
        <v>Yellow</v>
      </c>
      <c r="D7" s="142">
        <f>B05_Assessment!$H$2</f>
        <v>0.5</v>
      </c>
      <c r="E7" s="142">
        <f>IFERROR(B05_Assessment!$H$2,0)</f>
        <v>0.5</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4">
        <f t="shared" ca="1" si="20"/>
        <v>0</v>
      </c>
      <c r="AA7" s="192" t="str">
        <f t="shared" ca="1" si="6"/>
        <v>Not Mapped</v>
      </c>
      <c r="AB7" s="334" t="str">
        <f t="shared" ca="1" si="7"/>
        <v/>
      </c>
      <c r="AC7" s="192" t="str">
        <f t="shared" ca="1" si="8"/>
        <v>Ready</v>
      </c>
      <c r="AD7" s="192" t="str">
        <f t="shared" ca="1" si="9"/>
        <v>Clear</v>
      </c>
      <c r="AE7" s="334">
        <f t="shared" ca="1" si="10"/>
        <v>0</v>
      </c>
      <c r="AF7" s="192" t="str">
        <f t="shared" ca="1" si="11"/>
        <v>Not Mapped</v>
      </c>
      <c r="AG7" s="334">
        <f ca="1">IFERROR(AVERAGE(INDEX(INDIRECT("'"&amp;$B7&amp;"'!$F:$F"),MATCH("Electrical",INDIRECT("'"&amp;$B7&amp;"'!$A:$A"),0)):INDEX(INDIRECT("'"&amp;$B7&amp;"'!$F:$F"),MATCH("Firestop",INDIRECT("'"&amp;$B7&amp;"'!$A:$A"),0))),0)</f>
        <v>0</v>
      </c>
      <c r="AH7" s="192" t="str">
        <f t="shared" ca="1" si="12"/>
        <v>Not Mapped</v>
      </c>
      <c r="AI7" s="334">
        <f t="shared" ca="1" si="13"/>
        <v>0</v>
      </c>
      <c r="AJ7" s="192" t="str">
        <f t="shared" ca="1" si="14"/>
        <v>Not Mapped</v>
      </c>
      <c r="AK7" s="192" t="str">
        <f t="shared" ca="1" si="15"/>
        <v>0 / 8 Complete</v>
      </c>
      <c r="AL7" s="192">
        <f t="shared" ca="1" si="16"/>
        <v>8</v>
      </c>
      <c r="AM7" s="192" t="str">
        <f t="shared" ca="1" si="17"/>
        <v>Review Payment</v>
      </c>
      <c r="AN7" s="192" t="str">
        <f t="shared" ca="1" si="18"/>
        <v>🔴 ATTENTION</v>
      </c>
      <c r="AO7" s="192" t="str">
        <f t="shared" ca="1" si="19"/>
        <v>Mapped</v>
      </c>
    </row>
    <row r="8" spans="1:41" ht="11.6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4">
        <f t="shared" ca="1" si="20"/>
        <v>0</v>
      </c>
      <c r="AA8" s="192" t="str">
        <f t="shared" ca="1" si="6"/>
        <v>Not Mapped</v>
      </c>
      <c r="AB8" s="334" t="str">
        <f t="shared" ca="1" si="7"/>
        <v/>
      </c>
      <c r="AC8" s="192" t="str">
        <f t="shared" ca="1" si="8"/>
        <v>Ready</v>
      </c>
      <c r="AD8" s="192" t="str">
        <f t="shared" ca="1" si="9"/>
        <v>Clear</v>
      </c>
      <c r="AE8" s="334">
        <f t="shared" ca="1" si="10"/>
        <v>0</v>
      </c>
      <c r="AF8" s="192" t="str">
        <f t="shared" ca="1" si="11"/>
        <v>Not Mapped</v>
      </c>
      <c r="AG8" s="334">
        <f ca="1">IFERROR(AVERAGE(INDEX(INDIRECT("'"&amp;$B8&amp;"'!$F:$F"),MATCH("Electrical",INDIRECT("'"&amp;$B8&amp;"'!$A:$A"),0)):INDEX(INDIRECT("'"&amp;$B8&amp;"'!$F:$F"),MATCH("Firestop",INDIRECT("'"&amp;$B8&amp;"'!$A:$A"),0))),0)</f>
        <v>0</v>
      </c>
      <c r="AH8" s="192" t="str">
        <f t="shared" ca="1" si="12"/>
        <v>Not Mapped</v>
      </c>
      <c r="AI8" s="334">
        <f t="shared" ca="1" si="13"/>
        <v>0</v>
      </c>
      <c r="AJ8" s="192" t="str">
        <f t="shared" ca="1" si="14"/>
        <v>Not Mapped</v>
      </c>
      <c r="AK8" s="192" t="str">
        <f t="shared" ca="1" si="15"/>
        <v>0 / 8 Complete</v>
      </c>
      <c r="AL8" s="192">
        <f t="shared" ca="1" si="16"/>
        <v>8</v>
      </c>
      <c r="AM8" s="192" t="str">
        <f t="shared" ca="1" si="17"/>
        <v>Review Payment</v>
      </c>
      <c r="AN8" s="192" t="str">
        <f t="shared" ca="1" si="18"/>
        <v>🔴 ATTENTION</v>
      </c>
      <c r="AO8" s="192" t="str">
        <f t="shared" ca="1" si="19"/>
        <v>Mapped</v>
      </c>
    </row>
    <row r="9" spans="1:41" ht="11.6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4">
        <f t="shared" ca="1" si="20"/>
        <v>0.8</v>
      </c>
      <c r="AA9" s="192" t="str">
        <f t="shared" ca="1" si="6"/>
        <v>Partial / Verify</v>
      </c>
      <c r="AB9" s="334" t="str">
        <f t="shared" ca="1" si="7"/>
        <v/>
      </c>
      <c r="AC9" s="192" t="str">
        <f t="shared" ca="1" si="8"/>
        <v>Ready</v>
      </c>
      <c r="AD9" s="192" t="str">
        <f t="shared" ca="1" si="9"/>
        <v>Clear</v>
      </c>
      <c r="AE9" s="334">
        <f t="shared" ca="1" si="10"/>
        <v>0</v>
      </c>
      <c r="AF9" s="192" t="str">
        <f t="shared" ca="1" si="11"/>
        <v>Not Mapped</v>
      </c>
      <c r="AG9" s="334">
        <f ca="1">IFERROR(AVERAGE(INDEX(INDIRECT("'"&amp;$B9&amp;"'!$F:$F"),MATCH("Electrical",INDIRECT("'"&amp;$B9&amp;"'!$A:$A"),0)):INDEX(INDIRECT("'"&amp;$B9&amp;"'!$F:$F"),MATCH("Firestop",INDIRECT("'"&amp;$B9&amp;"'!$A:$A"),0))),0)</f>
        <v>0</v>
      </c>
      <c r="AH9" s="192" t="str">
        <f t="shared" ca="1" si="12"/>
        <v>Not Mapped</v>
      </c>
      <c r="AI9" s="334">
        <f t="shared" ca="1" si="13"/>
        <v>0</v>
      </c>
      <c r="AJ9" s="192" t="str">
        <f t="shared" ca="1" si="14"/>
        <v>Not Mapped</v>
      </c>
      <c r="AK9" s="192" t="str">
        <f t="shared" ca="1" si="15"/>
        <v>0 / 8 Complete</v>
      </c>
      <c r="AL9" s="192">
        <f t="shared" ca="1" si="16"/>
        <v>8</v>
      </c>
      <c r="AM9" s="192" t="str">
        <f t="shared" ca="1" si="17"/>
        <v>QA / Material Review</v>
      </c>
      <c r="AN9" s="192" t="str">
        <f t="shared" ca="1" si="18"/>
        <v>🔴 ATTENTION</v>
      </c>
      <c r="AO9" s="192" t="str">
        <f t="shared" ca="1" si="19"/>
        <v>Mapped</v>
      </c>
    </row>
    <row r="10" spans="1:41" ht="17.2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4">
        <f t="shared" ca="1" si="20"/>
        <v>0.8</v>
      </c>
      <c r="AA10" s="192" t="str">
        <f t="shared" ca="1" si="6"/>
        <v>Partial / Verify</v>
      </c>
      <c r="AB10" s="334" t="str">
        <f t="shared" ca="1" si="7"/>
        <v/>
      </c>
      <c r="AC10" s="192" t="str">
        <f t="shared" ca="1" si="8"/>
        <v>Ready</v>
      </c>
      <c r="AD10" s="192" t="str">
        <f t="shared" ca="1" si="9"/>
        <v>Clear</v>
      </c>
      <c r="AE10" s="334">
        <f t="shared" ca="1" si="10"/>
        <v>0</v>
      </c>
      <c r="AF10" s="192" t="str">
        <f t="shared" ca="1" si="11"/>
        <v>Not Mapped</v>
      </c>
      <c r="AG10" s="334">
        <f ca="1">IFERROR(AVERAGE(INDEX(INDIRECT("'"&amp;$B10&amp;"'!$F:$F"),MATCH("Electrical",INDIRECT("'"&amp;$B10&amp;"'!$A:$A"),0)):INDEX(INDIRECT("'"&amp;$B10&amp;"'!$F:$F"),MATCH("Firestop",INDIRECT("'"&amp;$B10&amp;"'!$A:$A"),0))),0)</f>
        <v>0</v>
      </c>
      <c r="AH10" s="192" t="str">
        <f t="shared" ca="1" si="12"/>
        <v>Not Mapped</v>
      </c>
      <c r="AI10" s="334">
        <f t="shared" ca="1" si="13"/>
        <v>0</v>
      </c>
      <c r="AJ10" s="192" t="str">
        <f t="shared" ca="1" si="14"/>
        <v>Not Mapped</v>
      </c>
      <c r="AK10" s="192" t="str">
        <f t="shared" ca="1" si="15"/>
        <v>0 / 8 Complete</v>
      </c>
      <c r="AL10" s="192">
        <f t="shared" ca="1" si="16"/>
        <v>8</v>
      </c>
      <c r="AM10" s="192" t="str">
        <f t="shared" ca="1" si="17"/>
        <v>QA / Material Review</v>
      </c>
      <c r="AN10" s="192" t="str">
        <f t="shared" ca="1" si="18"/>
        <v>🔴 ATTENTION</v>
      </c>
      <c r="AO10" s="192" t="str">
        <f t="shared" ca="1" si="19"/>
        <v>Mapped</v>
      </c>
    </row>
    <row r="11" spans="1:41" ht="17.2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4">
        <f t="shared" ca="1" si="20"/>
        <v>0.8</v>
      </c>
      <c r="AA11" s="192" t="str">
        <f t="shared" ca="1" si="6"/>
        <v>Partial / Verify</v>
      </c>
      <c r="AB11" s="334" t="str">
        <f t="shared" ca="1" si="7"/>
        <v/>
      </c>
      <c r="AC11" s="192" t="str">
        <f t="shared" ca="1" si="8"/>
        <v>Ready</v>
      </c>
      <c r="AD11" s="192" t="str">
        <f t="shared" ca="1" si="9"/>
        <v>Clear</v>
      </c>
      <c r="AE11" s="334">
        <f t="shared" ca="1" si="10"/>
        <v>0</v>
      </c>
      <c r="AF11" s="192" t="str">
        <f t="shared" ca="1" si="11"/>
        <v>Not Mapped</v>
      </c>
      <c r="AG11" s="334">
        <f ca="1">IFERROR(AVERAGE(INDEX(INDIRECT("'"&amp;$B11&amp;"'!$F:$F"),MATCH("Electrical",INDIRECT("'"&amp;$B11&amp;"'!$A:$A"),0)):INDEX(INDIRECT("'"&amp;$B11&amp;"'!$F:$F"),MATCH("Firestop",INDIRECT("'"&amp;$B11&amp;"'!$A:$A"),0))),0)</f>
        <v>0</v>
      </c>
      <c r="AH11" s="192" t="str">
        <f t="shared" ca="1" si="12"/>
        <v>Not Mapped</v>
      </c>
      <c r="AI11" s="334">
        <f t="shared" ca="1" si="13"/>
        <v>0</v>
      </c>
      <c r="AJ11" s="192" t="str">
        <f t="shared" ca="1" si="14"/>
        <v>Not Mapped</v>
      </c>
      <c r="AK11" s="192" t="str">
        <f t="shared" ca="1" si="15"/>
        <v>0 / 8 Complete</v>
      </c>
      <c r="AL11" s="192">
        <f t="shared" ca="1" si="16"/>
        <v>8</v>
      </c>
      <c r="AM11" s="192" t="str">
        <f t="shared" ca="1" si="17"/>
        <v>QA / Material Review</v>
      </c>
      <c r="AN11" s="192" t="str">
        <f t="shared" ca="1" si="18"/>
        <v>🔴 ATTENTION</v>
      </c>
      <c r="AO11" s="192" t="str">
        <f t="shared" ca="1" si="19"/>
        <v>Mapped</v>
      </c>
    </row>
    <row r="12" spans="1:41" ht="17.2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4">
        <f t="shared" ca="1" si="20"/>
        <v>0.8</v>
      </c>
      <c r="AA12" s="192" t="str">
        <f t="shared" ca="1" si="6"/>
        <v>Partial / Verify</v>
      </c>
      <c r="AB12" s="334" t="str">
        <f t="shared" ca="1" si="7"/>
        <v/>
      </c>
      <c r="AC12" s="192" t="str">
        <f t="shared" ca="1" si="8"/>
        <v>Ready</v>
      </c>
      <c r="AD12" s="192" t="str">
        <f t="shared" ca="1" si="9"/>
        <v>Clear</v>
      </c>
      <c r="AE12" s="334">
        <f t="shared" ca="1" si="10"/>
        <v>0</v>
      </c>
      <c r="AF12" s="192" t="str">
        <f t="shared" ca="1" si="11"/>
        <v>Not Mapped</v>
      </c>
      <c r="AG12" s="334">
        <f ca="1">IFERROR(AVERAGE(INDEX(INDIRECT("'"&amp;$B12&amp;"'!$F:$F"),MATCH("Electrical",INDIRECT("'"&amp;$B12&amp;"'!$A:$A"),0)):INDEX(INDIRECT("'"&amp;$B12&amp;"'!$F:$F"),MATCH("Firestop",INDIRECT("'"&amp;$B12&amp;"'!$A:$A"),0))),0)</f>
        <v>0</v>
      </c>
      <c r="AH12" s="192" t="str">
        <f t="shared" ca="1" si="12"/>
        <v>Not Mapped</v>
      </c>
      <c r="AI12" s="334">
        <f t="shared" ca="1" si="13"/>
        <v>0</v>
      </c>
      <c r="AJ12" s="192" t="str">
        <f t="shared" ca="1" si="14"/>
        <v>Not Mapped</v>
      </c>
      <c r="AK12" s="192" t="str">
        <f t="shared" ca="1" si="15"/>
        <v>0 / 8 Complete</v>
      </c>
      <c r="AL12" s="192">
        <f t="shared" ca="1" si="16"/>
        <v>8</v>
      </c>
      <c r="AM12" s="192" t="str">
        <f t="shared" ca="1" si="17"/>
        <v>QA / Material Review</v>
      </c>
      <c r="AN12" s="192" t="str">
        <f t="shared" ca="1" si="18"/>
        <v>🔴 ATTENTION</v>
      </c>
      <c r="AO12" s="192" t="str">
        <f t="shared" ca="1" si="19"/>
        <v>Mapped</v>
      </c>
    </row>
    <row r="13" spans="1:41" ht="17.25" customHeight="1">
      <c r="A13" s="106" t="str">
        <f>B12_Assessment!$B$2&amp;""</f>
        <v>12</v>
      </c>
      <c r="B13" s="106" t="str">
        <f>"B12_Assessment"</f>
        <v>B12_Assessment</v>
      </c>
      <c r="C13" s="106" t="str">
        <f>B12_Assessment!$F$2</f>
        <v>Yellow</v>
      </c>
      <c r="D13" s="142">
        <f>B12_Assessment!$H$2</f>
        <v>0.5</v>
      </c>
      <c r="E13" s="142">
        <f>IFERROR(B12_Assessment!$H$2,0)</f>
        <v>0.5</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4">
        <f t="shared" ca="1" si="20"/>
        <v>0.8</v>
      </c>
      <c r="AA13" s="192" t="str">
        <f t="shared" ca="1" si="6"/>
        <v>Partial / Verify</v>
      </c>
      <c r="AB13" s="334" t="str">
        <f t="shared" ca="1" si="7"/>
        <v/>
      </c>
      <c r="AC13" s="192" t="str">
        <f t="shared" ca="1" si="8"/>
        <v>Ready</v>
      </c>
      <c r="AD13" s="192" t="str">
        <f t="shared" ca="1" si="9"/>
        <v>Clear</v>
      </c>
      <c r="AE13" s="334">
        <f t="shared" ca="1" si="10"/>
        <v>0</v>
      </c>
      <c r="AF13" s="192" t="str">
        <f t="shared" ca="1" si="11"/>
        <v>Not Mapped</v>
      </c>
      <c r="AG13" s="334">
        <f ca="1">IFERROR(AVERAGE(INDEX(INDIRECT("'"&amp;$B13&amp;"'!$F:$F"),MATCH("Electrical",INDIRECT("'"&amp;$B13&amp;"'!$A:$A"),0)):INDEX(INDIRECT("'"&amp;$B13&amp;"'!$F:$F"),MATCH("Firestop",INDIRECT("'"&amp;$B13&amp;"'!$A:$A"),0))),0)</f>
        <v>0</v>
      </c>
      <c r="AH13" s="192" t="str">
        <f t="shared" ca="1" si="12"/>
        <v>Not Mapped</v>
      </c>
      <c r="AI13" s="334">
        <f t="shared" ca="1" si="13"/>
        <v>0</v>
      </c>
      <c r="AJ13" s="192" t="str">
        <f t="shared" ca="1" si="14"/>
        <v>Not Mapped</v>
      </c>
      <c r="AK13" s="192" t="str">
        <f t="shared" ca="1" si="15"/>
        <v>0 / 8 Complete</v>
      </c>
      <c r="AL13" s="192">
        <f t="shared" ca="1" si="16"/>
        <v>8</v>
      </c>
      <c r="AM13" s="192" t="str">
        <f t="shared" ca="1" si="17"/>
        <v>QA / Material Review</v>
      </c>
      <c r="AN13" s="192" t="str">
        <f t="shared" ca="1" si="18"/>
        <v>🔴 ATTENTION</v>
      </c>
      <c r="AO13" s="192" t="str">
        <f t="shared" ca="1" si="19"/>
        <v>Mapped</v>
      </c>
    </row>
    <row r="14" spans="1:41" ht="17.2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4">
        <f t="shared" ca="1" si="20"/>
        <v>0.8</v>
      </c>
      <c r="AA14" s="192" t="str">
        <f t="shared" ca="1" si="6"/>
        <v>Partial / Verify</v>
      </c>
      <c r="AB14" s="334" t="str">
        <f t="shared" ca="1" si="7"/>
        <v/>
      </c>
      <c r="AC14" s="192" t="str">
        <f t="shared" ca="1" si="8"/>
        <v>Ready</v>
      </c>
      <c r="AD14" s="192" t="str">
        <f t="shared" ca="1" si="9"/>
        <v>Clear</v>
      </c>
      <c r="AE14" s="334">
        <f t="shared" ca="1" si="10"/>
        <v>0</v>
      </c>
      <c r="AF14" s="192" t="str">
        <f t="shared" ca="1" si="11"/>
        <v>Not Mapped</v>
      </c>
      <c r="AG14" s="334">
        <f ca="1">IFERROR(AVERAGE(INDEX(INDIRECT("'"&amp;$B14&amp;"'!$F:$F"),MATCH("Electrical",INDIRECT("'"&amp;$B14&amp;"'!$A:$A"),0)):INDEX(INDIRECT("'"&amp;$B14&amp;"'!$F:$F"),MATCH("Firestop",INDIRECT("'"&amp;$B14&amp;"'!$A:$A"),0))),0)</f>
        <v>0</v>
      </c>
      <c r="AH14" s="192" t="str">
        <f t="shared" ca="1" si="12"/>
        <v>Not Mapped</v>
      </c>
      <c r="AI14" s="334">
        <f t="shared" ca="1" si="13"/>
        <v>0</v>
      </c>
      <c r="AJ14" s="192" t="str">
        <f t="shared" ca="1" si="14"/>
        <v>Not Mapped</v>
      </c>
      <c r="AK14" s="192" t="str">
        <f t="shared" ca="1" si="15"/>
        <v>0 / 8 Complete</v>
      </c>
      <c r="AL14" s="192">
        <f t="shared" ca="1" si="16"/>
        <v>8</v>
      </c>
      <c r="AM14" s="192" t="str">
        <f t="shared" ca="1" si="17"/>
        <v>QA / Material Review</v>
      </c>
      <c r="AN14" s="192" t="str">
        <f t="shared" ca="1" si="18"/>
        <v>🔴 ATTENTION</v>
      </c>
      <c r="AO14" s="192" t="str">
        <f t="shared" ca="1" si="19"/>
        <v>Mapped</v>
      </c>
    </row>
    <row r="15" spans="1:41" ht="17.2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4">
        <f t="shared" ca="1" si="20"/>
        <v>0.8</v>
      </c>
      <c r="AA15" s="192" t="str">
        <f t="shared" ca="1" si="6"/>
        <v>Partial / Verify</v>
      </c>
      <c r="AB15" s="334" t="str">
        <f t="shared" ca="1" si="7"/>
        <v/>
      </c>
      <c r="AC15" s="192" t="str">
        <f t="shared" ca="1" si="8"/>
        <v>Ready</v>
      </c>
      <c r="AD15" s="192" t="str">
        <f t="shared" ca="1" si="9"/>
        <v>Clear</v>
      </c>
      <c r="AE15" s="334">
        <f t="shared" ca="1" si="10"/>
        <v>0</v>
      </c>
      <c r="AF15" s="192" t="str">
        <f t="shared" ca="1" si="11"/>
        <v>Not Mapped</v>
      </c>
      <c r="AG15" s="334">
        <f ca="1">IFERROR(AVERAGE(INDEX(INDIRECT("'"&amp;$B15&amp;"'!$F:$F"),MATCH("Electrical",INDIRECT("'"&amp;$B15&amp;"'!$A:$A"),0)):INDEX(INDIRECT("'"&amp;$B15&amp;"'!$F:$F"),MATCH("Firestop",INDIRECT("'"&amp;$B15&amp;"'!$A:$A"),0))),0)</f>
        <v>0</v>
      </c>
      <c r="AH15" s="192" t="str">
        <f t="shared" ca="1" si="12"/>
        <v>Not Mapped</v>
      </c>
      <c r="AI15" s="334">
        <f t="shared" ca="1" si="13"/>
        <v>0</v>
      </c>
      <c r="AJ15" s="192" t="str">
        <f t="shared" ca="1" si="14"/>
        <v>Not Mapped</v>
      </c>
      <c r="AK15" s="192" t="str">
        <f t="shared" ca="1" si="15"/>
        <v>0 / 8 Complete</v>
      </c>
      <c r="AL15" s="192">
        <f t="shared" ca="1" si="16"/>
        <v>8</v>
      </c>
      <c r="AM15" s="192" t="str">
        <f t="shared" ca="1" si="17"/>
        <v>QA / Material Review</v>
      </c>
      <c r="AN15" s="192" t="str">
        <f t="shared" ca="1" si="18"/>
        <v>🔴 ATTENTION</v>
      </c>
      <c r="AO15" s="192" t="str">
        <f t="shared" ca="1" si="19"/>
        <v>Mapped</v>
      </c>
    </row>
    <row r="16" spans="1:41" ht="22.9"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4">
        <f t="shared" ca="1" si="20"/>
        <v>0.8</v>
      </c>
      <c r="AA16" s="192" t="str">
        <f t="shared" ca="1" si="6"/>
        <v>Partial / Verify</v>
      </c>
      <c r="AB16" s="334" t="str">
        <f t="shared" ca="1" si="7"/>
        <v/>
      </c>
      <c r="AC16" s="192" t="str">
        <f t="shared" ca="1" si="8"/>
        <v>Ready</v>
      </c>
      <c r="AD16" s="192" t="str">
        <f t="shared" ca="1" si="9"/>
        <v>Clear</v>
      </c>
      <c r="AE16" s="334">
        <f t="shared" ca="1" si="10"/>
        <v>0</v>
      </c>
      <c r="AF16" s="192" t="str">
        <f t="shared" ca="1" si="11"/>
        <v>Not Mapped</v>
      </c>
      <c r="AG16" s="334">
        <f ca="1">IFERROR(AVERAGE(INDEX(INDIRECT("'"&amp;$B16&amp;"'!$F:$F"),MATCH("Electrical",INDIRECT("'"&amp;$B16&amp;"'!$A:$A"),0)):INDEX(INDIRECT("'"&amp;$B16&amp;"'!$F:$F"),MATCH("Firestop",INDIRECT("'"&amp;$B16&amp;"'!$A:$A"),0))),0)</f>
        <v>0</v>
      </c>
      <c r="AH16" s="192" t="str">
        <f t="shared" ca="1" si="12"/>
        <v>Not Mapped</v>
      </c>
      <c r="AI16" s="334">
        <f t="shared" ca="1" si="13"/>
        <v>0</v>
      </c>
      <c r="AJ16" s="192" t="str">
        <f t="shared" ca="1" si="14"/>
        <v>Not Mapped</v>
      </c>
      <c r="AK16" s="192" t="str">
        <f t="shared" ca="1" si="15"/>
        <v>0 / 8 Complete</v>
      </c>
      <c r="AL16" s="192">
        <f t="shared" ca="1" si="16"/>
        <v>8</v>
      </c>
      <c r="AM16" s="192" t="str">
        <f t="shared" ca="1" si="17"/>
        <v>QA / Material Review</v>
      </c>
      <c r="AN16" s="192" t="str">
        <f t="shared" ca="1" si="18"/>
        <v>🔴 ATTENTION</v>
      </c>
      <c r="AO16" s="192" t="str">
        <f t="shared" ca="1" si="19"/>
        <v>Mapped</v>
      </c>
    </row>
    <row r="17" spans="1:41" ht="22.9"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4">
        <f t="shared" ca="1" si="20"/>
        <v>0.8</v>
      </c>
      <c r="AA17" s="192" t="str">
        <f t="shared" ca="1" si="6"/>
        <v>Partial / Verify</v>
      </c>
      <c r="AB17" s="334" t="str">
        <f t="shared" ca="1" si="7"/>
        <v/>
      </c>
      <c r="AC17" s="192" t="str">
        <f t="shared" ca="1" si="8"/>
        <v>Ready</v>
      </c>
      <c r="AD17" s="192" t="str">
        <f t="shared" ca="1" si="9"/>
        <v>Clear</v>
      </c>
      <c r="AE17" s="334">
        <f t="shared" ca="1" si="10"/>
        <v>0</v>
      </c>
      <c r="AF17" s="192" t="str">
        <f t="shared" ca="1" si="11"/>
        <v>Not Mapped</v>
      </c>
      <c r="AG17" s="334">
        <f ca="1">IFERROR(AVERAGE(INDEX(INDIRECT("'"&amp;$B17&amp;"'!$F:$F"),MATCH("Electrical",INDIRECT("'"&amp;$B17&amp;"'!$A:$A"),0)):INDEX(INDIRECT("'"&amp;$B17&amp;"'!$F:$F"),MATCH("Firestop",INDIRECT("'"&amp;$B17&amp;"'!$A:$A"),0))),0)</f>
        <v>0</v>
      </c>
      <c r="AH17" s="192" t="str">
        <f t="shared" ca="1" si="12"/>
        <v>Not Mapped</v>
      </c>
      <c r="AI17" s="334">
        <f t="shared" ca="1" si="13"/>
        <v>0</v>
      </c>
      <c r="AJ17" s="192" t="str">
        <f t="shared" ca="1" si="14"/>
        <v>Not Mapped</v>
      </c>
      <c r="AK17" s="192" t="str">
        <f t="shared" ca="1" si="15"/>
        <v>0 / 8 Complete</v>
      </c>
      <c r="AL17" s="192">
        <f t="shared" ca="1" si="16"/>
        <v>8</v>
      </c>
      <c r="AM17" s="192" t="str">
        <f t="shared" ca="1" si="17"/>
        <v>QA / Material Review</v>
      </c>
      <c r="AN17" s="192" t="str">
        <f t="shared" ca="1" si="18"/>
        <v>🔴 ATTENTION</v>
      </c>
      <c r="AO17" s="192" t="str">
        <f t="shared" ca="1" si="19"/>
        <v>Mapped</v>
      </c>
    </row>
    <row r="18" spans="1:41" ht="22.9"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4">
        <f t="shared" ca="1" si="20"/>
        <v>0.8</v>
      </c>
      <c r="AA18" s="192" t="str">
        <f t="shared" ca="1" si="6"/>
        <v>Partial / Verify</v>
      </c>
      <c r="AB18" s="334" t="str">
        <f t="shared" ca="1" si="7"/>
        <v/>
      </c>
      <c r="AC18" s="192" t="str">
        <f t="shared" ca="1" si="8"/>
        <v>Ready</v>
      </c>
      <c r="AD18" s="192" t="str">
        <f t="shared" ca="1" si="9"/>
        <v>Clear</v>
      </c>
      <c r="AE18" s="334">
        <f t="shared" ca="1" si="10"/>
        <v>0</v>
      </c>
      <c r="AF18" s="192" t="str">
        <f t="shared" ca="1" si="11"/>
        <v>Not Mapped</v>
      </c>
      <c r="AG18" s="334">
        <f ca="1">IFERROR(AVERAGE(INDEX(INDIRECT("'"&amp;$B18&amp;"'!$F:$F"),MATCH("Electrical",INDIRECT("'"&amp;$B18&amp;"'!$A:$A"),0)):INDEX(INDIRECT("'"&amp;$B18&amp;"'!$F:$F"),MATCH("Firestop",INDIRECT("'"&amp;$B18&amp;"'!$A:$A"),0))),0)</f>
        <v>0</v>
      </c>
      <c r="AH18" s="192" t="str">
        <f t="shared" ca="1" si="12"/>
        <v>Not Mapped</v>
      </c>
      <c r="AI18" s="334">
        <f t="shared" ca="1" si="13"/>
        <v>0</v>
      </c>
      <c r="AJ18" s="192" t="str">
        <f t="shared" ca="1" si="14"/>
        <v>Not Mapped</v>
      </c>
      <c r="AK18" s="192" t="str">
        <f t="shared" ca="1" si="15"/>
        <v>0 / 8 Complete</v>
      </c>
      <c r="AL18" s="192">
        <f t="shared" ca="1" si="16"/>
        <v>8</v>
      </c>
      <c r="AM18" s="192" t="str">
        <f t="shared" ca="1" si="17"/>
        <v>QA / Material Review</v>
      </c>
      <c r="AN18" s="192" t="str">
        <f t="shared" ca="1" si="18"/>
        <v>🔴 ATTENTION</v>
      </c>
      <c r="AO18" s="192" t="str">
        <f t="shared" ca="1" si="19"/>
        <v>Mapped</v>
      </c>
    </row>
    <row r="19" spans="1:41" ht="22.9"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4">
        <f t="shared" ca="1" si="20"/>
        <v>0.8</v>
      </c>
      <c r="AA19" s="192" t="str">
        <f t="shared" ca="1" si="6"/>
        <v>Partial / Verify</v>
      </c>
      <c r="AB19" s="334" t="str">
        <f t="shared" ca="1" si="7"/>
        <v/>
      </c>
      <c r="AC19" s="192" t="str">
        <f t="shared" ca="1" si="8"/>
        <v>Ready</v>
      </c>
      <c r="AD19" s="192" t="str">
        <f t="shared" ca="1" si="9"/>
        <v>Clear</v>
      </c>
      <c r="AE19" s="334">
        <f t="shared" ca="1" si="10"/>
        <v>0</v>
      </c>
      <c r="AF19" s="192" t="str">
        <f t="shared" ca="1" si="11"/>
        <v>Not Mapped</v>
      </c>
      <c r="AG19" s="334">
        <f ca="1">IFERROR(AVERAGE(INDEX(INDIRECT("'"&amp;$B19&amp;"'!$F:$F"),MATCH("Electrical",INDIRECT("'"&amp;$B19&amp;"'!$A:$A"),0)):INDEX(INDIRECT("'"&amp;$B19&amp;"'!$F:$F"),MATCH("Firestop",INDIRECT("'"&amp;$B19&amp;"'!$A:$A"),0))),0)</f>
        <v>0</v>
      </c>
      <c r="AH19" s="192" t="str">
        <f t="shared" ca="1" si="12"/>
        <v>Not Mapped</v>
      </c>
      <c r="AI19" s="334">
        <f t="shared" ca="1" si="13"/>
        <v>0</v>
      </c>
      <c r="AJ19" s="192" t="str">
        <f t="shared" ca="1" si="14"/>
        <v>Not Mapped</v>
      </c>
      <c r="AK19" s="192" t="str">
        <f t="shared" ca="1" si="15"/>
        <v>0 / 8 Complete</v>
      </c>
      <c r="AL19" s="192">
        <f t="shared" ca="1" si="16"/>
        <v>8</v>
      </c>
      <c r="AM19" s="192" t="str">
        <f t="shared" ca="1" si="17"/>
        <v>QA / Material Review</v>
      </c>
      <c r="AN19" s="192" t="str">
        <f t="shared" ca="1" si="18"/>
        <v>🔴 ATTENTION</v>
      </c>
      <c r="AO19" s="192" t="str">
        <f t="shared" ca="1" si="19"/>
        <v>Mapped</v>
      </c>
    </row>
    <row r="20" spans="1:41" ht="22.9"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4">
        <f t="shared" ca="1" si="20"/>
        <v>0.8</v>
      </c>
      <c r="AA20" s="192" t="str">
        <f t="shared" ca="1" si="6"/>
        <v>Partial / Verify</v>
      </c>
      <c r="AB20" s="334" t="str">
        <f t="shared" ca="1" si="7"/>
        <v/>
      </c>
      <c r="AC20" s="192" t="str">
        <f t="shared" ca="1" si="8"/>
        <v>Ready</v>
      </c>
      <c r="AD20" s="192" t="str">
        <f t="shared" ca="1" si="9"/>
        <v>Clear</v>
      </c>
      <c r="AE20" s="334">
        <f t="shared" ca="1" si="10"/>
        <v>0</v>
      </c>
      <c r="AF20" s="192" t="str">
        <f t="shared" ca="1" si="11"/>
        <v>Not Mapped</v>
      </c>
      <c r="AG20" s="334">
        <f ca="1">IFERROR(AVERAGE(INDEX(INDIRECT("'"&amp;$B20&amp;"'!$F:$F"),MATCH("Electrical",INDIRECT("'"&amp;$B20&amp;"'!$A:$A"),0)):INDEX(INDIRECT("'"&amp;$B20&amp;"'!$F:$F"),MATCH("Firestop",INDIRECT("'"&amp;$B20&amp;"'!$A:$A"),0))),0)</f>
        <v>0</v>
      </c>
      <c r="AH20" s="192" t="str">
        <f t="shared" ca="1" si="12"/>
        <v>Not Mapped</v>
      </c>
      <c r="AI20" s="334">
        <f t="shared" ca="1" si="13"/>
        <v>0</v>
      </c>
      <c r="AJ20" s="192" t="str">
        <f t="shared" ca="1" si="14"/>
        <v>Not Mapped</v>
      </c>
      <c r="AK20" s="192" t="str">
        <f t="shared" ca="1" si="15"/>
        <v>0 / 8 Complete</v>
      </c>
      <c r="AL20" s="192">
        <f t="shared" ca="1" si="16"/>
        <v>8</v>
      </c>
      <c r="AM20" s="192" t="str">
        <f t="shared" ca="1" si="17"/>
        <v>QA / Material Review</v>
      </c>
      <c r="AN20" s="192" t="str">
        <f t="shared" ca="1" si="18"/>
        <v>🔴 ATTENTION</v>
      </c>
      <c r="AO20" s="192" t="str">
        <f t="shared" ca="1" si="19"/>
        <v>Mapped</v>
      </c>
    </row>
    <row r="21" spans="1:41" ht="34.9"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4">
        <f t="shared" ca="1" si="20"/>
        <v>0.8</v>
      </c>
      <c r="AA21" s="192" t="str">
        <f t="shared" ca="1" si="6"/>
        <v>Partial / Verify</v>
      </c>
      <c r="AB21" s="334" t="str">
        <f t="shared" ca="1" si="7"/>
        <v/>
      </c>
      <c r="AC21" s="192" t="str">
        <f t="shared" ca="1" si="8"/>
        <v>Ready</v>
      </c>
      <c r="AD21" s="192" t="str">
        <f t="shared" ca="1" si="9"/>
        <v>Clear</v>
      </c>
      <c r="AE21" s="334">
        <f t="shared" ca="1" si="10"/>
        <v>0</v>
      </c>
      <c r="AF21" s="192" t="str">
        <f t="shared" ca="1" si="11"/>
        <v>Not Mapped</v>
      </c>
      <c r="AG21" s="334">
        <f ca="1">IFERROR(AVERAGE(INDEX(INDIRECT("'"&amp;$B21&amp;"'!$F:$F"),MATCH("Electrical",INDIRECT("'"&amp;$B21&amp;"'!$A:$A"),0)):INDEX(INDIRECT("'"&amp;$B21&amp;"'!$F:$F"),MATCH("Firestop",INDIRECT("'"&amp;$B21&amp;"'!$A:$A"),0))),0)</f>
        <v>0</v>
      </c>
      <c r="AH21" s="192" t="str">
        <f t="shared" ca="1" si="12"/>
        <v>Not Mapped</v>
      </c>
      <c r="AI21" s="334">
        <f t="shared" ca="1" si="13"/>
        <v>0</v>
      </c>
      <c r="AJ21" s="192" t="str">
        <f t="shared" ca="1" si="14"/>
        <v>Not Mapped</v>
      </c>
      <c r="AK21" s="192" t="str">
        <f t="shared" ca="1" si="15"/>
        <v>0 / 8 Complete</v>
      </c>
      <c r="AL21" s="192">
        <f t="shared" ca="1" si="16"/>
        <v>8</v>
      </c>
      <c r="AM21" s="192" t="str">
        <f t="shared" ca="1" si="17"/>
        <v>QA / Material Review</v>
      </c>
      <c r="AN21" s="192" t="str">
        <f t="shared" ca="1" si="18"/>
        <v>🔴 ATTENTION</v>
      </c>
      <c r="AO21" s="192" t="str">
        <f t="shared" ca="1" si="19"/>
        <v>Mapped</v>
      </c>
    </row>
    <row r="22" spans="1:41" ht="22.9"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4">
        <f t="shared" ca="1" si="20"/>
        <v>0.8</v>
      </c>
      <c r="AA22" s="192" t="str">
        <f t="shared" ca="1" si="6"/>
        <v>Partial / Verify</v>
      </c>
      <c r="AB22" s="334" t="str">
        <f t="shared" ca="1" si="7"/>
        <v/>
      </c>
      <c r="AC22" s="192" t="str">
        <f t="shared" ca="1" si="8"/>
        <v>Ready</v>
      </c>
      <c r="AD22" s="192" t="str">
        <f t="shared" ca="1" si="9"/>
        <v>Clear</v>
      </c>
      <c r="AE22" s="334">
        <f t="shared" ca="1" si="10"/>
        <v>0</v>
      </c>
      <c r="AF22" s="192" t="str">
        <f t="shared" ca="1" si="11"/>
        <v>Not Mapped</v>
      </c>
      <c r="AG22" s="334">
        <f ca="1">IFERROR(AVERAGE(INDEX(INDIRECT("'"&amp;$B22&amp;"'!$F:$F"),MATCH("Electrical",INDIRECT("'"&amp;$B22&amp;"'!$A:$A"),0)):INDEX(INDIRECT("'"&amp;$B22&amp;"'!$F:$F"),MATCH("Firestop",INDIRECT("'"&amp;$B22&amp;"'!$A:$A"),0))),0)</f>
        <v>0</v>
      </c>
      <c r="AH22" s="192" t="str">
        <f t="shared" ca="1" si="12"/>
        <v>Not Mapped</v>
      </c>
      <c r="AI22" s="334">
        <f t="shared" ca="1" si="13"/>
        <v>0</v>
      </c>
      <c r="AJ22" s="192" t="str">
        <f t="shared" ca="1" si="14"/>
        <v>Not Mapped</v>
      </c>
      <c r="AK22" s="192" t="str">
        <f t="shared" ca="1" si="15"/>
        <v>0 / 8 Complete</v>
      </c>
      <c r="AL22" s="192">
        <f t="shared" ca="1" si="16"/>
        <v>8</v>
      </c>
      <c r="AM22" s="192" t="str">
        <f t="shared" ca="1" si="17"/>
        <v>QA / Material Review</v>
      </c>
      <c r="AN22" s="192" t="str">
        <f t="shared" ca="1" si="18"/>
        <v>🔴 ATTENTION</v>
      </c>
      <c r="AO22" s="192" t="str">
        <f t="shared" ca="1" si="19"/>
        <v>Mapped</v>
      </c>
    </row>
    <row r="23" spans="1:41" ht="29.1"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4">
        <f t="shared" ca="1" si="20"/>
        <v>0.8</v>
      </c>
      <c r="AA23" s="192" t="str">
        <f t="shared" ca="1" si="6"/>
        <v>Partial / Verify</v>
      </c>
      <c r="AB23" s="334" t="str">
        <f t="shared" ca="1" si="7"/>
        <v/>
      </c>
      <c r="AC23" s="192" t="str">
        <f t="shared" ca="1" si="8"/>
        <v>Ready</v>
      </c>
      <c r="AD23" s="192" t="str">
        <f t="shared" ca="1" si="9"/>
        <v>Clear</v>
      </c>
      <c r="AE23" s="334">
        <f t="shared" ca="1" si="10"/>
        <v>0</v>
      </c>
      <c r="AF23" s="192" t="str">
        <f t="shared" ca="1" si="11"/>
        <v>Not Mapped</v>
      </c>
      <c r="AG23" s="334">
        <f ca="1">IFERROR(AVERAGE(INDEX(INDIRECT("'"&amp;$B23&amp;"'!$F:$F"),MATCH("Electrical",INDIRECT("'"&amp;$B23&amp;"'!$A:$A"),0)):INDEX(INDIRECT("'"&amp;$B23&amp;"'!$F:$F"),MATCH("Firestop",INDIRECT("'"&amp;$B23&amp;"'!$A:$A"),0))),0)</f>
        <v>0</v>
      </c>
      <c r="AH23" s="192" t="str">
        <f t="shared" ca="1" si="12"/>
        <v>Not Mapped</v>
      </c>
      <c r="AI23" s="334">
        <f t="shared" ca="1" si="13"/>
        <v>0</v>
      </c>
      <c r="AJ23" s="192" t="str">
        <f t="shared" ca="1" si="14"/>
        <v>Not Mapped</v>
      </c>
      <c r="AK23" s="192" t="str">
        <f t="shared" ca="1" si="15"/>
        <v>0 / 8 Complete</v>
      </c>
      <c r="AL23" s="192">
        <f t="shared" ca="1" si="16"/>
        <v>8</v>
      </c>
      <c r="AM23" s="192" t="str">
        <f t="shared" ca="1" si="17"/>
        <v>QA / Material Review</v>
      </c>
      <c r="AN23" s="192" t="str">
        <f t="shared" ca="1" si="18"/>
        <v>🔴 ATTENTION</v>
      </c>
      <c r="AO23" s="192" t="str">
        <f t="shared" ca="1" si="19"/>
        <v>Mapped</v>
      </c>
    </row>
    <row r="24" spans="1:41" ht="34.9"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4">
        <f t="shared" ca="1" si="20"/>
        <v>0</v>
      </c>
      <c r="AA24" s="192" t="str">
        <f t="shared" ca="1" si="6"/>
        <v>Not Mapped</v>
      </c>
      <c r="AB24" s="334" t="str">
        <f t="shared" ca="1" si="7"/>
        <v/>
      </c>
      <c r="AC24" s="192" t="str">
        <f t="shared" ca="1" si="8"/>
        <v>Ready</v>
      </c>
      <c r="AD24" s="192" t="str">
        <f t="shared" ca="1" si="9"/>
        <v>Clear</v>
      </c>
      <c r="AE24" s="334">
        <f t="shared" ca="1" si="10"/>
        <v>0</v>
      </c>
      <c r="AF24" s="192" t="str">
        <f t="shared" ca="1" si="11"/>
        <v>Not Mapped</v>
      </c>
      <c r="AG24" s="334">
        <f ca="1">IFERROR(AVERAGE(INDEX(INDIRECT("'"&amp;$B24&amp;"'!$F:$F"),MATCH("Electrical",INDIRECT("'"&amp;$B24&amp;"'!$A:$A"),0)):INDEX(INDIRECT("'"&amp;$B24&amp;"'!$F:$F"),MATCH("Firestop",INDIRECT("'"&amp;$B24&amp;"'!$A:$A"),0))),0)</f>
        <v>0</v>
      </c>
      <c r="AH24" s="192" t="str">
        <f t="shared" ca="1" si="12"/>
        <v>Not Mapped</v>
      </c>
      <c r="AI24" s="334" t="str">
        <f t="shared" ca="1" si="13"/>
        <v/>
      </c>
      <c r="AJ24" s="192" t="str">
        <f t="shared" ca="1" si="14"/>
        <v>Ready for Turnover</v>
      </c>
      <c r="AK24" s="192" t="str">
        <f t="shared" ca="1" si="15"/>
        <v>0 / 8 Complete</v>
      </c>
      <c r="AL24" s="192">
        <f t="shared" ca="1" si="16"/>
        <v>8</v>
      </c>
      <c r="AM24" s="192" t="str">
        <f t="shared" ca="1" si="17"/>
        <v>Recommend Turnover</v>
      </c>
      <c r="AN24" s="192" t="str">
        <f t="shared" ca="1" si="18"/>
        <v>🟢 READY</v>
      </c>
      <c r="AO24" s="192" t="str">
        <f t="shared" ca="1" si="19"/>
        <v>Mapped</v>
      </c>
    </row>
    <row r="25" spans="1:41" ht="84">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4">
        <f t="shared" ca="1" si="20"/>
        <v>0</v>
      </c>
      <c r="AA25" s="192" t="str">
        <f t="shared" ca="1" si="6"/>
        <v>Not Mapped</v>
      </c>
      <c r="AB25" s="334" t="str">
        <f t="shared" ca="1" si="7"/>
        <v/>
      </c>
      <c r="AC25" s="192" t="str">
        <f t="shared" ca="1" si="8"/>
        <v>Ready</v>
      </c>
      <c r="AD25" s="192" t="str">
        <f t="shared" ca="1" si="9"/>
        <v>Clear</v>
      </c>
      <c r="AE25" s="334">
        <f t="shared" ca="1" si="10"/>
        <v>0</v>
      </c>
      <c r="AF25" s="192" t="str">
        <f t="shared" ca="1" si="11"/>
        <v>Not Mapped</v>
      </c>
      <c r="AG25" s="334">
        <f ca="1">IFERROR(AVERAGE(INDEX(INDIRECT("'"&amp;$B25&amp;"'!$F:$F"),MATCH("Electrical",INDIRECT("'"&amp;$B25&amp;"'!$A:$A"),0)):INDEX(INDIRECT("'"&amp;$B25&amp;"'!$F:$F"),MATCH("Firestop",INDIRECT("'"&amp;$B25&amp;"'!$A:$A"),0))),0)</f>
        <v>0</v>
      </c>
      <c r="AH25" s="192" t="str">
        <f t="shared" ca="1" si="12"/>
        <v>Not Mapped</v>
      </c>
      <c r="AI25" s="334">
        <f t="shared" ca="1" si="13"/>
        <v>0</v>
      </c>
      <c r="AJ25" s="192" t="str">
        <f t="shared" ca="1" si="14"/>
        <v>Not Mapped</v>
      </c>
      <c r="AK25" s="192" t="str">
        <f t="shared" ca="1" si="15"/>
        <v>0 / 8 Complete</v>
      </c>
      <c r="AL25" s="192">
        <f t="shared" ca="1" si="16"/>
        <v>8</v>
      </c>
      <c r="AM25" s="192" t="str">
        <f t="shared" ca="1" si="17"/>
        <v>Review Payment</v>
      </c>
      <c r="AN25" s="192" t="str">
        <f t="shared" ca="1" si="18"/>
        <v>🔴 ATTENTION</v>
      </c>
      <c r="AO25" s="192" t="str">
        <f t="shared" ca="1" si="19"/>
        <v>Mapped</v>
      </c>
    </row>
    <row r="26" spans="1:41" ht="84">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4">
        <f t="shared" ca="1" si="20"/>
        <v>0.8</v>
      </c>
      <c r="AA26" s="192" t="str">
        <f t="shared" ca="1" si="6"/>
        <v>Partial / Verify</v>
      </c>
      <c r="AB26" s="334" t="str">
        <f t="shared" ca="1" si="7"/>
        <v/>
      </c>
      <c r="AC26" s="192" t="str">
        <f t="shared" ca="1" si="8"/>
        <v>Ready</v>
      </c>
      <c r="AD26" s="192" t="str">
        <f t="shared" ca="1" si="9"/>
        <v>Clear</v>
      </c>
      <c r="AE26" s="334">
        <f t="shared" ca="1" si="10"/>
        <v>0</v>
      </c>
      <c r="AF26" s="192" t="str">
        <f t="shared" ca="1" si="11"/>
        <v>Not Mapped</v>
      </c>
      <c r="AG26" s="334">
        <f ca="1">IFERROR(AVERAGE(INDEX(INDIRECT("'"&amp;$B26&amp;"'!$F:$F"),MATCH("Electrical",INDIRECT("'"&amp;$B26&amp;"'!$A:$A"),0)):INDEX(INDIRECT("'"&amp;$B26&amp;"'!$F:$F"),MATCH("Firestop",INDIRECT("'"&amp;$B26&amp;"'!$A:$A"),0))),0)</f>
        <v>0</v>
      </c>
      <c r="AH26" s="192" t="str">
        <f t="shared" ca="1" si="12"/>
        <v>Not Mapped</v>
      </c>
      <c r="AI26" s="334">
        <f t="shared" ca="1" si="13"/>
        <v>0</v>
      </c>
      <c r="AJ26" s="192" t="str">
        <f t="shared" ca="1" si="14"/>
        <v>Not Mapped</v>
      </c>
      <c r="AK26" s="192" t="str">
        <f t="shared" ca="1" si="15"/>
        <v>0 / 8 Complete</v>
      </c>
      <c r="AL26" s="192">
        <f t="shared" ca="1" si="16"/>
        <v>8</v>
      </c>
      <c r="AM26" s="192" t="str">
        <f t="shared" ca="1" si="17"/>
        <v>QA / Material Review</v>
      </c>
      <c r="AN26" s="192" t="str">
        <f t="shared" ca="1" si="18"/>
        <v>🔴 ATTENTION</v>
      </c>
      <c r="AO26" s="192" t="str">
        <f t="shared" ca="1" si="19"/>
        <v>Mapped</v>
      </c>
    </row>
    <row r="27" spans="1:41" ht="29.1"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4">
        <f t="shared" ca="1" si="20"/>
        <v>0.8</v>
      </c>
      <c r="AA27" s="192" t="str">
        <f t="shared" ca="1" si="6"/>
        <v>Partial / Verify</v>
      </c>
      <c r="AB27" s="334" t="str">
        <f t="shared" ca="1" si="7"/>
        <v/>
      </c>
      <c r="AC27" s="192" t="str">
        <f t="shared" ca="1" si="8"/>
        <v>Ready</v>
      </c>
      <c r="AD27" s="192" t="str">
        <f t="shared" ca="1" si="9"/>
        <v>Clear</v>
      </c>
      <c r="AE27" s="334">
        <f t="shared" ca="1" si="10"/>
        <v>0</v>
      </c>
      <c r="AF27" s="192" t="str">
        <f t="shared" ca="1" si="11"/>
        <v>Not Mapped</v>
      </c>
      <c r="AG27" s="334">
        <f ca="1">IFERROR(AVERAGE(INDEX(INDIRECT("'"&amp;$B27&amp;"'!$F:$F"),MATCH("Electrical",INDIRECT("'"&amp;$B27&amp;"'!$A:$A"),0)):INDEX(INDIRECT("'"&amp;$B27&amp;"'!$F:$F"),MATCH("Firestop",INDIRECT("'"&amp;$B27&amp;"'!$A:$A"),0))),0)</f>
        <v>0</v>
      </c>
      <c r="AH27" s="192" t="str">
        <f t="shared" ca="1" si="12"/>
        <v>Not Mapped</v>
      </c>
      <c r="AI27" s="334">
        <f t="shared" ca="1" si="13"/>
        <v>0</v>
      </c>
      <c r="AJ27" s="192" t="str">
        <f t="shared" ca="1" si="14"/>
        <v>Not Mapped</v>
      </c>
      <c r="AK27" s="192" t="str">
        <f t="shared" ca="1" si="15"/>
        <v>0 / 8 Complete</v>
      </c>
      <c r="AL27" s="192">
        <f t="shared" ca="1" si="16"/>
        <v>8</v>
      </c>
      <c r="AM27" s="192" t="str">
        <f t="shared" ca="1" si="17"/>
        <v>QA / Material Review</v>
      </c>
      <c r="AN27" s="192" t="str">
        <f t="shared" ca="1" si="18"/>
        <v>🔴 ATTENTION</v>
      </c>
      <c r="AO27" s="192" t="str">
        <f t="shared" ca="1" si="19"/>
        <v>Mapped</v>
      </c>
    </row>
    <row r="28" spans="1:41" ht="22.9"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4">
        <f t="shared" ca="1" si="20"/>
        <v>0.8</v>
      </c>
      <c r="AA28" s="192" t="str">
        <f t="shared" ca="1" si="6"/>
        <v>Partial / Verify</v>
      </c>
      <c r="AB28" s="334" t="str">
        <f t="shared" ca="1" si="7"/>
        <v/>
      </c>
      <c r="AC28" s="192" t="str">
        <f t="shared" ca="1" si="8"/>
        <v>Ready</v>
      </c>
      <c r="AD28" s="192" t="str">
        <f t="shared" ca="1" si="9"/>
        <v>Clear</v>
      </c>
      <c r="AE28" s="334">
        <f t="shared" ca="1" si="10"/>
        <v>0</v>
      </c>
      <c r="AF28" s="192" t="str">
        <f t="shared" ca="1" si="11"/>
        <v>Not Mapped</v>
      </c>
      <c r="AG28" s="334">
        <f ca="1">IFERROR(AVERAGE(INDEX(INDIRECT("'"&amp;$B28&amp;"'!$F:$F"),MATCH("Electrical",INDIRECT("'"&amp;$B28&amp;"'!$A:$A"),0)):INDEX(INDIRECT("'"&amp;$B28&amp;"'!$F:$F"),MATCH("Firestop",INDIRECT("'"&amp;$B28&amp;"'!$A:$A"),0))),0)</f>
        <v>0</v>
      </c>
      <c r="AH28" s="192" t="str">
        <f t="shared" ca="1" si="12"/>
        <v>Not Mapped</v>
      </c>
      <c r="AI28" s="334">
        <f t="shared" ca="1" si="13"/>
        <v>0</v>
      </c>
      <c r="AJ28" s="192" t="str">
        <f t="shared" ca="1" si="14"/>
        <v>Not Mapped</v>
      </c>
      <c r="AK28" s="192" t="str">
        <f t="shared" ca="1" si="15"/>
        <v>0 / 8 Complete</v>
      </c>
      <c r="AL28" s="192">
        <f t="shared" ca="1" si="16"/>
        <v>8</v>
      </c>
      <c r="AM28" s="192" t="str">
        <f t="shared" ca="1" si="17"/>
        <v>QA / Material Review</v>
      </c>
      <c r="AN28" s="192" t="str">
        <f t="shared" ca="1" si="18"/>
        <v>🔴 ATTENTION</v>
      </c>
      <c r="AO28" s="192" t="str">
        <f t="shared" ca="1" si="19"/>
        <v>Mapped</v>
      </c>
    </row>
    <row r="29" spans="1:41" ht="34.9"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4">
        <f t="shared" ca="1" si="20"/>
        <v>0.8</v>
      </c>
      <c r="AA29" s="192" t="str">
        <f t="shared" ca="1" si="6"/>
        <v>Partial / Verify</v>
      </c>
      <c r="AB29" s="334" t="str">
        <f t="shared" ca="1" si="7"/>
        <v/>
      </c>
      <c r="AC29" s="192" t="str">
        <f t="shared" ca="1" si="8"/>
        <v>Ready</v>
      </c>
      <c r="AD29" s="192" t="str">
        <f t="shared" ca="1" si="9"/>
        <v>Clear</v>
      </c>
      <c r="AE29" s="334">
        <f t="shared" ca="1" si="10"/>
        <v>0</v>
      </c>
      <c r="AF29" s="192" t="str">
        <f t="shared" ca="1" si="11"/>
        <v>Not Mapped</v>
      </c>
      <c r="AG29" s="334">
        <f ca="1">IFERROR(AVERAGE(INDEX(INDIRECT("'"&amp;$B29&amp;"'!$F:$F"),MATCH("Electrical",INDIRECT("'"&amp;$B29&amp;"'!$A:$A"),0)):INDEX(INDIRECT("'"&amp;$B29&amp;"'!$F:$F"),MATCH("Firestop",INDIRECT("'"&amp;$B29&amp;"'!$A:$A"),0))),0)</f>
        <v>0</v>
      </c>
      <c r="AH29" s="192" t="str">
        <f t="shared" ca="1" si="12"/>
        <v>Not Mapped</v>
      </c>
      <c r="AI29" s="334">
        <f t="shared" ca="1" si="13"/>
        <v>0</v>
      </c>
      <c r="AJ29" s="192" t="str">
        <f t="shared" ca="1" si="14"/>
        <v>Not Mapped</v>
      </c>
      <c r="AK29" s="192" t="str">
        <f t="shared" ca="1" si="15"/>
        <v>0 / 8 Complete</v>
      </c>
      <c r="AL29" s="192">
        <f t="shared" ca="1" si="16"/>
        <v>8</v>
      </c>
      <c r="AM29" s="192" t="str">
        <f t="shared" ca="1" si="17"/>
        <v>QA / Material Review</v>
      </c>
      <c r="AN29" s="192" t="str">
        <f t="shared" ca="1" si="18"/>
        <v>🔴 ATTENTION</v>
      </c>
      <c r="AO29" s="192" t="str">
        <f t="shared" ca="1" si="19"/>
        <v>Mapped</v>
      </c>
    </row>
    <row r="30" spans="1:41" ht="29.1"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4">
        <f t="shared" ca="1" si="20"/>
        <v>0.8</v>
      </c>
      <c r="AA30" s="192" t="str">
        <f t="shared" ca="1" si="6"/>
        <v>Partial / Verify</v>
      </c>
      <c r="AB30" s="334" t="str">
        <f t="shared" ca="1" si="7"/>
        <v/>
      </c>
      <c r="AC30" s="192" t="str">
        <f t="shared" ca="1" si="8"/>
        <v>Ready</v>
      </c>
      <c r="AD30" s="192" t="str">
        <f t="shared" ca="1" si="9"/>
        <v>Clear</v>
      </c>
      <c r="AE30" s="334">
        <f t="shared" ca="1" si="10"/>
        <v>0</v>
      </c>
      <c r="AF30" s="192" t="str">
        <f t="shared" ca="1" si="11"/>
        <v>Not Mapped</v>
      </c>
      <c r="AG30" s="334">
        <f ca="1">IFERROR(AVERAGE(INDEX(INDIRECT("'"&amp;$B30&amp;"'!$F:$F"),MATCH("Electrical",INDIRECT("'"&amp;$B30&amp;"'!$A:$A"),0)):INDEX(INDIRECT("'"&amp;$B30&amp;"'!$F:$F"),MATCH("Firestop",INDIRECT("'"&amp;$B30&amp;"'!$A:$A"),0))),0)</f>
        <v>0</v>
      </c>
      <c r="AH30" s="192" t="str">
        <f t="shared" ca="1" si="12"/>
        <v>Not Mapped</v>
      </c>
      <c r="AI30" s="334">
        <f t="shared" ca="1" si="13"/>
        <v>0</v>
      </c>
      <c r="AJ30" s="192" t="str">
        <f t="shared" ca="1" si="14"/>
        <v>Not Mapped</v>
      </c>
      <c r="AK30" s="192" t="str">
        <f t="shared" ca="1" si="15"/>
        <v>0 / 8 Complete</v>
      </c>
      <c r="AL30" s="192">
        <f t="shared" ca="1" si="16"/>
        <v>8</v>
      </c>
      <c r="AM30" s="192" t="str">
        <f t="shared" ca="1" si="17"/>
        <v>QA / Material Review</v>
      </c>
      <c r="AN30" s="192" t="str">
        <f t="shared" ca="1" si="18"/>
        <v>🔴 ATTENTION</v>
      </c>
      <c r="AO30" s="192" t="str">
        <f t="shared" ca="1" si="19"/>
        <v>Mapped</v>
      </c>
    </row>
    <row r="31" spans="1:41" ht="29.1"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4">
        <f t="shared" ca="1" si="20"/>
        <v>0.8</v>
      </c>
      <c r="AA31" s="192" t="str">
        <f t="shared" ca="1" si="6"/>
        <v>Partial / Verify</v>
      </c>
      <c r="AB31" s="334" t="str">
        <f t="shared" ca="1" si="7"/>
        <v/>
      </c>
      <c r="AC31" s="192" t="str">
        <f t="shared" ca="1" si="8"/>
        <v>Ready</v>
      </c>
      <c r="AD31" s="192" t="str">
        <f t="shared" ca="1" si="9"/>
        <v>Clear</v>
      </c>
      <c r="AE31" s="334">
        <f t="shared" ca="1" si="10"/>
        <v>0</v>
      </c>
      <c r="AF31" s="192" t="str">
        <f t="shared" ca="1" si="11"/>
        <v>Not Mapped</v>
      </c>
      <c r="AG31" s="334">
        <f ca="1">IFERROR(AVERAGE(INDEX(INDIRECT("'"&amp;$B31&amp;"'!$F:$F"),MATCH("Electrical",INDIRECT("'"&amp;$B31&amp;"'!$A:$A"),0)):INDEX(INDIRECT("'"&amp;$B31&amp;"'!$F:$F"),MATCH("Firestop",INDIRECT("'"&amp;$B31&amp;"'!$A:$A"),0))),0)</f>
        <v>0</v>
      </c>
      <c r="AH31" s="192" t="str">
        <f t="shared" ca="1" si="12"/>
        <v>Not Mapped</v>
      </c>
      <c r="AI31" s="334">
        <f t="shared" ca="1" si="13"/>
        <v>0</v>
      </c>
      <c r="AJ31" s="192" t="str">
        <f t="shared" ca="1" si="14"/>
        <v>Not Mapped</v>
      </c>
      <c r="AK31" s="192" t="str">
        <f t="shared" ca="1" si="15"/>
        <v>0 / 8 Complete</v>
      </c>
      <c r="AL31" s="192">
        <f t="shared" ca="1" si="16"/>
        <v>8</v>
      </c>
      <c r="AM31" s="192" t="str">
        <f t="shared" ca="1" si="17"/>
        <v>QA / Material Review</v>
      </c>
      <c r="AN31" s="192" t="str">
        <f t="shared" ca="1" si="18"/>
        <v>🔴 ATTENTION</v>
      </c>
      <c r="AO31" s="192" t="str">
        <f t="shared" ca="1" si="19"/>
        <v>Mapped</v>
      </c>
    </row>
    <row r="32" spans="1:41" ht="34.9"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4">
        <f t="shared" ca="1" si="20"/>
        <v>0.8</v>
      </c>
      <c r="AA32" s="192" t="str">
        <f t="shared" ca="1" si="6"/>
        <v>Partial / Verify</v>
      </c>
      <c r="AB32" s="334" t="str">
        <f t="shared" ca="1" si="7"/>
        <v/>
      </c>
      <c r="AC32" s="192" t="str">
        <f t="shared" ca="1" si="8"/>
        <v>Ready</v>
      </c>
      <c r="AD32" s="192" t="str">
        <f t="shared" ca="1" si="9"/>
        <v>Clear</v>
      </c>
      <c r="AE32" s="334">
        <f t="shared" ca="1" si="10"/>
        <v>0</v>
      </c>
      <c r="AF32" s="192" t="str">
        <f t="shared" ca="1" si="11"/>
        <v>Not Mapped</v>
      </c>
      <c r="AG32" s="334">
        <f ca="1">IFERROR(AVERAGE(INDEX(INDIRECT("'"&amp;$B32&amp;"'!$F:$F"),MATCH("Electrical",INDIRECT("'"&amp;$B32&amp;"'!$A:$A"),0)):INDEX(INDIRECT("'"&amp;$B32&amp;"'!$F:$F"),MATCH("Firestop",INDIRECT("'"&amp;$B32&amp;"'!$A:$A"),0))),0)</f>
        <v>0</v>
      </c>
      <c r="AH32" s="192" t="str">
        <f t="shared" ca="1" si="12"/>
        <v>Not Mapped</v>
      </c>
      <c r="AI32" s="334">
        <f t="shared" ca="1" si="13"/>
        <v>0</v>
      </c>
      <c r="AJ32" s="192" t="str">
        <f t="shared" ca="1" si="14"/>
        <v>Not Mapped</v>
      </c>
      <c r="AK32" s="192" t="str">
        <f t="shared" ca="1" si="15"/>
        <v>0 / 8 Complete</v>
      </c>
      <c r="AL32" s="192">
        <f t="shared" ca="1" si="16"/>
        <v>8</v>
      </c>
      <c r="AM32" s="192" t="str">
        <f t="shared" ca="1" si="17"/>
        <v>QA / Material Review</v>
      </c>
      <c r="AN32" s="192" t="str">
        <f t="shared" ca="1" si="18"/>
        <v>🔴 ATTENTION</v>
      </c>
      <c r="AO32" s="192"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15" customHeight="1">
      <c r="A36" s="19"/>
      <c r="B36" s="19"/>
      <c r="C36" s="19"/>
      <c r="D36" s="144"/>
      <c r="E36" s="144"/>
      <c r="F36" s="19"/>
      <c r="G36" s="19"/>
      <c r="H36" s="19"/>
      <c r="I36" s="19"/>
      <c r="J36" s="19"/>
      <c r="K36" s="19"/>
      <c r="L36" s="19"/>
    </row>
    <row r="37" spans="1:19" ht="7.35" customHeight="1">
      <c r="A37" s="146"/>
      <c r="B37" s="146"/>
      <c r="C37" s="146"/>
      <c r="D37" s="147"/>
      <c r="E37" s="147"/>
      <c r="F37" s="146"/>
      <c r="G37" s="146"/>
      <c r="H37" s="146"/>
      <c r="I37" s="146"/>
      <c r="J37" s="146"/>
      <c r="K37" s="146"/>
      <c r="L37" s="146"/>
    </row>
    <row r="38" spans="1:19" ht="34.9" customHeight="1">
      <c r="A38" s="106"/>
      <c r="B38" s="106"/>
      <c r="C38" s="106"/>
      <c r="D38" s="142"/>
      <c r="E38" s="142"/>
      <c r="F38" s="106"/>
      <c r="G38" s="106"/>
      <c r="H38" s="106"/>
      <c r="I38" s="106"/>
      <c r="J38" s="106"/>
      <c r="K38" s="106"/>
      <c r="L38" s="106"/>
    </row>
    <row r="39" spans="1:19" ht="40.700000000000003" customHeight="1">
      <c r="A39" s="106"/>
      <c r="B39" s="106"/>
      <c r="C39" s="106"/>
      <c r="D39" s="142"/>
      <c r="E39" s="142"/>
      <c r="F39" s="106"/>
      <c r="G39" s="106"/>
      <c r="H39" s="106"/>
      <c r="I39" s="106"/>
      <c r="J39" s="106"/>
      <c r="K39" s="106"/>
      <c r="L39" s="106"/>
    </row>
    <row r="40" spans="1:19" ht="40.700000000000003" customHeight="1">
      <c r="A40" s="106"/>
      <c r="B40" s="106"/>
      <c r="C40" s="106"/>
      <c r="D40" s="142"/>
      <c r="E40" s="142"/>
      <c r="F40" s="106"/>
      <c r="G40" s="106"/>
      <c r="H40" s="106"/>
      <c r="I40" s="106"/>
      <c r="J40" s="106"/>
      <c r="K40" s="106"/>
      <c r="L40" s="106"/>
    </row>
    <row r="41" spans="1:19" ht="34.9" customHeight="1">
      <c r="A41" s="106"/>
      <c r="B41" s="106"/>
      <c r="C41" s="106"/>
      <c r="D41" s="142"/>
      <c r="E41" s="142"/>
      <c r="F41" s="106"/>
      <c r="G41" s="106"/>
      <c r="H41" s="106"/>
      <c r="I41" s="106"/>
      <c r="J41" s="106"/>
      <c r="K41" s="106"/>
      <c r="L41" s="106"/>
    </row>
    <row r="42" spans="1:19" ht="40.700000000000003" customHeight="1">
      <c r="A42" s="106"/>
      <c r="B42" s="106"/>
      <c r="C42" s="106"/>
      <c r="D42" s="142"/>
      <c r="E42" s="142"/>
      <c r="F42" s="106"/>
      <c r="G42" s="106"/>
      <c r="H42" s="106"/>
      <c r="I42" s="106"/>
      <c r="J42" s="106"/>
      <c r="K42" s="106"/>
      <c r="L42" s="106"/>
    </row>
    <row r="43" spans="1:19" ht="40.700000000000003" customHeight="1">
      <c r="A43" s="106"/>
      <c r="B43" s="106"/>
      <c r="C43" s="106"/>
      <c r="D43" s="142"/>
      <c r="E43" s="142"/>
      <c r="F43" s="106"/>
      <c r="G43" s="106"/>
      <c r="H43" s="106"/>
      <c r="I43" s="106"/>
      <c r="J43" s="106"/>
      <c r="K43" s="106"/>
      <c r="L43" s="106"/>
    </row>
    <row r="44" spans="1:19" ht="52.15" customHeight="1">
      <c r="A44" s="106"/>
      <c r="B44" s="106"/>
      <c r="C44" s="106"/>
      <c r="D44" s="142"/>
      <c r="E44" s="142"/>
      <c r="F44" s="106"/>
      <c r="G44" s="106"/>
      <c r="H44" s="106"/>
      <c r="I44" s="106"/>
      <c r="J44" s="106"/>
      <c r="K44" s="106"/>
      <c r="L44" s="106"/>
    </row>
    <row r="45" spans="1:19" ht="40.700000000000003" customHeight="1">
      <c r="A45" s="106"/>
      <c r="B45" s="106"/>
      <c r="C45" s="106"/>
      <c r="D45" s="142"/>
      <c r="E45" s="142"/>
      <c r="F45" s="106"/>
      <c r="G45" s="106"/>
      <c r="H45" s="106"/>
      <c r="I45" s="106"/>
      <c r="J45" s="106"/>
      <c r="K45" s="106"/>
      <c r="L45" s="106"/>
    </row>
    <row r="46" spans="1:19" ht="34.9" customHeight="1">
      <c r="A46" s="106"/>
      <c r="B46" s="106"/>
      <c r="C46" s="106"/>
      <c r="D46" s="142"/>
      <c r="E46" s="142"/>
      <c r="F46" s="106"/>
      <c r="G46" s="106"/>
      <c r="H46" s="106"/>
      <c r="I46" s="106"/>
      <c r="J46" s="106"/>
      <c r="K46" s="106"/>
      <c r="L46" s="106"/>
    </row>
    <row r="47" spans="1:19" ht="40.700000000000003" customHeight="1">
      <c r="A47" s="106"/>
      <c r="B47" s="106"/>
      <c r="C47" s="106"/>
      <c r="D47" s="142"/>
      <c r="E47" s="142"/>
      <c r="F47" s="106"/>
      <c r="G47" s="106"/>
      <c r="H47" s="106"/>
      <c r="I47" s="106"/>
      <c r="J47" s="106"/>
      <c r="K47" s="106"/>
      <c r="L47" s="106"/>
    </row>
    <row r="48" spans="1:19" ht="40.700000000000003" customHeight="1">
      <c r="A48" s="106"/>
      <c r="B48" s="106"/>
      <c r="C48" s="106"/>
      <c r="D48" s="142"/>
      <c r="E48" s="142"/>
      <c r="F48" s="106"/>
      <c r="G48" s="106"/>
      <c r="H48" s="106"/>
      <c r="I48" s="106"/>
      <c r="J48" s="106"/>
      <c r="K48" s="106"/>
      <c r="L48" s="106"/>
    </row>
    <row r="49" spans="1:12" ht="34.9" customHeight="1">
      <c r="A49" s="106"/>
      <c r="B49" s="106"/>
      <c r="C49" s="106"/>
      <c r="D49" s="142"/>
      <c r="E49" s="142"/>
      <c r="F49" s="106"/>
      <c r="G49" s="106"/>
      <c r="H49" s="106"/>
      <c r="I49" s="106"/>
      <c r="J49" s="106"/>
      <c r="K49" s="106"/>
      <c r="L49" s="106"/>
    </row>
    <row r="50" spans="1:12" ht="40.700000000000003" customHeight="1">
      <c r="A50" s="106"/>
      <c r="B50" s="106"/>
      <c r="C50" s="106"/>
      <c r="D50" s="142"/>
      <c r="E50" s="142"/>
      <c r="F50" s="106"/>
      <c r="G50" s="106"/>
      <c r="H50" s="106"/>
      <c r="I50" s="106"/>
      <c r="J50" s="106"/>
      <c r="K50" s="106"/>
      <c r="L50" s="106"/>
    </row>
    <row r="51" spans="1:12" ht="40.700000000000003" customHeight="1">
      <c r="A51" s="106"/>
      <c r="B51" s="106"/>
      <c r="C51" s="106"/>
      <c r="D51" s="142"/>
      <c r="E51" s="142"/>
      <c r="F51" s="106"/>
      <c r="G51" s="106"/>
      <c r="H51" s="106"/>
      <c r="I51" s="106"/>
      <c r="J51" s="106"/>
      <c r="K51" s="106"/>
      <c r="L51" s="106"/>
    </row>
    <row r="52" spans="1:12" ht="52.15" customHeight="1">
      <c r="A52" s="106"/>
      <c r="B52" s="106"/>
      <c r="C52" s="106"/>
      <c r="D52" s="142"/>
      <c r="E52" s="142"/>
      <c r="F52" s="106"/>
      <c r="G52" s="106"/>
      <c r="H52" s="106"/>
      <c r="I52" s="106"/>
      <c r="J52" s="106"/>
      <c r="K52" s="106"/>
      <c r="L52" s="106"/>
    </row>
    <row r="53" spans="1:12" ht="40.700000000000003" customHeight="1">
      <c r="A53" s="106"/>
      <c r="B53" s="106"/>
      <c r="C53" s="106"/>
      <c r="D53" s="142"/>
      <c r="E53" s="142"/>
      <c r="F53" s="106"/>
      <c r="G53" s="106"/>
      <c r="H53" s="106"/>
      <c r="I53" s="106"/>
      <c r="J53" s="106"/>
      <c r="K53" s="106"/>
      <c r="L53" s="106"/>
    </row>
    <row r="54" spans="1:12" ht="34.9" customHeight="1">
      <c r="A54" s="106"/>
      <c r="B54" s="106"/>
      <c r="C54" s="106"/>
      <c r="D54" s="142"/>
      <c r="E54" s="142"/>
      <c r="F54" s="106"/>
      <c r="G54" s="106"/>
      <c r="H54" s="106"/>
      <c r="I54" s="106"/>
      <c r="J54" s="106"/>
      <c r="K54" s="106"/>
      <c r="L54" s="106"/>
    </row>
    <row r="55" spans="1:12" ht="46.35" customHeight="1">
      <c r="A55" s="106"/>
      <c r="B55" s="106"/>
      <c r="C55" s="106"/>
      <c r="D55" s="142"/>
      <c r="E55" s="142"/>
      <c r="F55" s="106"/>
      <c r="G55" s="106"/>
      <c r="H55" s="106"/>
      <c r="I55" s="106"/>
      <c r="J55" s="106"/>
      <c r="K55" s="106"/>
      <c r="L55" s="106"/>
    </row>
    <row r="56" spans="1:12" ht="46.35" customHeight="1">
      <c r="A56" s="106"/>
      <c r="B56" s="106"/>
      <c r="C56" s="106"/>
      <c r="D56" s="142"/>
      <c r="E56" s="142"/>
      <c r="F56" s="106"/>
      <c r="G56" s="106"/>
      <c r="H56" s="106"/>
      <c r="I56" s="106"/>
      <c r="J56" s="106"/>
      <c r="K56" s="106"/>
      <c r="L56" s="106"/>
    </row>
    <row r="57" spans="1:12" ht="40.700000000000003" customHeight="1">
      <c r="A57" s="106"/>
      <c r="B57" s="106"/>
      <c r="C57" s="106"/>
      <c r="D57" s="142"/>
      <c r="E57" s="142"/>
      <c r="F57" s="106"/>
      <c r="G57" s="106"/>
      <c r="H57" s="106"/>
      <c r="I57" s="106"/>
      <c r="J57" s="106"/>
      <c r="K57" s="106"/>
      <c r="L57" s="106"/>
    </row>
    <row r="58" spans="1:12" ht="40.700000000000003" customHeight="1">
      <c r="A58" s="106"/>
      <c r="B58" s="106"/>
      <c r="C58" s="106"/>
      <c r="D58" s="142"/>
      <c r="E58" s="142"/>
      <c r="F58" s="106"/>
      <c r="G58" s="106"/>
      <c r="H58" s="106"/>
      <c r="I58" s="106"/>
      <c r="J58" s="106"/>
      <c r="K58" s="106"/>
      <c r="L58" s="106"/>
    </row>
    <row r="59" spans="1:12" ht="40.700000000000003" customHeight="1">
      <c r="A59" s="106"/>
      <c r="B59" s="106"/>
      <c r="C59" s="106"/>
      <c r="D59" s="142"/>
      <c r="E59" s="142"/>
      <c r="F59" s="106"/>
      <c r="G59" s="106"/>
      <c r="H59" s="106"/>
      <c r="I59" s="106"/>
      <c r="J59" s="106"/>
      <c r="K59" s="106"/>
      <c r="L59" s="106"/>
    </row>
    <row r="60" spans="1:12" ht="52.15" customHeight="1">
      <c r="A60" s="106"/>
      <c r="B60" s="106"/>
      <c r="C60" s="106"/>
      <c r="D60" s="142"/>
      <c r="E60" s="142"/>
      <c r="F60" s="106"/>
      <c r="G60" s="106"/>
      <c r="H60" s="106"/>
      <c r="I60" s="106"/>
      <c r="J60" s="106"/>
      <c r="K60" s="106"/>
      <c r="L60" s="106"/>
    </row>
    <row r="61" spans="1:12" ht="40.700000000000003" customHeight="1">
      <c r="A61" s="106"/>
      <c r="B61" s="106"/>
      <c r="C61" s="106"/>
      <c r="D61" s="142"/>
      <c r="E61" s="142"/>
      <c r="F61" s="106"/>
      <c r="G61" s="106"/>
      <c r="H61" s="106"/>
      <c r="I61" s="106"/>
      <c r="J61" s="106"/>
      <c r="K61" s="106"/>
      <c r="L61" s="106"/>
    </row>
    <row r="62" spans="1:12" ht="29.1" customHeight="1">
      <c r="A62" s="106"/>
      <c r="B62" s="106"/>
      <c r="C62" s="106"/>
      <c r="D62" s="142"/>
      <c r="E62" s="142"/>
      <c r="F62" s="106"/>
      <c r="G62" s="106"/>
      <c r="H62" s="106"/>
      <c r="I62" s="106"/>
      <c r="J62" s="106"/>
      <c r="K62" s="106"/>
      <c r="L62" s="106"/>
    </row>
    <row r="63" spans="1:12" ht="34.9" customHeight="1">
      <c r="A63" s="106"/>
      <c r="B63" s="106"/>
      <c r="C63" s="106"/>
      <c r="D63" s="142"/>
      <c r="E63" s="142"/>
      <c r="F63" s="106"/>
      <c r="G63" s="106"/>
      <c r="H63" s="106"/>
      <c r="I63" s="106"/>
      <c r="J63" s="106"/>
      <c r="K63" s="106"/>
      <c r="L63" s="106"/>
    </row>
    <row r="64" spans="1:12" ht="29.1" customHeight="1">
      <c r="A64" s="106"/>
      <c r="B64" s="106"/>
      <c r="C64" s="106"/>
      <c r="D64" s="142"/>
      <c r="E64" s="142"/>
      <c r="F64" s="106"/>
      <c r="G64" s="106"/>
      <c r="H64" s="106"/>
      <c r="I64" s="106"/>
      <c r="J64" s="106"/>
      <c r="K64" s="106"/>
      <c r="L64" s="106"/>
    </row>
    <row r="65" spans="1:12" ht="34.9" customHeight="1">
      <c r="A65" s="106"/>
      <c r="B65" s="106"/>
      <c r="C65" s="106"/>
      <c r="D65" s="142"/>
      <c r="E65" s="142"/>
      <c r="F65" s="106"/>
      <c r="G65" s="106"/>
      <c r="H65" s="106"/>
      <c r="I65" s="106"/>
      <c r="J65" s="106"/>
      <c r="K65" s="106"/>
      <c r="L65" s="106"/>
    </row>
    <row r="66" spans="1:12" ht="29.1" customHeight="1">
      <c r="A66" s="106"/>
      <c r="B66" s="106"/>
      <c r="C66" s="106"/>
      <c r="D66" s="142"/>
      <c r="E66" s="142"/>
      <c r="F66" s="106"/>
      <c r="G66" s="106"/>
      <c r="H66" s="106"/>
      <c r="I66" s="106"/>
      <c r="J66" s="106"/>
      <c r="K66" s="106"/>
      <c r="L66" s="106"/>
    </row>
    <row r="67" spans="1:12" ht="34.9" customHeight="1">
      <c r="A67" s="106"/>
      <c r="B67" s="106"/>
      <c r="C67" s="106"/>
      <c r="D67" s="142"/>
      <c r="E67" s="142"/>
      <c r="F67" s="106"/>
      <c r="G67" s="106"/>
      <c r="H67" s="106"/>
      <c r="I67" s="106"/>
      <c r="J67" s="106"/>
      <c r="K67" s="106"/>
      <c r="L67" s="106"/>
    </row>
    <row r="68" spans="1:12" ht="29.1" customHeight="1">
      <c r="A68" s="106"/>
      <c r="B68" s="106"/>
      <c r="C68" s="106"/>
      <c r="D68" s="142"/>
      <c r="E68" s="142"/>
      <c r="F68" s="106"/>
      <c r="G68" s="106"/>
      <c r="H68" s="106"/>
      <c r="I68" s="106"/>
      <c r="J68" s="106"/>
      <c r="K68" s="106"/>
      <c r="L68" s="106"/>
    </row>
    <row r="69" spans="1:12" ht="29.1" customHeight="1">
      <c r="A69" s="106"/>
      <c r="B69" s="106"/>
      <c r="C69" s="106"/>
      <c r="D69" s="142"/>
      <c r="E69" s="142"/>
      <c r="F69" s="106"/>
      <c r="G69" s="106"/>
      <c r="H69" s="106"/>
      <c r="I69" s="106"/>
      <c r="J69" s="106"/>
      <c r="K69" s="106"/>
      <c r="L69" s="106"/>
    </row>
    <row r="70" spans="1:12" ht="34.9" customHeight="1">
      <c r="A70" s="106"/>
      <c r="B70" s="106"/>
      <c r="C70" s="106"/>
      <c r="D70" s="142"/>
      <c r="E70" s="142"/>
      <c r="F70" s="106"/>
      <c r="G70" s="106"/>
      <c r="H70" s="106"/>
      <c r="I70" s="106"/>
      <c r="J70" s="106"/>
      <c r="K70" s="106"/>
      <c r="L70" s="106"/>
    </row>
    <row r="71" spans="1:12" ht="34.9" customHeight="1">
      <c r="A71" s="106"/>
      <c r="B71" s="106"/>
      <c r="C71" s="106"/>
      <c r="D71" s="142"/>
      <c r="E71" s="142"/>
      <c r="F71" s="106"/>
      <c r="G71" s="106"/>
      <c r="H71" s="106"/>
      <c r="I71" s="106"/>
      <c r="J71" s="106"/>
      <c r="K71" s="106"/>
      <c r="L71" s="106"/>
    </row>
    <row r="72" spans="1:12" ht="29.1" customHeight="1">
      <c r="A72" s="106"/>
      <c r="B72" s="106"/>
      <c r="C72" s="106"/>
      <c r="D72" s="142"/>
      <c r="E72" s="142"/>
      <c r="F72" s="106"/>
      <c r="G72" s="106"/>
      <c r="H72" s="106"/>
      <c r="I72" s="106"/>
      <c r="J72" s="106"/>
      <c r="K72" s="106"/>
      <c r="L72" s="106"/>
    </row>
    <row r="73" spans="1:12" ht="40.700000000000003" customHeight="1">
      <c r="A73" s="106"/>
      <c r="B73" s="106"/>
      <c r="C73" s="106"/>
      <c r="D73" s="142"/>
      <c r="E73" s="142"/>
      <c r="F73" s="106"/>
      <c r="G73" s="106"/>
      <c r="H73" s="106"/>
      <c r="I73" s="106"/>
      <c r="J73" s="106"/>
      <c r="K73" s="106"/>
      <c r="L73" s="106"/>
    </row>
    <row r="74" spans="1:12" ht="29.1" customHeight="1">
      <c r="A74" s="106"/>
      <c r="B74" s="106"/>
      <c r="C74" s="106"/>
      <c r="D74" s="142"/>
      <c r="E74" s="142"/>
      <c r="F74" s="106"/>
      <c r="G74" s="106"/>
      <c r="H74" s="106"/>
      <c r="I74" s="106"/>
      <c r="J74" s="106"/>
      <c r="K74" s="106"/>
      <c r="L74" s="106"/>
    </row>
    <row r="75" spans="1:12" ht="29.1" customHeight="1">
      <c r="A75" s="106"/>
      <c r="B75" s="106"/>
      <c r="C75" s="106"/>
      <c r="D75" s="142"/>
      <c r="E75" s="142"/>
      <c r="F75" s="106"/>
      <c r="G75" s="106"/>
      <c r="H75" s="106"/>
      <c r="I75" s="106"/>
      <c r="J75" s="106"/>
      <c r="K75" s="106"/>
      <c r="L75" s="106"/>
    </row>
    <row r="76" spans="1:12" ht="22.9" customHeight="1">
      <c r="A76" s="106"/>
      <c r="B76" s="106"/>
      <c r="C76" s="106"/>
      <c r="D76" s="142"/>
      <c r="E76" s="142"/>
      <c r="F76" s="106"/>
      <c r="G76" s="106"/>
      <c r="H76" s="106"/>
      <c r="I76" s="106"/>
      <c r="J76" s="106"/>
      <c r="K76" s="106"/>
      <c r="L76" s="106"/>
    </row>
    <row r="77" spans="1:12" ht="34.9" customHeight="1">
      <c r="A77" s="106"/>
      <c r="B77" s="106"/>
      <c r="C77" s="106"/>
      <c r="D77" s="142"/>
      <c r="E77" s="142"/>
      <c r="F77" s="106"/>
      <c r="G77" s="106"/>
      <c r="H77" s="106"/>
      <c r="I77" s="106"/>
      <c r="J77" s="106"/>
      <c r="K77" s="106"/>
      <c r="L77" s="106"/>
    </row>
    <row r="78" spans="1:12" ht="34.9" customHeight="1">
      <c r="A78" s="106"/>
      <c r="B78" s="106"/>
      <c r="C78" s="106"/>
      <c r="D78" s="142"/>
      <c r="E78" s="142"/>
      <c r="F78" s="106"/>
      <c r="G78" s="106"/>
      <c r="H78" s="106"/>
      <c r="I78" s="106"/>
      <c r="J78" s="106"/>
      <c r="K78" s="106"/>
      <c r="L78" s="106"/>
    </row>
    <row r="79" spans="1:12" ht="40.700000000000003" customHeight="1">
      <c r="A79" s="106"/>
      <c r="B79" s="106"/>
      <c r="C79" s="106"/>
      <c r="D79" s="142"/>
      <c r="E79" s="142"/>
      <c r="F79" s="106"/>
      <c r="G79" s="106"/>
      <c r="H79" s="106"/>
      <c r="I79" s="106"/>
      <c r="J79" s="106"/>
      <c r="K79" s="106"/>
      <c r="L79" s="106"/>
    </row>
    <row r="80" spans="1:12" ht="34.9" customHeight="1">
      <c r="A80" s="106"/>
      <c r="B80" s="106"/>
      <c r="C80" s="106"/>
      <c r="D80" s="142"/>
      <c r="E80" s="142"/>
      <c r="F80" s="106"/>
      <c r="G80" s="106"/>
      <c r="H80" s="106"/>
      <c r="I80" s="106"/>
      <c r="J80" s="106"/>
      <c r="K80" s="106"/>
      <c r="L80" s="106"/>
    </row>
    <row r="81" spans="1:12" ht="29.1" customHeight="1">
      <c r="A81" s="106"/>
      <c r="B81" s="106"/>
      <c r="C81" s="106"/>
      <c r="D81" s="142"/>
      <c r="E81" s="142"/>
      <c r="F81" s="106"/>
      <c r="G81" s="106"/>
      <c r="H81" s="106"/>
      <c r="I81" s="106"/>
      <c r="J81" s="106"/>
      <c r="K81" s="106"/>
      <c r="L81" s="106"/>
    </row>
    <row r="82" spans="1:12" ht="34.9" customHeight="1">
      <c r="A82" s="106"/>
      <c r="B82" s="106"/>
      <c r="C82" s="106"/>
      <c r="D82" s="142"/>
      <c r="E82" s="142"/>
      <c r="F82" s="106"/>
      <c r="G82" s="106"/>
      <c r="H82" s="106"/>
      <c r="I82" s="106"/>
      <c r="J82" s="106"/>
      <c r="K82" s="106"/>
      <c r="L82" s="106"/>
    </row>
    <row r="83" spans="1:12" ht="34.9" customHeight="1">
      <c r="A83" s="106"/>
      <c r="B83" s="106"/>
      <c r="C83" s="106"/>
      <c r="D83" s="142"/>
      <c r="E83" s="142"/>
      <c r="F83" s="106"/>
      <c r="G83" s="106"/>
      <c r="H83" s="106"/>
      <c r="I83" s="106"/>
      <c r="J83" s="106"/>
      <c r="K83" s="106"/>
      <c r="L83" s="106"/>
    </row>
    <row r="84" spans="1:12" ht="22.9" customHeight="1">
      <c r="A84" s="106"/>
      <c r="B84" s="106"/>
      <c r="C84" s="106"/>
      <c r="D84" s="142"/>
      <c r="E84" s="142"/>
      <c r="F84" s="106"/>
      <c r="G84" s="106"/>
      <c r="H84" s="106"/>
      <c r="I84" s="106"/>
      <c r="J84" s="106"/>
      <c r="K84" s="106"/>
      <c r="L84" s="106"/>
    </row>
    <row r="85" spans="1:12" ht="34.9" customHeight="1">
      <c r="A85" s="106"/>
      <c r="B85" s="106"/>
      <c r="C85" s="106"/>
      <c r="D85" s="142"/>
      <c r="E85" s="142"/>
      <c r="F85" s="106"/>
      <c r="G85" s="106"/>
      <c r="H85" s="106"/>
      <c r="I85" s="106"/>
      <c r="J85" s="106"/>
      <c r="K85" s="106"/>
      <c r="L85" s="106"/>
    </row>
    <row r="86" spans="1:12" ht="40.700000000000003" customHeight="1">
      <c r="A86" s="106"/>
      <c r="B86" s="106"/>
      <c r="C86" s="106"/>
      <c r="D86" s="142"/>
      <c r="E86" s="142"/>
      <c r="F86" s="106"/>
      <c r="G86" s="106"/>
      <c r="H86" s="106"/>
      <c r="I86" s="106"/>
      <c r="J86" s="106"/>
      <c r="K86" s="106"/>
      <c r="L86" s="106"/>
    </row>
    <row r="87" spans="1:12" ht="40.700000000000003" customHeight="1">
      <c r="A87" s="106"/>
      <c r="B87" s="106"/>
      <c r="C87" s="106"/>
      <c r="D87" s="142"/>
      <c r="E87" s="142"/>
      <c r="F87" s="106"/>
      <c r="G87" s="106"/>
      <c r="H87" s="106"/>
      <c r="I87" s="106"/>
      <c r="J87" s="106"/>
      <c r="K87" s="106"/>
      <c r="L87" s="106"/>
    </row>
    <row r="88" spans="1:12" ht="34.9" customHeight="1">
      <c r="A88" s="106"/>
      <c r="B88" s="106"/>
      <c r="C88" s="106"/>
      <c r="D88" s="142"/>
      <c r="E88" s="142"/>
      <c r="F88" s="106"/>
      <c r="G88" s="106"/>
      <c r="H88" s="106"/>
      <c r="I88" s="106"/>
      <c r="J88" s="106"/>
      <c r="K88" s="106"/>
      <c r="L88" s="106"/>
    </row>
    <row r="89" spans="1:12" ht="34.9" customHeight="1">
      <c r="A89" s="106"/>
      <c r="B89" s="106"/>
      <c r="C89" s="106"/>
      <c r="D89" s="142"/>
      <c r="E89" s="142"/>
      <c r="F89" s="106"/>
      <c r="G89" s="106"/>
      <c r="H89" s="106"/>
      <c r="I89" s="106"/>
      <c r="J89" s="106"/>
      <c r="K89" s="106"/>
      <c r="L89" s="106"/>
    </row>
    <row r="90" spans="1:12" ht="40.700000000000003" customHeight="1">
      <c r="A90" s="106"/>
      <c r="B90" s="106"/>
      <c r="C90" s="106"/>
      <c r="D90" s="142"/>
      <c r="E90" s="142"/>
      <c r="F90" s="106"/>
      <c r="G90" s="106"/>
      <c r="H90" s="106"/>
      <c r="I90" s="106"/>
      <c r="J90" s="106"/>
      <c r="K90" s="106"/>
      <c r="L90" s="106"/>
    </row>
    <row r="91" spans="1:12" ht="34.9" customHeight="1">
      <c r="A91" s="106"/>
      <c r="B91" s="106"/>
      <c r="C91" s="106"/>
      <c r="D91" s="142"/>
      <c r="E91" s="142"/>
      <c r="F91" s="106"/>
      <c r="G91" s="106"/>
      <c r="H91" s="106"/>
      <c r="I91" s="106"/>
      <c r="J91" s="106"/>
      <c r="K91" s="106"/>
      <c r="L91" s="106"/>
    </row>
    <row r="92" spans="1:12" ht="22.9" customHeight="1">
      <c r="A92" s="106"/>
      <c r="B92" s="106"/>
      <c r="C92" s="106"/>
      <c r="D92" s="142"/>
      <c r="E92" s="142"/>
      <c r="F92" s="106"/>
      <c r="G92" s="106"/>
      <c r="H92" s="106"/>
      <c r="I92" s="106"/>
      <c r="J92" s="106"/>
      <c r="K92" s="106"/>
      <c r="L92" s="106"/>
    </row>
    <row r="93" spans="1:12" ht="29.1" customHeight="1">
      <c r="A93" s="106"/>
      <c r="B93" s="106"/>
      <c r="C93" s="106"/>
      <c r="D93" s="142"/>
      <c r="E93" s="142"/>
      <c r="F93" s="106"/>
      <c r="G93" s="106"/>
      <c r="H93" s="106"/>
      <c r="I93" s="106"/>
      <c r="J93" s="106"/>
      <c r="K93" s="106"/>
      <c r="L93" s="106"/>
    </row>
    <row r="94" spans="1:12" ht="34.9" customHeight="1">
      <c r="A94" s="106"/>
      <c r="B94" s="106"/>
      <c r="C94" s="106"/>
      <c r="D94" s="142"/>
      <c r="E94" s="142"/>
      <c r="F94" s="106"/>
      <c r="G94" s="106"/>
      <c r="H94" s="106"/>
      <c r="I94" s="106"/>
      <c r="J94" s="106"/>
      <c r="K94" s="106"/>
      <c r="L94" s="106"/>
    </row>
    <row r="95" spans="1:12" ht="40.700000000000003" customHeight="1">
      <c r="A95" s="106"/>
      <c r="B95" s="106"/>
      <c r="C95" s="106"/>
      <c r="D95" s="142"/>
      <c r="E95" s="142"/>
      <c r="F95" s="106"/>
      <c r="G95" s="106"/>
      <c r="H95" s="106"/>
      <c r="I95" s="106"/>
      <c r="J95" s="106"/>
      <c r="K95" s="106"/>
      <c r="L95" s="106"/>
    </row>
    <row r="96" spans="1:12" ht="34.9" customHeight="1">
      <c r="A96" s="106"/>
      <c r="B96" s="106"/>
      <c r="C96" s="106"/>
      <c r="D96" s="142"/>
      <c r="E96" s="142"/>
      <c r="F96" s="106"/>
      <c r="G96" s="106"/>
      <c r="H96" s="106"/>
      <c r="I96" s="106"/>
      <c r="J96" s="106"/>
      <c r="K96" s="106"/>
      <c r="L96" s="106"/>
    </row>
    <row r="97" spans="1:12" ht="40.700000000000003" customHeight="1">
      <c r="A97" s="106"/>
      <c r="B97" s="106"/>
      <c r="C97" s="106"/>
      <c r="D97" s="142"/>
      <c r="E97" s="142"/>
      <c r="F97" s="106"/>
      <c r="G97" s="106"/>
      <c r="H97" s="106"/>
      <c r="I97" s="106"/>
      <c r="J97" s="106"/>
      <c r="K97" s="106"/>
      <c r="L97" s="106"/>
    </row>
    <row r="98" spans="1:12" ht="40.700000000000003" customHeight="1">
      <c r="A98" s="106"/>
      <c r="B98" s="106"/>
      <c r="C98" s="106"/>
      <c r="D98" s="142"/>
      <c r="E98" s="142"/>
      <c r="F98" s="106"/>
      <c r="G98" s="106"/>
      <c r="H98" s="106"/>
      <c r="I98" s="106"/>
      <c r="J98" s="106"/>
      <c r="K98" s="106"/>
      <c r="L98" s="106"/>
    </row>
    <row r="99" spans="1:12" ht="34.9" customHeight="1">
      <c r="A99" s="106"/>
      <c r="B99" s="106"/>
      <c r="C99" s="106"/>
      <c r="D99" s="142"/>
      <c r="E99" s="142"/>
      <c r="F99" s="106"/>
      <c r="G99" s="106"/>
      <c r="H99" s="106"/>
      <c r="I99" s="106"/>
      <c r="J99" s="106"/>
      <c r="K99" s="106"/>
      <c r="L99" s="106"/>
    </row>
    <row r="100" spans="1:12" ht="22.9" customHeight="1">
      <c r="A100" s="106"/>
      <c r="B100" s="106"/>
      <c r="C100" s="106"/>
      <c r="D100" s="142"/>
      <c r="E100" s="142"/>
      <c r="F100" s="106"/>
      <c r="G100" s="106"/>
      <c r="H100" s="106"/>
      <c r="I100" s="106"/>
      <c r="J100" s="106"/>
      <c r="K100" s="106"/>
      <c r="L100" s="106"/>
    </row>
    <row r="101" spans="1:12" ht="29.1" customHeight="1">
      <c r="A101" s="106"/>
      <c r="B101" s="106"/>
      <c r="C101" s="106"/>
      <c r="D101" s="142"/>
      <c r="E101" s="142"/>
      <c r="F101" s="106"/>
      <c r="G101" s="106"/>
      <c r="H101" s="106"/>
      <c r="I101" s="106"/>
      <c r="J101" s="106"/>
      <c r="K101" s="106"/>
      <c r="L101" s="106"/>
    </row>
    <row r="102" spans="1:12" ht="34.9" customHeight="1">
      <c r="A102" s="106"/>
      <c r="B102" s="106"/>
      <c r="C102" s="106"/>
      <c r="D102" s="142"/>
      <c r="E102" s="142"/>
      <c r="F102" s="106"/>
      <c r="G102" s="106"/>
      <c r="H102" s="106"/>
      <c r="I102" s="106"/>
      <c r="J102" s="106"/>
      <c r="K102" s="106"/>
      <c r="L102" s="106"/>
    </row>
    <row r="103" spans="1:12" ht="34.9" customHeight="1">
      <c r="A103" s="106"/>
      <c r="B103" s="106"/>
      <c r="C103" s="106"/>
      <c r="D103" s="142"/>
      <c r="E103" s="142"/>
      <c r="F103" s="106"/>
      <c r="G103" s="106"/>
      <c r="H103" s="106"/>
      <c r="I103" s="106"/>
      <c r="J103" s="106"/>
      <c r="K103" s="106"/>
      <c r="L103" s="106"/>
    </row>
    <row r="104" spans="1:12" ht="34.9" customHeight="1">
      <c r="A104" s="106"/>
      <c r="B104" s="106"/>
      <c r="C104" s="106"/>
      <c r="D104" s="142"/>
      <c r="E104" s="142"/>
      <c r="F104" s="106"/>
      <c r="G104" s="106"/>
      <c r="H104" s="106"/>
      <c r="I104" s="106"/>
      <c r="J104" s="106"/>
      <c r="K104" s="106"/>
      <c r="L104" s="106"/>
    </row>
    <row r="105" spans="1:12" ht="40.700000000000003" customHeight="1">
      <c r="A105" s="106"/>
      <c r="B105" s="106"/>
      <c r="C105" s="106"/>
      <c r="D105" s="142"/>
      <c r="E105" s="142"/>
      <c r="F105" s="106"/>
      <c r="G105" s="106"/>
      <c r="H105" s="106"/>
      <c r="I105" s="106"/>
      <c r="J105" s="106"/>
      <c r="K105" s="106"/>
      <c r="L105" s="106"/>
    </row>
    <row r="106" spans="1:12" ht="40.700000000000003" customHeight="1">
      <c r="A106" s="106"/>
      <c r="B106" s="106"/>
      <c r="C106" s="106"/>
      <c r="D106" s="142"/>
      <c r="E106" s="142"/>
      <c r="F106" s="106"/>
      <c r="G106" s="106"/>
      <c r="H106" s="106"/>
      <c r="I106" s="106"/>
      <c r="J106" s="106"/>
      <c r="K106" s="106"/>
      <c r="L106" s="106"/>
    </row>
    <row r="107" spans="1:12" ht="34.9" customHeight="1">
      <c r="A107" s="106"/>
      <c r="B107" s="106"/>
      <c r="C107" s="106"/>
      <c r="D107" s="142"/>
      <c r="E107" s="142"/>
      <c r="F107" s="106"/>
      <c r="G107" s="106"/>
      <c r="H107" s="106"/>
      <c r="I107" s="106"/>
      <c r="J107" s="106"/>
      <c r="K107" s="106"/>
      <c r="L107" s="106"/>
    </row>
    <row r="108" spans="1:12" ht="46.35" customHeight="1">
      <c r="A108" s="106"/>
      <c r="B108" s="106"/>
      <c r="C108" s="106"/>
      <c r="D108" s="142"/>
      <c r="E108" s="142"/>
      <c r="F108" s="106"/>
      <c r="G108" s="106"/>
      <c r="H108" s="106"/>
      <c r="I108" s="106"/>
      <c r="J108" s="106"/>
      <c r="K108" s="106"/>
      <c r="L108" s="106"/>
    </row>
    <row r="109" spans="1:12" ht="46.35" customHeight="1">
      <c r="A109" s="106"/>
      <c r="B109" s="106"/>
      <c r="C109" s="106"/>
      <c r="D109" s="142"/>
      <c r="E109" s="142"/>
      <c r="F109" s="106"/>
      <c r="G109" s="106"/>
      <c r="H109" s="106"/>
      <c r="I109" s="106"/>
      <c r="J109" s="106"/>
      <c r="K109" s="106"/>
      <c r="L109" s="106"/>
    </row>
    <row r="110" spans="1:12" ht="34.9" customHeight="1">
      <c r="A110" s="106"/>
      <c r="B110" s="106"/>
      <c r="C110" s="106"/>
      <c r="D110" s="142"/>
      <c r="E110" s="142"/>
      <c r="F110" s="106"/>
      <c r="G110" s="106"/>
      <c r="H110" s="106"/>
      <c r="I110" s="106"/>
      <c r="J110" s="106"/>
      <c r="K110" s="106"/>
      <c r="L110" s="106"/>
    </row>
    <row r="111" spans="1:12" ht="40.700000000000003" customHeight="1">
      <c r="A111" s="106"/>
      <c r="B111" s="106"/>
      <c r="C111" s="106"/>
      <c r="D111" s="142"/>
      <c r="E111" s="142"/>
      <c r="F111" s="106"/>
      <c r="G111" s="106"/>
      <c r="H111" s="106"/>
      <c r="I111" s="106"/>
      <c r="J111" s="106"/>
      <c r="K111" s="106"/>
      <c r="L111" s="106"/>
    </row>
    <row r="112" spans="1:12" ht="40.700000000000003" customHeight="1">
      <c r="A112" s="106"/>
      <c r="B112" s="106"/>
      <c r="C112" s="106"/>
      <c r="D112" s="142"/>
      <c r="E112" s="142"/>
      <c r="F112" s="106"/>
      <c r="G112" s="106"/>
      <c r="H112" s="106"/>
      <c r="I112" s="106"/>
      <c r="J112" s="106"/>
      <c r="K112" s="106"/>
      <c r="L112" s="106"/>
    </row>
    <row r="113" spans="1:12" ht="46.35" customHeight="1">
      <c r="A113" s="106"/>
      <c r="B113" s="106"/>
      <c r="C113" s="106"/>
      <c r="D113" s="142"/>
      <c r="E113" s="142"/>
      <c r="F113" s="106"/>
      <c r="G113" s="106"/>
      <c r="H113" s="106"/>
      <c r="I113" s="106"/>
      <c r="J113" s="106"/>
      <c r="K113" s="106"/>
      <c r="L113" s="106"/>
    </row>
    <row r="114" spans="1:12" ht="34.9" customHeight="1">
      <c r="A114" s="106"/>
      <c r="B114" s="106"/>
      <c r="C114" s="106"/>
      <c r="D114" s="142"/>
      <c r="E114" s="142"/>
      <c r="F114" s="106"/>
      <c r="G114" s="106"/>
      <c r="H114" s="106"/>
      <c r="I114" s="106"/>
      <c r="J114" s="106"/>
      <c r="K114" s="106"/>
      <c r="L114" s="106"/>
    </row>
    <row r="115" spans="1:12" ht="34.9" customHeight="1">
      <c r="A115" s="106"/>
      <c r="B115" s="106"/>
      <c r="C115" s="106"/>
      <c r="D115" s="142"/>
      <c r="E115" s="142"/>
      <c r="F115" s="106"/>
      <c r="G115" s="106"/>
      <c r="H115" s="106"/>
      <c r="I115" s="106"/>
      <c r="J115" s="106"/>
      <c r="K115" s="106"/>
      <c r="L115" s="106"/>
    </row>
    <row r="116" spans="1:12" ht="34.9" customHeight="1">
      <c r="A116" s="106"/>
      <c r="B116" s="106"/>
      <c r="C116" s="106"/>
      <c r="D116" s="142"/>
      <c r="E116" s="142"/>
      <c r="F116" s="106"/>
      <c r="G116" s="106"/>
      <c r="H116" s="106"/>
      <c r="I116" s="106"/>
      <c r="J116" s="106"/>
      <c r="K116" s="106"/>
      <c r="L116" s="106"/>
    </row>
    <row r="117" spans="1:12" ht="40.700000000000003" customHeight="1">
      <c r="A117" s="106"/>
      <c r="B117" s="106"/>
      <c r="C117" s="106"/>
      <c r="D117" s="142"/>
      <c r="E117" s="142"/>
      <c r="F117" s="106"/>
      <c r="G117" s="106"/>
      <c r="H117" s="106"/>
      <c r="I117" s="106"/>
      <c r="J117" s="106"/>
      <c r="K117" s="106"/>
      <c r="L117" s="106"/>
    </row>
    <row r="118" spans="1:12" ht="40.700000000000003" customHeight="1">
      <c r="A118" s="106"/>
      <c r="B118" s="106"/>
      <c r="C118" s="106"/>
      <c r="D118" s="142"/>
      <c r="E118" s="142"/>
      <c r="F118" s="106"/>
      <c r="G118" s="106"/>
      <c r="H118" s="106"/>
      <c r="I118" s="106"/>
      <c r="J118" s="106"/>
      <c r="K118" s="106"/>
      <c r="L118" s="106"/>
    </row>
    <row r="119" spans="1:12" ht="40.700000000000003" customHeight="1">
      <c r="A119" s="106"/>
      <c r="B119" s="106"/>
      <c r="C119" s="106"/>
      <c r="D119" s="142"/>
      <c r="E119" s="142"/>
      <c r="F119" s="106"/>
      <c r="G119" s="106"/>
      <c r="H119" s="106"/>
      <c r="I119" s="106"/>
      <c r="J119" s="106"/>
      <c r="K119" s="106"/>
      <c r="L119" s="106"/>
    </row>
    <row r="120" spans="1:12" ht="40.700000000000003" customHeight="1">
      <c r="A120" s="106"/>
      <c r="B120" s="106"/>
      <c r="C120" s="106"/>
      <c r="D120" s="142"/>
      <c r="E120" s="142"/>
      <c r="F120" s="106"/>
      <c r="G120" s="106"/>
      <c r="H120" s="106"/>
      <c r="I120" s="106"/>
      <c r="J120" s="106"/>
      <c r="K120" s="106"/>
      <c r="L120" s="106"/>
    </row>
    <row r="121" spans="1:12" ht="34.9" customHeight="1">
      <c r="A121" s="106"/>
      <c r="B121" s="106"/>
      <c r="C121" s="106"/>
      <c r="D121" s="142"/>
      <c r="E121" s="142"/>
      <c r="F121" s="106"/>
      <c r="G121" s="106"/>
      <c r="H121" s="106"/>
      <c r="I121" s="106"/>
      <c r="J121" s="106"/>
      <c r="K121" s="106"/>
      <c r="L121" s="106"/>
    </row>
    <row r="122" spans="1:12" ht="22.9" customHeight="1">
      <c r="A122" s="106"/>
      <c r="B122" s="106"/>
      <c r="C122" s="106"/>
      <c r="D122" s="142"/>
      <c r="E122" s="142"/>
      <c r="F122" s="106"/>
      <c r="G122" s="106"/>
      <c r="H122" s="106"/>
      <c r="I122" s="106"/>
      <c r="J122" s="106"/>
      <c r="K122" s="106"/>
      <c r="L122" s="106"/>
    </row>
    <row r="123" spans="1:12" ht="34.9" customHeight="1">
      <c r="A123" s="106"/>
      <c r="B123" s="106"/>
      <c r="C123" s="106"/>
      <c r="D123" s="142"/>
      <c r="E123" s="142"/>
      <c r="F123" s="106"/>
      <c r="G123" s="106"/>
      <c r="H123" s="106"/>
      <c r="I123" s="106"/>
      <c r="J123" s="106"/>
      <c r="K123" s="106"/>
      <c r="L123" s="106"/>
    </row>
    <row r="124" spans="1:12" ht="40.700000000000003" customHeight="1">
      <c r="A124" s="106"/>
      <c r="B124" s="106"/>
      <c r="C124" s="106"/>
      <c r="D124" s="142"/>
      <c r="E124" s="142"/>
      <c r="F124" s="106"/>
      <c r="G124" s="106"/>
      <c r="H124" s="106"/>
      <c r="I124" s="106"/>
      <c r="J124" s="106"/>
      <c r="K124" s="106"/>
      <c r="L124" s="106"/>
    </row>
    <row r="125" spans="1:12" ht="40.700000000000003" customHeight="1">
      <c r="A125" s="106"/>
      <c r="B125" s="106"/>
      <c r="C125" s="106"/>
      <c r="D125" s="142"/>
      <c r="E125" s="142"/>
      <c r="F125" s="106"/>
      <c r="G125" s="106"/>
      <c r="H125" s="106"/>
      <c r="I125" s="106"/>
      <c r="J125" s="106"/>
      <c r="K125" s="106"/>
      <c r="L125" s="106"/>
    </row>
    <row r="126" spans="1:12" ht="58.35" customHeight="1">
      <c r="A126" s="106"/>
      <c r="B126" s="106"/>
      <c r="C126" s="106"/>
      <c r="D126" s="142"/>
      <c r="E126" s="142"/>
      <c r="F126" s="106"/>
      <c r="G126" s="106"/>
      <c r="H126" s="106"/>
      <c r="I126" s="106"/>
      <c r="J126" s="106"/>
      <c r="K126" s="106"/>
      <c r="L126" s="106"/>
    </row>
    <row r="127" spans="1:12" ht="46.35" customHeight="1">
      <c r="A127" s="106"/>
      <c r="B127" s="106"/>
      <c r="C127" s="106"/>
      <c r="D127" s="142"/>
      <c r="E127" s="142"/>
      <c r="F127" s="106"/>
      <c r="G127" s="106"/>
      <c r="H127" s="106"/>
      <c r="I127" s="106"/>
      <c r="J127" s="106"/>
      <c r="K127" s="106"/>
      <c r="L127" s="106"/>
    </row>
    <row r="128" spans="1:12" ht="40.700000000000003" customHeight="1">
      <c r="A128" s="106"/>
      <c r="B128" s="106"/>
      <c r="C128" s="106"/>
      <c r="D128" s="142"/>
      <c r="E128" s="142"/>
      <c r="F128" s="106"/>
      <c r="G128" s="106"/>
      <c r="H128" s="106"/>
      <c r="I128" s="106"/>
      <c r="J128" s="106"/>
      <c r="K128" s="106"/>
      <c r="L128" s="106"/>
    </row>
    <row r="129" spans="1:12" ht="46.35" customHeight="1">
      <c r="A129" s="106"/>
      <c r="B129" s="106"/>
      <c r="C129" s="106"/>
      <c r="D129" s="142"/>
      <c r="E129" s="142"/>
      <c r="F129" s="106"/>
      <c r="G129" s="106"/>
      <c r="H129" s="106"/>
      <c r="I129" s="106"/>
      <c r="J129" s="106"/>
      <c r="K129" s="106"/>
      <c r="L129" s="106"/>
    </row>
    <row r="130" spans="1:12" ht="34.9" customHeight="1">
      <c r="A130" s="106"/>
      <c r="B130" s="106"/>
      <c r="C130" s="106"/>
      <c r="D130" s="142"/>
      <c r="E130" s="142"/>
      <c r="F130" s="106"/>
      <c r="G130" s="106"/>
      <c r="H130" s="106"/>
      <c r="I130" s="106"/>
      <c r="J130" s="106"/>
      <c r="K130" s="106"/>
      <c r="L130" s="106"/>
    </row>
    <row r="131" spans="1:12" ht="46.35" customHeight="1">
      <c r="A131" s="106"/>
      <c r="B131" s="106"/>
      <c r="C131" s="106"/>
      <c r="D131" s="142"/>
      <c r="E131" s="142"/>
      <c r="F131" s="106"/>
      <c r="G131" s="106"/>
      <c r="H131" s="106"/>
      <c r="I131" s="106"/>
      <c r="J131" s="106"/>
      <c r="K131" s="106"/>
      <c r="L131" s="106"/>
    </row>
    <row r="132" spans="1:12" ht="40.700000000000003" customHeight="1">
      <c r="A132" s="106"/>
      <c r="B132" s="106"/>
      <c r="C132" s="106"/>
      <c r="D132" s="142"/>
      <c r="E132" s="142"/>
      <c r="F132" s="106"/>
      <c r="G132" s="106"/>
      <c r="H132" s="106"/>
      <c r="I132" s="106"/>
      <c r="J132" s="106"/>
      <c r="K132" s="106"/>
      <c r="L132" s="106"/>
    </row>
    <row r="133" spans="1:12" ht="40.700000000000003" customHeight="1">
      <c r="A133" s="106"/>
      <c r="B133" s="106"/>
      <c r="C133" s="106"/>
      <c r="D133" s="142"/>
      <c r="E133" s="142"/>
      <c r="F133" s="106"/>
      <c r="G133" s="106"/>
      <c r="H133" s="106"/>
      <c r="I133" s="106"/>
      <c r="J133" s="106"/>
      <c r="K133" s="106"/>
      <c r="L133" s="106"/>
    </row>
    <row r="134" spans="1:12" ht="58.35" customHeight="1">
      <c r="A134" s="106"/>
      <c r="B134" s="106"/>
      <c r="C134" s="106"/>
      <c r="D134" s="142"/>
      <c r="E134" s="142"/>
      <c r="F134" s="106"/>
      <c r="G134" s="106"/>
      <c r="H134" s="106"/>
      <c r="I134" s="106"/>
      <c r="J134" s="106"/>
      <c r="K134" s="106"/>
      <c r="L134" s="106"/>
    </row>
    <row r="135" spans="1:12" ht="46.35" customHeight="1">
      <c r="A135" s="106"/>
      <c r="B135" s="106"/>
      <c r="C135" s="106"/>
      <c r="D135" s="142"/>
      <c r="E135" s="142"/>
      <c r="F135" s="106"/>
      <c r="G135" s="106"/>
      <c r="H135" s="106"/>
      <c r="I135" s="106"/>
      <c r="J135" s="106"/>
      <c r="K135" s="106"/>
      <c r="L135" s="106"/>
    </row>
    <row r="136" spans="1:12" ht="40.700000000000003" customHeight="1">
      <c r="A136" s="106"/>
      <c r="B136" s="106"/>
      <c r="C136" s="106"/>
      <c r="D136" s="142"/>
      <c r="E136" s="142"/>
      <c r="F136" s="106"/>
      <c r="G136" s="106"/>
      <c r="H136" s="106"/>
      <c r="I136" s="106"/>
      <c r="J136" s="106"/>
      <c r="K136" s="106"/>
      <c r="L136" s="106"/>
    </row>
    <row r="137" spans="1:12" ht="46.35" customHeight="1">
      <c r="A137" s="106"/>
      <c r="B137" s="106"/>
      <c r="C137" s="106"/>
      <c r="D137" s="142"/>
      <c r="E137" s="142"/>
      <c r="F137" s="106"/>
      <c r="G137" s="106"/>
      <c r="H137" s="106"/>
      <c r="I137" s="106"/>
      <c r="J137" s="106"/>
      <c r="K137" s="106"/>
      <c r="L137" s="106"/>
    </row>
    <row r="138" spans="1:12" ht="29.1" customHeight="1">
      <c r="A138" s="106"/>
      <c r="B138" s="106"/>
      <c r="C138" s="106"/>
      <c r="D138" s="142"/>
      <c r="E138" s="142"/>
      <c r="F138" s="106"/>
      <c r="G138" s="106"/>
      <c r="H138" s="106"/>
      <c r="I138" s="106"/>
      <c r="J138" s="106"/>
      <c r="K138" s="106"/>
      <c r="L138" s="106"/>
    </row>
    <row r="139" spans="1:12" ht="46.35" customHeight="1">
      <c r="A139" s="106"/>
      <c r="B139" s="106"/>
      <c r="C139" s="106"/>
      <c r="D139" s="142"/>
      <c r="E139" s="142"/>
      <c r="F139" s="106"/>
      <c r="G139" s="106"/>
      <c r="H139" s="106"/>
      <c r="I139" s="106"/>
      <c r="J139" s="106"/>
      <c r="K139" s="106"/>
      <c r="L139" s="106"/>
    </row>
    <row r="140" spans="1:12" ht="40.700000000000003" customHeight="1">
      <c r="A140" s="106"/>
      <c r="B140" s="106"/>
      <c r="C140" s="106"/>
      <c r="D140" s="142"/>
      <c r="E140" s="142"/>
      <c r="F140" s="106"/>
      <c r="G140" s="106"/>
      <c r="H140" s="106"/>
      <c r="I140" s="106"/>
      <c r="J140" s="106"/>
      <c r="K140" s="106"/>
      <c r="L140" s="106"/>
    </row>
    <row r="141" spans="1:12" ht="40.700000000000003" customHeight="1">
      <c r="A141" s="106"/>
      <c r="B141" s="106"/>
      <c r="C141" s="106"/>
      <c r="D141" s="142"/>
      <c r="E141" s="142"/>
      <c r="F141" s="106"/>
      <c r="G141" s="106"/>
      <c r="H141" s="106"/>
      <c r="I141" s="106"/>
      <c r="J141" s="106"/>
      <c r="K141" s="106"/>
      <c r="L141" s="106"/>
    </row>
    <row r="142" spans="1:12" ht="58.35" customHeight="1">
      <c r="A142" s="106"/>
      <c r="B142" s="106"/>
      <c r="C142" s="106"/>
      <c r="D142" s="142"/>
      <c r="E142" s="142"/>
      <c r="F142" s="106"/>
      <c r="G142" s="106"/>
      <c r="H142" s="106"/>
      <c r="I142" s="106"/>
      <c r="J142" s="106"/>
      <c r="K142" s="106"/>
      <c r="L142" s="106"/>
    </row>
    <row r="143" spans="1:12" ht="46.35" customHeight="1">
      <c r="A143" s="106"/>
      <c r="B143" s="106"/>
      <c r="C143" s="106"/>
      <c r="D143" s="142"/>
      <c r="E143" s="142"/>
      <c r="F143" s="106"/>
      <c r="G143" s="106"/>
      <c r="H143" s="106"/>
      <c r="I143" s="106"/>
      <c r="J143" s="106"/>
      <c r="K143" s="106"/>
      <c r="L143" s="106"/>
    </row>
    <row r="144" spans="1:12" ht="40.700000000000003" customHeight="1">
      <c r="A144" s="106"/>
      <c r="B144" s="106"/>
      <c r="C144" s="106"/>
      <c r="D144" s="142"/>
      <c r="E144" s="142"/>
      <c r="F144" s="106"/>
      <c r="G144" s="106"/>
      <c r="H144" s="106"/>
      <c r="I144" s="106"/>
      <c r="J144" s="106"/>
      <c r="K144" s="106"/>
      <c r="L144" s="106"/>
    </row>
    <row r="145" spans="1:12" ht="46.35" customHeight="1">
      <c r="A145" s="106"/>
      <c r="B145" s="106"/>
      <c r="C145" s="106"/>
      <c r="D145" s="142"/>
      <c r="E145" s="142"/>
      <c r="F145" s="106"/>
      <c r="G145" s="106"/>
      <c r="H145" s="106"/>
      <c r="I145" s="106"/>
      <c r="J145" s="106"/>
      <c r="K145" s="106"/>
      <c r="L145" s="106"/>
    </row>
    <row r="146" spans="1:12" ht="29.1" customHeight="1">
      <c r="A146" s="106"/>
      <c r="B146" s="106"/>
      <c r="C146" s="106"/>
      <c r="D146" s="142"/>
      <c r="E146" s="142"/>
      <c r="F146" s="106"/>
      <c r="G146" s="106"/>
      <c r="H146" s="106"/>
      <c r="I146" s="106"/>
      <c r="J146" s="106"/>
      <c r="K146" s="106"/>
      <c r="L146" s="106"/>
    </row>
    <row r="147" spans="1:12" ht="40.700000000000003" customHeight="1">
      <c r="A147" s="106"/>
      <c r="B147" s="106"/>
      <c r="C147" s="106"/>
      <c r="D147" s="142"/>
      <c r="E147" s="142"/>
      <c r="F147" s="106"/>
      <c r="G147" s="106"/>
      <c r="H147" s="106"/>
      <c r="I147" s="106"/>
      <c r="J147" s="106"/>
      <c r="K147" s="106"/>
      <c r="L147" s="106"/>
    </row>
    <row r="148" spans="1:12" ht="52.15" customHeight="1">
      <c r="A148" s="106"/>
      <c r="B148" s="106"/>
      <c r="C148" s="106"/>
      <c r="D148" s="142"/>
      <c r="E148" s="142"/>
      <c r="F148" s="106"/>
      <c r="G148" s="106"/>
      <c r="H148" s="106"/>
      <c r="I148" s="106"/>
      <c r="J148" s="106"/>
      <c r="K148" s="106"/>
      <c r="L148" s="106"/>
    </row>
    <row r="149" spans="1:12" ht="40.700000000000003" customHeight="1">
      <c r="A149" s="106"/>
      <c r="B149" s="106"/>
      <c r="C149" s="106"/>
      <c r="D149" s="142"/>
      <c r="E149" s="142"/>
      <c r="F149" s="106"/>
      <c r="G149" s="106"/>
      <c r="H149" s="106"/>
      <c r="I149" s="106"/>
      <c r="J149" s="106"/>
      <c r="K149" s="106"/>
      <c r="L149" s="106"/>
    </row>
    <row r="150" spans="1:12" ht="58.35" customHeight="1">
      <c r="A150" s="106"/>
      <c r="B150" s="106"/>
      <c r="C150" s="106"/>
      <c r="D150" s="142"/>
      <c r="E150" s="142"/>
      <c r="F150" s="106"/>
      <c r="G150" s="106"/>
      <c r="H150" s="106"/>
      <c r="I150" s="106"/>
      <c r="J150" s="106"/>
      <c r="K150" s="106"/>
      <c r="L150" s="106"/>
    </row>
    <row r="151" spans="1:12" ht="46.35" customHeight="1">
      <c r="A151" s="106"/>
      <c r="B151" s="106"/>
      <c r="C151" s="106"/>
      <c r="D151" s="142"/>
      <c r="E151" s="142"/>
      <c r="F151" s="106"/>
      <c r="G151" s="106"/>
      <c r="H151" s="106"/>
      <c r="I151" s="106"/>
      <c r="J151" s="106"/>
      <c r="K151" s="106"/>
      <c r="L151" s="106"/>
    </row>
    <row r="152" spans="1:12" ht="40.700000000000003" customHeight="1">
      <c r="A152" s="106"/>
      <c r="B152" s="106"/>
      <c r="C152" s="106"/>
      <c r="D152" s="142"/>
      <c r="E152" s="142"/>
      <c r="F152" s="106"/>
      <c r="G152" s="106"/>
      <c r="H152" s="106"/>
      <c r="I152" s="106"/>
      <c r="J152" s="106"/>
      <c r="K152" s="106"/>
      <c r="L152" s="106"/>
    </row>
    <row r="153" spans="1:12" ht="46.35" customHeight="1">
      <c r="A153" s="106"/>
      <c r="B153" s="106"/>
      <c r="C153" s="106"/>
      <c r="D153" s="142"/>
      <c r="E153" s="142"/>
      <c r="F153" s="106"/>
      <c r="G153" s="106"/>
      <c r="H153" s="106"/>
      <c r="I153" s="106"/>
      <c r="J153" s="106"/>
      <c r="K153" s="106"/>
      <c r="L153" s="106"/>
    </row>
    <row r="154" spans="1:12" ht="29.1" customHeight="1">
      <c r="A154" s="106"/>
      <c r="B154" s="106"/>
      <c r="C154" s="106"/>
      <c r="D154" s="142"/>
      <c r="E154" s="142"/>
      <c r="F154" s="106"/>
      <c r="G154" s="106"/>
      <c r="H154" s="106"/>
      <c r="I154" s="106"/>
      <c r="J154" s="106"/>
      <c r="K154" s="106"/>
      <c r="L154" s="106"/>
    </row>
    <row r="155" spans="1:12" ht="34.9" customHeight="1">
      <c r="A155" s="106"/>
      <c r="B155" s="106"/>
      <c r="C155" s="106"/>
      <c r="D155" s="142"/>
      <c r="E155" s="142"/>
      <c r="F155" s="106"/>
      <c r="G155" s="106"/>
      <c r="H155" s="106"/>
      <c r="I155" s="106"/>
      <c r="J155" s="106"/>
      <c r="K155" s="106"/>
      <c r="L155" s="106"/>
    </row>
    <row r="156" spans="1:12" ht="40.700000000000003" customHeight="1">
      <c r="A156" s="106"/>
      <c r="B156" s="106"/>
      <c r="C156" s="106"/>
      <c r="D156" s="142"/>
      <c r="E156" s="142"/>
      <c r="F156" s="106"/>
      <c r="G156" s="106"/>
      <c r="H156" s="106"/>
      <c r="I156" s="106"/>
      <c r="J156" s="106"/>
      <c r="K156" s="106"/>
      <c r="L156" s="106"/>
    </row>
    <row r="157" spans="1:12" ht="40.700000000000003" customHeight="1">
      <c r="A157" s="106"/>
      <c r="B157" s="106"/>
      <c r="C157" s="106"/>
      <c r="D157" s="142"/>
      <c r="E157" s="142"/>
      <c r="F157" s="106"/>
      <c r="G157" s="106"/>
      <c r="H157" s="106"/>
      <c r="I157" s="106"/>
      <c r="J157" s="106"/>
      <c r="K157" s="106"/>
      <c r="L157" s="106"/>
    </row>
    <row r="158" spans="1:12" ht="52.15" customHeight="1">
      <c r="A158" s="106"/>
      <c r="B158" s="106"/>
      <c r="C158" s="106"/>
      <c r="D158" s="142"/>
      <c r="E158" s="142"/>
      <c r="F158" s="106"/>
      <c r="G158" s="106"/>
      <c r="H158" s="106"/>
      <c r="I158" s="106"/>
      <c r="J158" s="106"/>
      <c r="K158" s="106"/>
      <c r="L158" s="106"/>
    </row>
    <row r="159" spans="1:12" ht="46.35" customHeight="1">
      <c r="A159" s="106"/>
      <c r="B159" s="106"/>
      <c r="C159" s="106"/>
      <c r="D159" s="142"/>
      <c r="E159" s="142"/>
      <c r="F159" s="106"/>
      <c r="G159" s="106"/>
      <c r="H159" s="106"/>
      <c r="I159" s="106"/>
      <c r="J159" s="106"/>
      <c r="K159" s="106"/>
      <c r="L159" s="106"/>
    </row>
    <row r="160" spans="1:12" ht="40.700000000000003" customHeight="1">
      <c r="A160" s="106"/>
      <c r="B160" s="106"/>
      <c r="C160" s="106"/>
      <c r="D160" s="142"/>
      <c r="E160" s="142"/>
      <c r="F160" s="106"/>
      <c r="G160" s="106"/>
      <c r="H160" s="106"/>
      <c r="I160" s="106"/>
      <c r="J160" s="106"/>
      <c r="K160" s="106"/>
      <c r="L160" s="106"/>
    </row>
    <row r="161" spans="1:12" ht="46.35" customHeight="1">
      <c r="A161" s="106"/>
      <c r="B161" s="106"/>
      <c r="C161" s="106"/>
      <c r="D161" s="142"/>
      <c r="E161" s="142"/>
      <c r="F161" s="106"/>
      <c r="G161" s="106"/>
      <c r="H161" s="106"/>
      <c r="I161" s="106"/>
      <c r="J161" s="106"/>
      <c r="K161" s="106"/>
      <c r="L161" s="106"/>
    </row>
    <row r="162" spans="1:12" ht="29.1" customHeight="1">
      <c r="A162" s="106"/>
      <c r="B162" s="106"/>
      <c r="C162" s="106"/>
      <c r="D162" s="142"/>
      <c r="E162" s="142"/>
      <c r="F162" s="106"/>
      <c r="G162" s="106"/>
      <c r="H162" s="106"/>
      <c r="I162" s="106"/>
      <c r="J162" s="106"/>
      <c r="K162" s="106"/>
      <c r="L162" s="106"/>
    </row>
    <row r="163" spans="1:12" ht="34.9" customHeight="1">
      <c r="A163" s="106"/>
      <c r="B163" s="106"/>
      <c r="C163" s="106"/>
      <c r="D163" s="142"/>
      <c r="E163" s="142"/>
      <c r="F163" s="106"/>
      <c r="G163" s="106"/>
      <c r="H163" s="106"/>
      <c r="I163" s="106"/>
      <c r="J163" s="106"/>
      <c r="K163" s="106"/>
      <c r="L163" s="106"/>
    </row>
    <row r="164" spans="1:12" ht="40.700000000000003" customHeight="1">
      <c r="A164" s="106"/>
      <c r="B164" s="106"/>
      <c r="C164" s="106"/>
      <c r="D164" s="142"/>
      <c r="E164" s="142"/>
      <c r="F164" s="106"/>
      <c r="G164" s="106"/>
      <c r="H164" s="106"/>
      <c r="I164" s="106"/>
      <c r="J164" s="106"/>
      <c r="K164" s="106"/>
      <c r="L164" s="106"/>
    </row>
    <row r="165" spans="1:12" ht="40.700000000000003" customHeight="1">
      <c r="A165" s="106"/>
      <c r="B165" s="106"/>
      <c r="C165" s="106"/>
      <c r="D165" s="142"/>
      <c r="E165" s="142"/>
      <c r="F165" s="106"/>
      <c r="G165" s="106"/>
      <c r="H165" s="106"/>
      <c r="I165" s="106"/>
      <c r="J165" s="106"/>
      <c r="K165" s="106"/>
      <c r="L165" s="106"/>
    </row>
    <row r="166" spans="1:12" ht="40.700000000000003" customHeight="1">
      <c r="A166" s="106"/>
      <c r="B166" s="106"/>
      <c r="C166" s="106"/>
      <c r="D166" s="142"/>
      <c r="E166" s="142"/>
      <c r="F166" s="106"/>
      <c r="G166" s="106"/>
      <c r="H166" s="106"/>
      <c r="I166" s="106"/>
      <c r="J166" s="106"/>
      <c r="K166" s="106"/>
      <c r="L166" s="106"/>
    </row>
    <row r="167" spans="1:12" ht="52.15" customHeight="1">
      <c r="A167" s="106"/>
      <c r="B167" s="106"/>
      <c r="C167" s="106"/>
      <c r="D167" s="142"/>
      <c r="E167" s="142"/>
      <c r="F167" s="106"/>
      <c r="G167" s="106"/>
      <c r="H167" s="106"/>
      <c r="I167" s="106"/>
      <c r="J167" s="106"/>
      <c r="K167" s="106"/>
      <c r="L167" s="106"/>
    </row>
    <row r="168" spans="1:12" ht="40.700000000000003" customHeight="1">
      <c r="A168" s="106"/>
      <c r="B168" s="106"/>
      <c r="C168" s="106"/>
      <c r="D168" s="142"/>
      <c r="E168" s="142"/>
      <c r="F168" s="106"/>
      <c r="G168" s="106"/>
      <c r="H168" s="106"/>
      <c r="I168" s="106"/>
      <c r="J168" s="106"/>
      <c r="K168" s="106"/>
      <c r="L168" s="106"/>
    </row>
    <row r="169" spans="1:12" ht="46.35" customHeight="1">
      <c r="A169" s="106"/>
      <c r="B169" s="106"/>
      <c r="C169" s="106"/>
      <c r="D169" s="142"/>
      <c r="E169" s="142"/>
      <c r="F169" s="106"/>
      <c r="G169" s="106"/>
      <c r="H169" s="106"/>
      <c r="I169" s="106"/>
      <c r="J169" s="106"/>
      <c r="K169" s="106"/>
      <c r="L169" s="106"/>
    </row>
    <row r="170" spans="1:12" ht="29.1" customHeight="1">
      <c r="A170" s="106"/>
      <c r="B170" s="106"/>
      <c r="C170" s="106"/>
      <c r="D170" s="142"/>
      <c r="E170" s="142"/>
      <c r="F170" s="106"/>
      <c r="G170" s="106"/>
      <c r="H170" s="106"/>
      <c r="I170" s="106"/>
      <c r="J170" s="106"/>
      <c r="K170" s="106"/>
      <c r="L170" s="106"/>
    </row>
    <row r="171" spans="1:12" ht="40.700000000000003" customHeight="1">
      <c r="A171" s="106"/>
      <c r="B171" s="106"/>
      <c r="C171" s="106"/>
      <c r="D171" s="142"/>
      <c r="E171" s="142"/>
      <c r="F171" s="106"/>
      <c r="G171" s="106"/>
      <c r="H171" s="106"/>
      <c r="I171" s="106"/>
      <c r="J171" s="106"/>
      <c r="K171" s="106"/>
      <c r="L171" s="106"/>
    </row>
    <row r="172" spans="1:12" ht="29.1" customHeight="1">
      <c r="A172" s="106"/>
      <c r="B172" s="106"/>
      <c r="C172" s="106"/>
      <c r="D172" s="142"/>
      <c r="E172" s="142"/>
      <c r="F172" s="106"/>
      <c r="G172" s="106"/>
      <c r="H172" s="106"/>
      <c r="I172" s="106"/>
      <c r="J172" s="106"/>
      <c r="K172" s="106"/>
      <c r="L172" s="106"/>
    </row>
    <row r="173" spans="1:12" ht="40.700000000000003" customHeight="1">
      <c r="A173" s="106"/>
      <c r="B173" s="106"/>
      <c r="C173" s="106"/>
      <c r="D173" s="142"/>
      <c r="E173" s="142"/>
      <c r="F173" s="106"/>
      <c r="G173" s="106"/>
      <c r="H173" s="106"/>
      <c r="I173" s="106"/>
      <c r="J173" s="106"/>
      <c r="K173" s="106"/>
      <c r="L173" s="106"/>
    </row>
    <row r="174" spans="1:12" ht="29.1" customHeight="1">
      <c r="A174" s="106"/>
      <c r="B174" s="106"/>
      <c r="C174" s="106"/>
      <c r="D174" s="142"/>
      <c r="E174" s="142"/>
      <c r="F174" s="106"/>
      <c r="G174" s="106"/>
      <c r="H174" s="106"/>
      <c r="I174" s="106"/>
      <c r="J174" s="106"/>
      <c r="K174" s="106"/>
      <c r="L174" s="106"/>
    </row>
    <row r="175" spans="1:12" ht="46.35" customHeight="1">
      <c r="A175" s="106"/>
      <c r="B175" s="106"/>
      <c r="C175" s="106"/>
      <c r="D175" s="142"/>
      <c r="E175" s="142"/>
      <c r="F175" s="106"/>
      <c r="G175" s="106"/>
      <c r="H175" s="106"/>
      <c r="I175" s="106"/>
      <c r="J175" s="106"/>
      <c r="K175" s="106"/>
      <c r="L175" s="106"/>
    </row>
    <row r="176" spans="1:12" ht="46.35" customHeight="1">
      <c r="A176" s="106"/>
      <c r="B176" s="106"/>
      <c r="C176" s="106"/>
      <c r="D176" s="142"/>
      <c r="E176" s="142"/>
      <c r="F176" s="106"/>
      <c r="G176" s="106"/>
      <c r="H176" s="106"/>
      <c r="I176" s="106"/>
      <c r="J176" s="106"/>
      <c r="K176" s="106"/>
      <c r="L176" s="106"/>
    </row>
    <row r="177" spans="1:12" ht="46.35" customHeight="1">
      <c r="A177" s="106"/>
      <c r="B177" s="106"/>
      <c r="C177" s="106"/>
      <c r="D177" s="142"/>
      <c r="E177" s="142"/>
      <c r="F177" s="106"/>
      <c r="G177" s="106"/>
      <c r="H177" s="106"/>
      <c r="I177" s="106"/>
      <c r="J177" s="106"/>
      <c r="K177" s="106"/>
      <c r="L177" s="106"/>
    </row>
    <row r="178" spans="1:12" ht="29.1" customHeight="1">
      <c r="A178" s="106"/>
      <c r="B178" s="106"/>
      <c r="C178" s="106"/>
      <c r="D178" s="142"/>
      <c r="E178" s="142"/>
      <c r="F178" s="106"/>
      <c r="G178" s="106"/>
      <c r="H178" s="106"/>
      <c r="I178" s="106"/>
      <c r="J178" s="106"/>
      <c r="K178" s="106"/>
      <c r="L178" s="106"/>
    </row>
    <row r="179" spans="1:12" ht="40.700000000000003" customHeight="1">
      <c r="A179" s="106"/>
      <c r="B179" s="106"/>
      <c r="C179" s="106"/>
      <c r="D179" s="142"/>
      <c r="E179" s="142"/>
      <c r="F179" s="106"/>
      <c r="G179" s="106"/>
      <c r="H179" s="106"/>
      <c r="I179" s="106"/>
      <c r="J179" s="106"/>
      <c r="K179" s="106"/>
      <c r="L179" s="106"/>
    </row>
    <row r="180" spans="1:12" ht="40.700000000000003" customHeight="1">
      <c r="A180" s="106"/>
      <c r="B180" s="106"/>
      <c r="C180" s="106"/>
      <c r="D180" s="142"/>
      <c r="E180" s="142"/>
      <c r="F180" s="106"/>
      <c r="G180" s="106"/>
      <c r="H180" s="106"/>
      <c r="I180" s="106"/>
      <c r="J180" s="106"/>
      <c r="K180" s="106"/>
      <c r="L180" s="106"/>
    </row>
    <row r="181" spans="1:12" ht="40.700000000000003" customHeight="1">
      <c r="A181" s="106"/>
      <c r="B181" s="106"/>
      <c r="C181" s="106"/>
      <c r="D181" s="142"/>
      <c r="E181" s="142"/>
      <c r="F181" s="106"/>
      <c r="G181" s="106"/>
      <c r="H181" s="106"/>
      <c r="I181" s="106"/>
      <c r="J181" s="106"/>
      <c r="K181" s="106"/>
      <c r="L181" s="106"/>
    </row>
    <row r="182" spans="1:12" ht="29.1" customHeight="1">
      <c r="A182" s="106"/>
      <c r="B182" s="106"/>
      <c r="C182" s="106"/>
      <c r="D182" s="142"/>
      <c r="E182" s="142"/>
      <c r="F182" s="106"/>
      <c r="G182" s="106"/>
      <c r="H182" s="106"/>
      <c r="I182" s="106"/>
      <c r="J182" s="106"/>
      <c r="K182" s="106"/>
      <c r="L182" s="106"/>
    </row>
    <row r="183" spans="1:12" ht="46.35" customHeight="1">
      <c r="A183" s="106"/>
      <c r="B183" s="106"/>
      <c r="C183" s="106"/>
      <c r="D183" s="142"/>
      <c r="E183" s="142"/>
      <c r="F183" s="106"/>
      <c r="G183" s="106"/>
      <c r="H183" s="106"/>
      <c r="I183" s="106"/>
      <c r="J183" s="106"/>
      <c r="K183" s="106"/>
      <c r="L183" s="106"/>
    </row>
    <row r="184" spans="1:12" ht="40.700000000000003" customHeight="1">
      <c r="A184" s="106"/>
      <c r="B184" s="106"/>
      <c r="C184" s="106"/>
      <c r="D184" s="142"/>
      <c r="E184" s="142"/>
      <c r="F184" s="106"/>
      <c r="G184" s="106"/>
      <c r="H184" s="106"/>
      <c r="I184" s="106"/>
      <c r="J184" s="106"/>
      <c r="K184" s="106"/>
      <c r="L184" s="106"/>
    </row>
    <row r="185" spans="1:12" ht="46.35" customHeight="1">
      <c r="A185" s="106"/>
      <c r="B185" s="106"/>
      <c r="C185" s="106"/>
      <c r="D185" s="142"/>
      <c r="E185" s="142"/>
      <c r="F185" s="106"/>
      <c r="G185" s="106"/>
      <c r="H185" s="106"/>
      <c r="I185" s="106"/>
      <c r="J185" s="106"/>
      <c r="K185" s="106"/>
      <c r="L185" s="106"/>
    </row>
    <row r="186" spans="1:12" ht="29.1" customHeight="1">
      <c r="A186" s="106"/>
      <c r="B186" s="106"/>
      <c r="C186" s="106"/>
      <c r="D186" s="142"/>
      <c r="E186" s="142"/>
      <c r="F186" s="106"/>
      <c r="G186" s="106"/>
      <c r="H186" s="106"/>
      <c r="I186" s="106"/>
      <c r="J186" s="106"/>
      <c r="K186" s="106"/>
      <c r="L186" s="106"/>
    </row>
    <row r="187" spans="1:12" ht="40.700000000000003" customHeight="1">
      <c r="A187" s="106"/>
      <c r="B187" s="106"/>
      <c r="C187" s="106"/>
      <c r="D187" s="142"/>
      <c r="E187" s="142"/>
      <c r="F187" s="106"/>
      <c r="G187" s="106"/>
      <c r="H187" s="106"/>
      <c r="I187" s="106"/>
      <c r="J187" s="106"/>
      <c r="K187" s="106"/>
      <c r="L187" s="106"/>
    </row>
    <row r="188" spans="1:12" ht="40.700000000000003" customHeight="1">
      <c r="A188" s="106"/>
      <c r="B188" s="106"/>
      <c r="C188" s="106"/>
      <c r="D188" s="142"/>
      <c r="E188" s="142"/>
      <c r="F188" s="106"/>
      <c r="G188" s="106"/>
      <c r="H188" s="106"/>
      <c r="I188" s="106"/>
      <c r="J188" s="106"/>
      <c r="K188" s="106"/>
      <c r="L188" s="106"/>
    </row>
    <row r="189" spans="1:12" ht="40.700000000000003" customHeight="1">
      <c r="A189" s="106"/>
      <c r="B189" s="106"/>
      <c r="C189" s="106"/>
      <c r="D189" s="142"/>
      <c r="E189" s="142"/>
      <c r="F189" s="106"/>
      <c r="G189" s="106"/>
      <c r="H189" s="106"/>
      <c r="I189" s="106"/>
      <c r="J189" s="106"/>
      <c r="K189" s="106"/>
      <c r="L189" s="106"/>
    </row>
    <row r="190" spans="1:12" ht="29.1" customHeight="1">
      <c r="A190" s="106"/>
      <c r="B190" s="106"/>
      <c r="C190" s="106"/>
      <c r="D190" s="142"/>
      <c r="E190" s="142"/>
      <c r="F190" s="106"/>
      <c r="G190" s="106"/>
      <c r="H190" s="106"/>
      <c r="I190" s="106"/>
      <c r="J190" s="106"/>
      <c r="K190" s="106"/>
      <c r="L190" s="106"/>
    </row>
    <row r="191" spans="1:12" ht="46.35" customHeight="1">
      <c r="A191" s="106"/>
      <c r="B191" s="106"/>
      <c r="C191" s="106"/>
      <c r="D191" s="142"/>
      <c r="E191" s="142"/>
      <c r="F191" s="106"/>
      <c r="G191" s="106"/>
      <c r="H191" s="106"/>
      <c r="I191" s="106"/>
      <c r="J191" s="106"/>
      <c r="K191" s="106"/>
      <c r="L191" s="106"/>
    </row>
    <row r="192" spans="1:12" ht="46.35" customHeight="1">
      <c r="A192" s="106"/>
      <c r="B192" s="106"/>
      <c r="C192" s="106"/>
      <c r="D192" s="142"/>
      <c r="E192" s="142"/>
      <c r="F192" s="106"/>
      <c r="G192" s="106"/>
      <c r="H192" s="106"/>
      <c r="I192" s="106"/>
      <c r="J192" s="106"/>
      <c r="K192" s="106"/>
      <c r="L192" s="106"/>
    </row>
    <row r="193" spans="1:12" ht="34.9" customHeight="1">
      <c r="A193" s="106"/>
      <c r="B193" s="106"/>
      <c r="C193" s="106"/>
      <c r="D193" s="142"/>
      <c r="E193" s="142"/>
      <c r="F193" s="106"/>
      <c r="G193" s="106"/>
      <c r="H193" s="106"/>
      <c r="I193" s="106"/>
      <c r="J193" s="106"/>
      <c r="K193" s="106"/>
      <c r="L193" s="106"/>
    </row>
    <row r="194" spans="1:12" ht="29.1" customHeight="1">
      <c r="A194" s="106"/>
      <c r="B194" s="106"/>
      <c r="C194" s="106"/>
      <c r="D194" s="142"/>
      <c r="E194" s="142"/>
      <c r="F194" s="106"/>
      <c r="G194" s="106"/>
      <c r="H194" s="106"/>
      <c r="I194" s="106"/>
      <c r="J194" s="106"/>
      <c r="K194" s="106"/>
      <c r="L194" s="106"/>
    </row>
    <row r="195" spans="1:12" ht="40.700000000000003" customHeight="1">
      <c r="A195" s="106"/>
      <c r="B195" s="106"/>
      <c r="C195" s="106"/>
      <c r="D195" s="142"/>
      <c r="E195" s="142"/>
      <c r="F195" s="106"/>
      <c r="G195" s="106"/>
      <c r="H195" s="106"/>
      <c r="I195" s="106"/>
      <c r="J195" s="106"/>
      <c r="K195" s="106"/>
      <c r="L195" s="106"/>
    </row>
    <row r="196" spans="1:12" ht="40.700000000000003" customHeight="1">
      <c r="A196" s="106"/>
      <c r="B196" s="106"/>
      <c r="C196" s="106"/>
      <c r="D196" s="142"/>
      <c r="E196" s="142"/>
      <c r="F196" s="106"/>
      <c r="G196" s="106"/>
      <c r="H196" s="106"/>
      <c r="I196" s="106"/>
      <c r="J196" s="106"/>
      <c r="K196" s="106"/>
      <c r="L196" s="106"/>
    </row>
    <row r="197" spans="1:12" ht="40.700000000000003" customHeight="1">
      <c r="A197" s="106"/>
      <c r="B197" s="106"/>
      <c r="C197" s="106"/>
      <c r="D197" s="142"/>
      <c r="E197" s="142"/>
      <c r="F197" s="106"/>
      <c r="G197" s="106"/>
      <c r="H197" s="106"/>
      <c r="I197" s="106"/>
      <c r="J197" s="106"/>
      <c r="K197" s="106"/>
      <c r="L197" s="106"/>
    </row>
    <row r="198" spans="1:12" ht="29.1" customHeight="1">
      <c r="A198" s="106"/>
      <c r="B198" s="106"/>
      <c r="C198" s="106"/>
      <c r="D198" s="142"/>
      <c r="E198" s="142"/>
      <c r="F198" s="106"/>
      <c r="G198" s="106"/>
      <c r="H198" s="106"/>
      <c r="I198" s="106"/>
      <c r="J198" s="106"/>
      <c r="K198" s="106"/>
      <c r="L198" s="106"/>
    </row>
    <row r="199" spans="1:12" ht="46.35" customHeight="1">
      <c r="A199" s="106"/>
      <c r="B199" s="106"/>
      <c r="C199" s="106"/>
      <c r="D199" s="142"/>
      <c r="E199" s="142"/>
      <c r="F199" s="106"/>
      <c r="G199" s="106"/>
      <c r="H199" s="106"/>
      <c r="I199" s="106"/>
      <c r="J199" s="106"/>
      <c r="K199" s="106"/>
      <c r="L199" s="106"/>
    </row>
    <row r="200" spans="1:12" ht="46.35" customHeight="1">
      <c r="A200" s="106"/>
      <c r="B200" s="106"/>
      <c r="C200" s="106"/>
      <c r="D200" s="142"/>
      <c r="E200" s="142"/>
      <c r="F200" s="106"/>
      <c r="G200" s="106"/>
      <c r="H200" s="106"/>
      <c r="I200" s="106"/>
      <c r="J200" s="106"/>
      <c r="K200" s="106"/>
      <c r="L200" s="106"/>
    </row>
    <row r="201" spans="1:12" ht="46.3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4.9"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Open</v>
      </c>
      <c r="L202" s="106" t="str">
        <f>B61_Assessment!$J$59</f>
        <v>Large multi-room scope with active demarc/server equipment.</v>
      </c>
    </row>
    <row r="203" spans="1:12" ht="46.3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Open</v>
      </c>
      <c r="L203" s="106" t="str">
        <f>B61_Assessment!$J$60</f>
        <v>Drawing index includes 61H-101 and 61H-102 hazardous material abatement plans.</v>
      </c>
    </row>
    <row r="204" spans="1:12" ht="40.700000000000003"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Open</v>
      </c>
      <c r="L204" s="106" t="str">
        <f>B61_Assessment!$J$61</f>
        <v>Existing APC/Fujitsu/rack/patch equipment shown in Room 137 inventory/rack elevations.</v>
      </c>
    </row>
    <row r="205" spans="1:12" ht="40.700000000000003"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Open</v>
      </c>
      <c r="L205" s="106" t="str">
        <f>B61_Assessment!$J$62</f>
        <v>Cooling is central to TR/server readiness.</v>
      </c>
    </row>
    <row r="206" spans="1:12" ht="40.700000000000003"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Open</v>
      </c>
      <c r="L206" s="106" t="str">
        <f>B61_Assessment!$J$63</f>
        <v>Multiple telecom panelboards and PD panels shown.</v>
      </c>
    </row>
    <row r="207" spans="1:12" ht="40.700000000000003"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Open</v>
      </c>
      <c r="L207" s="106" t="str">
        <f>B61_Assessment!$J$64</f>
        <v>Cable tray schedule: basement 890 ft, first 499 ft, second 578 ft.</v>
      </c>
    </row>
    <row r="208" spans="1:12" ht="40.700000000000003"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Open</v>
      </c>
      <c r="L208" s="106" t="str">
        <f>B61_Assessment!$J$65</f>
        <v>WAO counts and active ports are substantial across B13H-A, 124 and 226.</v>
      </c>
    </row>
    <row r="209" spans="1:12" ht="40.700000000000003"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Open</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2.9"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1"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2.9"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2.9"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2.9"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2.9"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4.9"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700000000000003"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4.9"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3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700000000000003"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700000000000003"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700000000000003"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700000000000003"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2.9"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4.9"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700000000000003"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700000000000003"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3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700000000000003"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700000000000003"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700000000000003"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1"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700000000000003"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700000000000003"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700000000000003"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4.9"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700000000000003"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3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15"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2.9"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3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4.9"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700000000000003"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1"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700000000000003"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700000000000003"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3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3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3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4.9"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3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15"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3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3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15"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700000000000003"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4.9"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700000000000003"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700000000000003"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700000000000003"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4.9"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700000000000003"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700000000000003"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35" customHeight="1">
      <c r="A267" s="19"/>
      <c r="B267" s="19"/>
      <c r="C267" s="19"/>
      <c r="D267" s="144"/>
      <c r="E267" s="144"/>
      <c r="F267" s="19"/>
      <c r="G267" s="19"/>
      <c r="H267" s="19"/>
      <c r="I267" s="19"/>
      <c r="J267" s="19"/>
      <c r="K267" s="19"/>
      <c r="L267" s="19"/>
    </row>
    <row r="268" spans="1:12" ht="7.35" customHeight="1">
      <c r="A268" s="146"/>
      <c r="B268" s="146"/>
      <c r="C268" s="146"/>
      <c r="D268" s="147"/>
      <c r="E268" s="147"/>
      <c r="F268" s="146"/>
      <c r="G268" s="146"/>
      <c r="H268" s="146"/>
      <c r="I268" s="146"/>
      <c r="J268" s="146"/>
      <c r="K268" s="146"/>
      <c r="L268" s="146"/>
    </row>
    <row r="269" spans="1:12" ht="7.35" customHeight="1">
      <c r="A269" s="106"/>
      <c r="B269" s="106" t="str">
        <f t="shared" ref="B269:B284" si="28">"B01_Assessment"</f>
        <v>B01_Assessment</v>
      </c>
      <c r="C269" s="106"/>
      <c r="D269" s="142"/>
      <c r="E269" s="142"/>
      <c r="F269" s="106"/>
      <c r="G269" s="106"/>
      <c r="H269" s="106"/>
      <c r="I269" s="106"/>
      <c r="J269" s="106"/>
      <c r="K269" s="106"/>
      <c r="L269" s="106"/>
    </row>
    <row r="270" spans="1:12" ht="56.45" customHeight="1">
      <c r="A270" s="19" t="s">
        <v>877</v>
      </c>
      <c r="B270" s="19" t="str">
        <f t="shared" si="28"/>
        <v>B01_Assessment</v>
      </c>
      <c r="C270" s="19"/>
      <c r="D270" s="144"/>
      <c r="E270" s="144"/>
      <c r="F270" s="19"/>
      <c r="G270" s="19"/>
      <c r="H270" s="19"/>
      <c r="I270" s="19"/>
      <c r="J270" s="19"/>
      <c r="K270" s="19"/>
      <c r="L270" s="19"/>
    </row>
    <row r="271" spans="1:12" ht="13.35" customHeight="1">
      <c r="A271" s="146" t="s">
        <v>142</v>
      </c>
      <c r="B271" s="146" t="str">
        <f t="shared" si="28"/>
        <v>B01_Assessment</v>
      </c>
      <c r="C271" s="146" t="s">
        <v>221</v>
      </c>
      <c r="D271" s="147" t="s">
        <v>222</v>
      </c>
      <c r="E271" s="147" t="s">
        <v>265</v>
      </c>
      <c r="F271" s="146" t="s">
        <v>77</v>
      </c>
      <c r="G271" s="146" t="s">
        <v>878</v>
      </c>
      <c r="H271" s="146" t="s">
        <v>879</v>
      </c>
      <c r="I271" s="146" t="s">
        <v>880</v>
      </c>
      <c r="J271" s="146" t="s">
        <v>494</v>
      </c>
      <c r="K271" s="146" t="s">
        <v>881</v>
      </c>
      <c r="L271" s="146" t="s">
        <v>11</v>
      </c>
    </row>
    <row r="272" spans="1:12" ht="40.700000000000003"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1"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4.9"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4.9"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1"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4.9"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700000000000003"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4.9"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700000000000003"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1"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700000000000003"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1"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700000000000003"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700000000000003"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700000000000003"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4.9"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3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4.9"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4.9"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1"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1"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700000000000003"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700000000000003"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4.9"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1"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1"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4.9"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4.9"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700000000000003"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4.9"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4.9"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3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4.9"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4.9"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4.9"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2.9"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1"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4.9"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700000000000003"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1"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1"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2.9"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1"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4.9"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4.9"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4.9"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1"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2.9"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1"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2.9"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4.9"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4.9"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4.9"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4.9"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4.9"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4.9"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1"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4.9"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1"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4.9"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700000000000003"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4.9"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4.9"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1"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4.9"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1"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1"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4.9"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700000000000003"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4.9"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4.9"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700000000000003"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700000000000003"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700000000000003"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4.9"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1"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700000000000003"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4.9"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4.9"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3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4.9"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4.9"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1"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4.9"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4.9"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700000000000003"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1"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1"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1"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4.9"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1"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700000000000003"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700000000000003"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4.9"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4.9"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1"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1"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4.9"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1"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4.9"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700000000000003"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4.9"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4.9"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4.9"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4.9"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1"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4.9"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1"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700000000000003"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700000000000003"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1"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1"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4.9"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1"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4.9"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700000000000003"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700000000000003"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4.9"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4.9"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1"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2.9"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4.9"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1"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4.9"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700000000000003"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4.9"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1"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4.9"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1"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4.9"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1"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4.9"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700000000000003"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4.9"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4.9"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4.9"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700000000000003"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700000000000003"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700000000000003"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1"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700000000000003"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1"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700000000000003"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4.9"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4.9"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1"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700000000000003"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1"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700000000000003"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1"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4.9"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1"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700000000000003"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700000000000003"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700000000000003"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1"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700000000000003"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1"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1"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1"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700000000000003"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700000000000003"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700000000000003"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1"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700000000000003"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1"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3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Open</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1"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Open</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700000000000003"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Open</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4.9"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Open</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1"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Open</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700000000000003"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Open</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3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Open</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700000000000003"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Open</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2.9"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1"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2.9"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1"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4.9"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3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4.9"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700000000000003"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4.9"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1"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700000000000003"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3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700000000000003"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1"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4.9"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1"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4.9"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1"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4.9"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700000000000003"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4.9"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700000000000003"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1"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700000000000003"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4.9"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700000000000003"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1"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4.9"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4.9"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1"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3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700000000000003"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4.9"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3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700000000000003"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1"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4.9"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15"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700000000000003"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1"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700000000000003"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4.9"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1"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4.9"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700000000000003"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150000000000006"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700000000000003"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4.9"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4.9"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3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3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700000000000003"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15"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35" customHeight="1">
      <c r="A503" s="19"/>
      <c r="D503" s="144"/>
      <c r="E503" s="144"/>
      <c r="F503" s="19"/>
      <c r="G503" s="19"/>
      <c r="H503" s="19"/>
      <c r="I503" s="19"/>
      <c r="J503" s="19"/>
      <c r="K503" s="19"/>
      <c r="L503" s="19"/>
    </row>
    <row r="504" spans="1:12" ht="7.35" customHeight="1">
      <c r="A504" s="146"/>
      <c r="B504" s="146"/>
      <c r="C504" s="146"/>
      <c r="D504" s="147"/>
      <c r="E504" s="147"/>
      <c r="F504" s="146"/>
      <c r="G504" s="146"/>
      <c r="H504" s="146"/>
      <c r="I504" s="146"/>
      <c r="J504" s="146"/>
      <c r="K504" s="146"/>
      <c r="L504" s="146"/>
    </row>
    <row r="505" spans="1:12" s="148" customFormat="1" ht="7.35" customHeight="1">
      <c r="A505" s="103"/>
      <c r="B505" s="103"/>
      <c r="C505" s="103"/>
      <c r="D505" s="104"/>
      <c r="E505" s="104"/>
      <c r="F505" s="103"/>
      <c r="G505" s="103"/>
      <c r="H505" s="103"/>
      <c r="I505" s="103"/>
      <c r="J505" s="103"/>
      <c r="K505" s="103"/>
      <c r="L505" s="103"/>
    </row>
    <row r="506" spans="1:12" ht="56.45" customHeight="1">
      <c r="A506" s="19" t="s">
        <v>882</v>
      </c>
      <c r="B506" s="19"/>
      <c r="C506" s="19"/>
      <c r="D506" s="144"/>
      <c r="E506" s="144"/>
      <c r="F506" s="19"/>
      <c r="G506" s="19"/>
      <c r="H506" s="19"/>
      <c r="I506" s="19"/>
      <c r="J506" s="19"/>
      <c r="K506" s="19"/>
      <c r="L506" s="19"/>
    </row>
    <row r="507" spans="1:12" ht="7.35" customHeight="1">
      <c r="A507" s="146" t="s">
        <v>142</v>
      </c>
      <c r="B507" s="146" t="s">
        <v>173</v>
      </c>
      <c r="C507" s="146" t="s">
        <v>883</v>
      </c>
      <c r="D507" s="147" t="s">
        <v>275</v>
      </c>
      <c r="E507" s="147" t="s">
        <v>884</v>
      </c>
      <c r="F507" s="146" t="s">
        <v>885</v>
      </c>
      <c r="G507" s="146" t="s">
        <v>886</v>
      </c>
      <c r="H507" s="146" t="s">
        <v>887</v>
      </c>
      <c r="I507" s="146" t="s">
        <v>888</v>
      </c>
      <c r="J507" s="146" t="s">
        <v>77</v>
      </c>
      <c r="K507" s="146" t="s">
        <v>889</v>
      </c>
      <c r="L507" s="146" t="s">
        <v>11</v>
      </c>
    </row>
    <row r="508" spans="1:12" ht="99.2"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4"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150000000000006"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69.95"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4"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400000000000006"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150000000000006"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150000000000006"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3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99999999999994"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99999999999994"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99999999999994"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15"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4.9"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700000000000003"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15"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15"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3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4.9"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4.9"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4.9"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3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15"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700000000000003"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150000000000006"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3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15"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15"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15"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69.95"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3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15"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15"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15"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150000000000006"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69.95"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69.95"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150000000000006"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700000000000003"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150000000000006"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400000000000006"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15"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150000000000006"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400000000000006"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99999999999994"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6"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3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6"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150000000000006"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400000000000006"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99999999999994"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6"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2"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99999999999994"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99999999999994"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69.95"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69.95"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69.95"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2"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99999999999994"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99999999999994"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99999999999994"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4"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3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3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3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2.9"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1"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1"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15"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150000000000006"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69.95"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69.95"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15"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700000000000003"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69.95"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99999999999994"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65"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99999999999994"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69.95"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99999999999994"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400000000000006"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99999999999994"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150000000000006"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3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15"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150000000000006"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3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6"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35" customHeight="1">
      <c r="A597" s="19"/>
      <c r="D597" s="144"/>
      <c r="E597" s="144"/>
      <c r="F597" s="19"/>
      <c r="G597" s="19"/>
      <c r="H597" s="19"/>
      <c r="I597" s="19"/>
      <c r="J597" s="19"/>
      <c r="K597" s="19"/>
      <c r="L597" s="19"/>
    </row>
    <row r="598" spans="1:12" ht="7.35" customHeight="1">
      <c r="A598" s="146"/>
      <c r="B598" s="146"/>
      <c r="C598" s="146"/>
      <c r="D598" s="147"/>
      <c r="E598" s="147"/>
      <c r="F598" s="146"/>
      <c r="G598" s="146"/>
      <c r="H598" s="146"/>
      <c r="I598" s="146"/>
      <c r="J598" s="146"/>
      <c r="K598" s="146"/>
      <c r="L598" s="146"/>
    </row>
    <row r="599" spans="1:12" ht="7.35" customHeight="1">
      <c r="A599" s="106"/>
      <c r="B599" s="106" t="str">
        <f t="shared" ref="B599:B614" si="57">"B01_Assessment"</f>
        <v>B01_Assessment</v>
      </c>
      <c r="C599" s="106"/>
      <c r="D599" s="142"/>
      <c r="E599" s="142"/>
      <c r="F599" s="106"/>
      <c r="G599" s="106"/>
      <c r="H599" s="106"/>
      <c r="I599" s="106"/>
      <c r="J599" s="106"/>
      <c r="K599" s="106"/>
      <c r="L599" s="106"/>
    </row>
    <row r="600" spans="1:12" ht="63.4" customHeight="1">
      <c r="A600" s="19" t="s">
        <v>890</v>
      </c>
      <c r="B600" s="19" t="str">
        <f t="shared" si="57"/>
        <v>B01_Assessment</v>
      </c>
      <c r="C600" s="19"/>
      <c r="D600" s="144"/>
      <c r="E600" s="144"/>
      <c r="F600" s="19"/>
      <c r="G600" s="19"/>
      <c r="H600" s="19"/>
      <c r="I600" s="19"/>
      <c r="J600" s="19"/>
      <c r="K600" s="19"/>
      <c r="L600" s="19"/>
    </row>
    <row r="601" spans="1:12" ht="7.35" customHeight="1">
      <c r="A601" s="146" t="s">
        <v>142</v>
      </c>
      <c r="B601" s="146" t="str">
        <f t="shared" si="57"/>
        <v>B01_Assessment</v>
      </c>
      <c r="C601" s="146" t="s">
        <v>291</v>
      </c>
      <c r="D601" s="147" t="s">
        <v>275</v>
      </c>
      <c r="E601" s="147" t="s">
        <v>493</v>
      </c>
      <c r="F601" s="146" t="s">
        <v>214</v>
      </c>
      <c r="G601" s="146" t="s">
        <v>263</v>
      </c>
      <c r="H601" s="146" t="s">
        <v>891</v>
      </c>
      <c r="I601" s="146" t="s">
        <v>892</v>
      </c>
      <c r="J601" s="146" t="s">
        <v>893</v>
      </c>
      <c r="K601" s="146" t="s">
        <v>77</v>
      </c>
      <c r="L601" s="146" t="s">
        <v>11</v>
      </c>
    </row>
    <row r="602" spans="1:12" ht="34.9"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700000000000003"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4.9"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700000000000003"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4.9"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4.9"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700000000000003"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4.9"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3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3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700000000000003"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4.9"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3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700000000000003"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700000000000003"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4.9"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700000000000003"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700000000000003"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3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700000000000003"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4.9"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700000000000003"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700000000000003"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4.9"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2.9"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2.9"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2.9"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2.9"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2.9"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2.9"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2.9"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2.9"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1"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2.9"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1"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1"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2.9"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2.9"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1"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1"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2.9"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4.9"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2.9"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2.9"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2.9"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2.9"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4.9"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1"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4.9"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1"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4.9"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2.9"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700000000000003"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1"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1"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1"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4.9"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1"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4.9"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4.9"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1"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1"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1"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2.9"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4.9"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2.9"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1"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1"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2.9"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1"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1"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4.9"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700000000000003"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1"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1"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4.9"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4.9"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4.9"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4.9"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700000000000003"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700000000000003"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4.9"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1"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4.9"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4.9"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700000000000003"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700000000000003"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3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4.9"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4.9"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4.9"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4.9"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700000000000003"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700000000000003"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3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4.9"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4.9"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4.9"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4.9"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4.9"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700000000000003"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15"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2.9"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1"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2.9"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4.9"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700000000000003"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700000000000003"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700000000000003"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4.9"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15"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1"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4.9"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4.9"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700000000000003"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700000000000003"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700000000000003"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1"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4.9"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4.9"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4.9"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2.9"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4.9"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700000000000003"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4.9"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700000000000003"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4.9"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1"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4.9"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2.9"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4.9"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700000000000003"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700000000000003"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1"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4.9"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1"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4.9"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2.9"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4.9"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700000000000003"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3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4.9"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700000000000003"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1"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700000000000003"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2.9"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4.9"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4.9"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4.9"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4.9"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4.9"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700000000000003"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4.9"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4.9"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4.9"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4"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4"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4"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65"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65"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65"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65"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65"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65"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4.9"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4.9"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700000000000003"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700000000000003"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700000000000003"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700000000000003"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700000000000003"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4.9"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4.9"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700000000000003"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4.9"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4.9"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4.9"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700000000000003"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1"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4.9"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700000000000003"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3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700000000000003"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700000000000003"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3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3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2.9"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4.9"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700000000000003"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4.9"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4.9"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1"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1"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2.9"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4.9"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1"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4.9"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700000000000003"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4.9"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4.9"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700000000000003"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3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3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15"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700000000000003"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4.9"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3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700000000000003"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4.9"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700000000000003"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700000000000003"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4.9"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35" customHeight="1">
      <c r="A829" s="19"/>
      <c r="D829" s="144"/>
      <c r="E829" s="144"/>
      <c r="F829" s="19"/>
      <c r="G829" s="19"/>
      <c r="H829" s="19"/>
      <c r="I829" s="19"/>
      <c r="J829" s="19"/>
      <c r="K829" s="19"/>
      <c r="L829" s="19"/>
    </row>
    <row r="830" spans="1:12" ht="7.35" customHeight="1">
      <c r="A830" s="146"/>
      <c r="B830" s="146"/>
      <c r="C830" s="146"/>
      <c r="D830" s="147"/>
      <c r="E830" s="147"/>
      <c r="F830" s="146"/>
      <c r="G830" s="146"/>
      <c r="H830" s="146"/>
      <c r="I830" s="146"/>
      <c r="J830" s="146"/>
      <c r="K830" s="146"/>
      <c r="L830" s="146"/>
    </row>
    <row r="831" spans="1:12" ht="7.35" customHeight="1">
      <c r="A831" s="106"/>
      <c r="B831" s="106"/>
      <c r="C831" s="106"/>
      <c r="D831" s="142"/>
      <c r="E831" s="142"/>
      <c r="F831" s="106"/>
      <c r="G831" s="106"/>
      <c r="H831" s="106"/>
      <c r="I831" s="106"/>
      <c r="J831" s="106"/>
      <c r="K831" s="106"/>
      <c r="L831" s="106"/>
    </row>
    <row r="832" spans="1:12" ht="49.15" customHeight="1">
      <c r="A832" s="19" t="s">
        <v>894</v>
      </c>
      <c r="B832" s="19"/>
      <c r="C832" s="19"/>
      <c r="D832" s="144"/>
      <c r="E832" s="144"/>
      <c r="F832" s="19"/>
      <c r="G832" s="19"/>
      <c r="H832" s="19"/>
      <c r="I832" s="19"/>
      <c r="J832" s="19"/>
      <c r="K832" s="19"/>
      <c r="L832" s="19"/>
    </row>
    <row r="833" spans="1:12" ht="13.35" customHeight="1">
      <c r="A833" s="146" t="s">
        <v>142</v>
      </c>
      <c r="B833" s="146" t="s">
        <v>173</v>
      </c>
      <c r="C833" s="146" t="s">
        <v>275</v>
      </c>
      <c r="D833" s="147" t="s">
        <v>895</v>
      </c>
      <c r="E833" s="147" t="s">
        <v>896</v>
      </c>
      <c r="F833" s="146" t="s">
        <v>148</v>
      </c>
      <c r="G833" s="146" t="s">
        <v>153</v>
      </c>
      <c r="H833" s="146" t="s">
        <v>155</v>
      </c>
      <c r="I833" s="146" t="s">
        <v>491</v>
      </c>
      <c r="J833" s="146" t="s">
        <v>897</v>
      </c>
      <c r="K833" s="146" t="s">
        <v>174</v>
      </c>
      <c r="L833" s="146" t="s">
        <v>11</v>
      </c>
    </row>
    <row r="834" spans="1:12" ht="52.15" customHeight="1">
      <c r="A834" s="106" t="str">
        <f>B01_Assessment!$B$2</f>
        <v>01</v>
      </c>
      <c r="B834" s="106" t="str">
        <f>"B01_Assessment"</f>
        <v>B01_Assessment</v>
      </c>
      <c r="C834" s="106" t="str">
        <f>B01_Assessment!$A$92</f>
        <v>107</v>
      </c>
      <c r="D834" s="142">
        <f>B01_Assessment!$B$92</f>
        <v>0.5</v>
      </c>
      <c r="E834" s="142">
        <f>B01_Assessment!$C$92</f>
        <v>0.5</v>
      </c>
      <c r="F834" s="106">
        <f>B01_Assessment!$D$92</f>
        <v>0.5</v>
      </c>
      <c r="G834" s="106">
        <f>B01_Assessment!$E$92</f>
        <v>0.5</v>
      </c>
      <c r="H834" s="106">
        <f>B01_Assessment!$F$92</f>
        <v>0.5</v>
      </c>
      <c r="I834" s="106" t="str">
        <f>B01_Assessment!$G$92</f>
        <v>Verify</v>
      </c>
      <c r="J834" s="106">
        <f>B01_Assessment!$H$92</f>
        <v>0.5</v>
      </c>
      <c r="K834" s="106" t="str">
        <f>B01_Assessment!$I$92</f>
        <v>Partial / Green</v>
      </c>
      <c r="L834" s="106" t="str">
        <f>B01_Assessment!$J$92</f>
        <v>New first-level TR with 161 total ports including allowance, dedicated cooling, UPS/PDU, B01-TR107A/B panels, cable tray, PACS/CCTV and fire/life-safety scope.</v>
      </c>
    </row>
    <row r="835" spans="1:12" ht="34.9" customHeight="1">
      <c r="A835" s="106" t="str">
        <f>B01_Assessment!$B$2</f>
        <v>01</v>
      </c>
      <c r="B835" s="106" t="str">
        <f>"B01_Assessment"</f>
        <v>B01_Assessment</v>
      </c>
      <c r="C835" s="106" t="str">
        <f>B01_Assessment!$A$93</f>
        <v>B02</v>
      </c>
      <c r="D835" s="142">
        <f>B01_Assessment!$B$93</f>
        <v>0.5</v>
      </c>
      <c r="E835" s="142">
        <f>B01_Assessment!$C$93</f>
        <v>0.5</v>
      </c>
      <c r="F835" s="106">
        <f>B01_Assessment!$D$93</f>
        <v>0.5</v>
      </c>
      <c r="G835" s="106">
        <f>B01_Assessment!$E$93</f>
        <v>0.5</v>
      </c>
      <c r="H835" s="106">
        <f>B01_Assessment!$F$93</f>
        <v>0.5</v>
      </c>
      <c r="I835" s="106" t="str">
        <f>B01_Assessment!$G$93</f>
        <v>Verify</v>
      </c>
      <c r="J835" s="106">
        <f>B01_Assessment!$H$93</f>
        <v>0.5</v>
      </c>
      <c r="K835" s="106" t="str">
        <f>B01_Assessment!$I$93</f>
        <v>Partial / Green</v>
      </c>
      <c r="L835" s="106" t="str">
        <f>B01_Assessment!$J$93</f>
        <v>Existing basement telecom transition point; protect active services until transfer/cutover complete.</v>
      </c>
    </row>
    <row r="836" spans="1:12" ht="29.1" customHeight="1">
      <c r="A836" s="106" t="str">
        <f>B01_Assessment!$B$2</f>
        <v>01</v>
      </c>
      <c r="B836" s="106" t="str">
        <f>"B01_Assessment"</f>
        <v>B01_Assessment</v>
      </c>
      <c r="C836" s="106" t="str">
        <f>B01_Assessment!$A$94</f>
        <v>138</v>
      </c>
      <c r="D836" s="142">
        <f>B01_Assessment!$B$94</f>
        <v>0.5</v>
      </c>
      <c r="E836" s="142">
        <f>B01_Assessment!$C$94</f>
        <v>0.5</v>
      </c>
      <c r="F836" s="106">
        <f>B01_Assessment!$D$94</f>
        <v>0.5</v>
      </c>
      <c r="G836" s="106">
        <f>B01_Assessment!$E$94</f>
        <v>0.5</v>
      </c>
      <c r="H836" s="106">
        <f>B01_Assessment!$F$94</f>
        <v>0.5</v>
      </c>
      <c r="I836" s="106" t="str">
        <f>B01_Assessment!$G$94</f>
        <v>Verify</v>
      </c>
      <c r="J836" s="106">
        <f>B01_Assessment!$H$94</f>
        <v>0.5</v>
      </c>
      <c r="K836" s="106" t="str">
        <f>B01_Assessment!$I$94</f>
        <v>Partial / Green</v>
      </c>
      <c r="L836" s="106" t="str">
        <f>B01_Assessment!$J$94</f>
        <v>Existing first-level telecom transition point; protect active services and verify final condition.</v>
      </c>
    </row>
    <row r="837" spans="1:12" ht="29.1" customHeight="1">
      <c r="A837" s="106" t="str">
        <f>B01_Assessment!$B$2</f>
        <v>01</v>
      </c>
      <c r="B837" s="106" t="str">
        <f>"B01_Assessment"</f>
        <v>B01_Assessment</v>
      </c>
      <c r="C837" s="106" t="str">
        <f>B01_Assessment!$A$95</f>
        <v>282</v>
      </c>
      <c r="D837" s="142">
        <f>B01_Assessment!$B$95</f>
        <v>0.5</v>
      </c>
      <c r="E837" s="142">
        <f>B01_Assessment!$C$95</f>
        <v>0.5</v>
      </c>
      <c r="F837" s="106">
        <f>B01_Assessment!$D$95</f>
        <v>0.5</v>
      </c>
      <c r="G837" s="106">
        <f>B01_Assessment!$E$95</f>
        <v>0.5</v>
      </c>
      <c r="H837" s="106">
        <f>B01_Assessment!$F$95</f>
        <v>0.5</v>
      </c>
      <c r="I837" s="106" t="str">
        <f>B01_Assessment!$G$95</f>
        <v>Verify</v>
      </c>
      <c r="J837" s="106">
        <f>B01_Assessment!$H$95</f>
        <v>0.5</v>
      </c>
      <c r="K837" s="106" t="str">
        <f>B01_Assessment!$I$95</f>
        <v>Partial / Green</v>
      </c>
      <c r="L837" s="106" t="str">
        <f>B01_Assessment!$J$95</f>
        <v>Existing second-level telecom transition point; protect active services and verify final condition.</v>
      </c>
    </row>
    <row r="838" spans="1:12" ht="40.700000000000003" customHeight="1">
      <c r="A838" s="106" t="str">
        <f>B02_Assessment!$B$2</f>
        <v>02</v>
      </c>
      <c r="B838" s="106" t="str">
        <f>"B02_Assessment"</f>
        <v>B02_Assessment</v>
      </c>
      <c r="C838" s="106" t="str">
        <f>B02_Assessment!$A$93</f>
        <v>141</v>
      </c>
      <c r="D838" s="142">
        <f>B02_Assessment!$B$93</f>
        <v>0.5</v>
      </c>
      <c r="E838" s="142">
        <f>B02_Assessment!$C$93</f>
        <v>0.5</v>
      </c>
      <c r="F838" s="106">
        <f>B02_Assessment!$D$93</f>
        <v>0.5</v>
      </c>
      <c r="G838" s="106">
        <f>B02_Assessment!$E$93</f>
        <v>0.5</v>
      </c>
      <c r="H838" s="106">
        <f>B02_Assessment!$F$93</f>
        <v>0.5</v>
      </c>
      <c r="I838" s="106" t="str">
        <f>B02_Assessment!$G$93</f>
        <v>Verify</v>
      </c>
      <c r="J838" s="106">
        <f>B02_Assessment!$H$93</f>
        <v>0.5</v>
      </c>
      <c r="K838" s="106" t="str">
        <f>B02_Assessment!$I$93</f>
        <v>Partial / Yellow</v>
      </c>
      <c r="L838" s="106" t="str">
        <f>B02_Assessment!$J$93</f>
        <v>First-level TR with 354 total ports including allowance, 2 rack IDs, B02-TR141A/B panels, high cable tray volume and existing room transfer scope.</v>
      </c>
    </row>
    <row r="839" spans="1:12" ht="40.700000000000003" customHeight="1">
      <c r="A839" s="106" t="str">
        <f>B02_Assessment!$B$2</f>
        <v>02</v>
      </c>
      <c r="B839" s="106" t="str">
        <f>"B02_Assessment"</f>
        <v>B02_Assessment</v>
      </c>
      <c r="C839" s="106" t="str">
        <f>B02_Assessment!$A$94</f>
        <v>236</v>
      </c>
      <c r="D839" s="142">
        <f>B02_Assessment!$B$94</f>
        <v>0.5</v>
      </c>
      <c r="E839" s="142">
        <f>B02_Assessment!$C$94</f>
        <v>0.5</v>
      </c>
      <c r="F839" s="106">
        <f>B02_Assessment!$D$94</f>
        <v>0.5</v>
      </c>
      <c r="G839" s="106">
        <f>B02_Assessment!$E$94</f>
        <v>0.5</v>
      </c>
      <c r="H839" s="106">
        <f>B02_Assessment!$F$94</f>
        <v>0.5</v>
      </c>
      <c r="I839" s="106" t="str">
        <f>B02_Assessment!$G$94</f>
        <v>Verify</v>
      </c>
      <c r="J839" s="106">
        <f>B02_Assessment!$H$94</f>
        <v>0.5</v>
      </c>
      <c r="K839" s="106" t="str">
        <f>B02_Assessment!$I$94</f>
        <v>Partial / Yellow</v>
      </c>
      <c r="L839" s="106" t="str">
        <f>B02_Assessment!$J$94</f>
        <v>Second-level TR with approx. 345 total ports including allowance, B02-TR236A/B panels, camera/PACS and existing transition scope.</v>
      </c>
    </row>
    <row r="840" spans="1:12" ht="34.9" customHeight="1">
      <c r="A840" s="106" t="str">
        <f>B02_Assessment!$B$2</f>
        <v>02</v>
      </c>
      <c r="B840" s="106" t="str">
        <f>"B02_Assessment"</f>
        <v>B02_Assessment</v>
      </c>
      <c r="C840" s="106" t="str">
        <f>B02_Assessment!$A$95</f>
        <v>342</v>
      </c>
      <c r="D840" s="142">
        <f>B02_Assessment!$B$95</f>
        <v>0.5</v>
      </c>
      <c r="E840" s="142">
        <f>B02_Assessment!$C$95</f>
        <v>0.5</v>
      </c>
      <c r="F840" s="106">
        <f>B02_Assessment!$D$95</f>
        <v>0.5</v>
      </c>
      <c r="G840" s="106">
        <f>B02_Assessment!$E$95</f>
        <v>0.5</v>
      </c>
      <c r="H840" s="106">
        <f>B02_Assessment!$F$95</f>
        <v>0.5</v>
      </c>
      <c r="I840" s="106" t="str">
        <f>B02_Assessment!$G$95</f>
        <v>Verify</v>
      </c>
      <c r="J840" s="106">
        <f>B02_Assessment!$H$95</f>
        <v>0.5</v>
      </c>
      <c r="K840" s="106" t="str">
        <f>B02_Assessment!$I$95</f>
        <v>Partial / Yellow</v>
      </c>
      <c r="L840" s="106" t="str">
        <f>B02_Assessment!$J$95</f>
        <v>Third-level TR with 388 total ports including allowance, B02-TR342A/B panels, camera/security and high WAO count.</v>
      </c>
    </row>
    <row r="841" spans="1:12" ht="29.1" customHeight="1">
      <c r="A841" s="106" t="str">
        <f>B02_Assessment!$B$2</f>
        <v>02</v>
      </c>
      <c r="B841" s="106" t="str">
        <f>"B02_Assessment"</f>
        <v>B02_Assessment</v>
      </c>
      <c r="C841" s="106" t="str">
        <f>B02_Assessment!$A$96</f>
        <v>B-06 / existing rooms</v>
      </c>
      <c r="D841" s="142">
        <f>B02_Assessment!$B$96</f>
        <v>0.5</v>
      </c>
      <c r="E841" s="142">
        <f>B02_Assessment!$C$96</f>
        <v>0.5</v>
      </c>
      <c r="F841" s="106">
        <f>B02_Assessment!$D$96</f>
        <v>0.5</v>
      </c>
      <c r="G841" s="106">
        <f>B02_Assessment!$E$96</f>
        <v>0.5</v>
      </c>
      <c r="H841" s="106">
        <f>B02_Assessment!$F$96</f>
        <v>0.5</v>
      </c>
      <c r="I841" s="106" t="str">
        <f>B02_Assessment!$G$96</f>
        <v>Verify</v>
      </c>
      <c r="J841" s="106">
        <f>B02_Assessment!$H$96</f>
        <v>0.5</v>
      </c>
      <c r="K841" s="106" t="str">
        <f>B02_Assessment!$I$96</f>
        <v>Partial / Yellow</v>
      </c>
      <c r="L841" s="106" t="str">
        <f>B02_Assessment!$J$96</f>
        <v>Existing telecom transition points; protect active services until transfer/cutover complete.</v>
      </c>
    </row>
    <row r="842" spans="1:12" ht="52.15" customHeight="1">
      <c r="A842" s="106" t="str">
        <f>B03_Assessment!$B$2</f>
        <v>03</v>
      </c>
      <c r="B842" s="106" t="str">
        <f>"B03_Assessment"</f>
        <v>B03_Assessment</v>
      </c>
      <c r="C842" s="106" t="str">
        <f>B03_Assessment!$A$92</f>
        <v>101E</v>
      </c>
      <c r="D842" s="142">
        <f>B03_Assessment!$B$92</f>
        <v>0.5</v>
      </c>
      <c r="E842" s="142">
        <f>B03_Assessment!$C$92</f>
        <v>0.5</v>
      </c>
      <c r="F842" s="106">
        <f>B03_Assessment!$D$92</f>
        <v>0.5</v>
      </c>
      <c r="G842" s="106">
        <f>B03_Assessment!$E$92</f>
        <v>0.5</v>
      </c>
      <c r="H842" s="106">
        <f>B03_Assessment!$F$92</f>
        <v>0.5</v>
      </c>
      <c r="I842" s="106" t="str">
        <f>B03_Assessment!$G$92</f>
        <v>Verify</v>
      </c>
      <c r="J842" s="106">
        <f>B03_Assessment!$H$92</f>
        <v>0.5</v>
      </c>
      <c r="K842" s="106" t="str">
        <f>B03_Assessment!$I$92</f>
        <v>Partial / Yellow</v>
      </c>
      <c r="L842" s="106" t="str">
        <f>B03_Assessment!$J$92</f>
        <v>Primary first-level TR with 206 total ports including allowance, two rack IDs, B03-TR101CA/B panels, CU-01, 961 ft cable tray and existing 107/101C transfer scope.</v>
      </c>
    </row>
    <row r="843" spans="1:12" ht="34.9" customHeight="1">
      <c r="A843" s="106" t="str">
        <f>B03_Assessment!$B$2</f>
        <v>03</v>
      </c>
      <c r="B843" s="106" t="str">
        <f>"B03_Assessment"</f>
        <v>B03_Assessment</v>
      </c>
      <c r="C843" s="106" t="str">
        <f>B03_Assessment!$A$93</f>
        <v>107</v>
      </c>
      <c r="D843" s="142">
        <f>B03_Assessment!$B$93</f>
        <v>0.5</v>
      </c>
      <c r="E843" s="142">
        <f>B03_Assessment!$C$93</f>
        <v>0.5</v>
      </c>
      <c r="F843" s="106">
        <f>B03_Assessment!$D$93</f>
        <v>0.5</v>
      </c>
      <c r="G843" s="106">
        <f>B03_Assessment!$E$93</f>
        <v>0.5</v>
      </c>
      <c r="H843" s="106">
        <f>B03_Assessment!$F$93</f>
        <v>0.5</v>
      </c>
      <c r="I843" s="106" t="str">
        <f>B03_Assessment!$G$93</f>
        <v>Verify</v>
      </c>
      <c r="J843" s="106">
        <f>B03_Assessment!$H$93</f>
        <v>0.5</v>
      </c>
      <c r="K843" s="106" t="str">
        <f>B03_Assessment!$I$93</f>
        <v>Partial / Yellow</v>
      </c>
      <c r="L843" s="106" t="str">
        <f>B03_Assessment!$J$93</f>
        <v>Existing basement telecom transition point; protect active services until transfer/cutover complete.</v>
      </c>
    </row>
    <row r="844" spans="1:12" ht="34.9" customHeight="1">
      <c r="A844" s="106" t="str">
        <f>B03_Assessment!$B$2</f>
        <v>03</v>
      </c>
      <c r="B844" s="106" t="str">
        <f>"B03_Assessment"</f>
        <v>B03_Assessment</v>
      </c>
      <c r="C844" s="106" t="str">
        <f>B03_Assessment!$A$94</f>
        <v>101C</v>
      </c>
      <c r="D844" s="142">
        <f>B03_Assessment!$B$94</f>
        <v>0.5</v>
      </c>
      <c r="E844" s="142">
        <f>B03_Assessment!$C$94</f>
        <v>0.5</v>
      </c>
      <c r="F844" s="106">
        <f>B03_Assessment!$D$94</f>
        <v>0.5</v>
      </c>
      <c r="G844" s="106">
        <f>B03_Assessment!$E$94</f>
        <v>0.5</v>
      </c>
      <c r="H844" s="106">
        <f>B03_Assessment!$F$94</f>
        <v>0.5</v>
      </c>
      <c r="I844" s="106" t="str">
        <f>B03_Assessment!$G$94</f>
        <v>Verify</v>
      </c>
      <c r="J844" s="106">
        <f>B03_Assessment!$H$94</f>
        <v>0.5</v>
      </c>
      <c r="K844" s="106" t="str">
        <f>B03_Assessment!$I$94</f>
        <v>Partial / Yellow</v>
      </c>
      <c r="L844" s="106" t="str">
        <f>B03_Assessment!$J$94</f>
        <v>Existing first-floor DMARC/telecom transition point; protect provider/fiber/active services and verify final condition.</v>
      </c>
    </row>
    <row r="845" spans="1:12" ht="29.1" customHeight="1">
      <c r="A845" s="106" t="str">
        <f>B03_Assessment!$B$2</f>
        <v>03</v>
      </c>
      <c r="B845" s="106" t="str">
        <f>"B03_Assessment"</f>
        <v>B03_Assessment</v>
      </c>
      <c r="C845" s="106" t="str">
        <f>B03_Assessment!$A$95</f>
        <v>WAO Areas</v>
      </c>
      <c r="D845" s="142">
        <f>B03_Assessment!$B$95</f>
        <v>0.5</v>
      </c>
      <c r="E845" s="142">
        <f>B03_Assessment!$C$95</f>
        <v>0.5</v>
      </c>
      <c r="F845" s="106" t="str">
        <f>B03_Assessment!$D$95</f>
        <v>N/A</v>
      </c>
      <c r="G845" s="106">
        <f>B03_Assessment!$E$95</f>
        <v>0.5</v>
      </c>
      <c r="H845" s="106">
        <f>B03_Assessment!$F$95</f>
        <v>0.5</v>
      </c>
      <c r="I845" s="106" t="str">
        <f>B03_Assessment!$G$95</f>
        <v>Verify</v>
      </c>
      <c r="J845" s="106">
        <f>B03_Assessment!$H$95</f>
        <v>0.5</v>
      </c>
      <c r="K845" s="106" t="str">
        <f>B03_Assessment!$I$95</f>
        <v>Partial / Yellow</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0.5</v>
      </c>
      <c r="E846" s="142">
        <f>B04_Assessment!$C$85</f>
        <v>0.5</v>
      </c>
      <c r="F846" s="106">
        <f>B04_Assessment!$D$85</f>
        <v>0.5</v>
      </c>
      <c r="G846" s="106">
        <f>B04_Assessment!$E$85</f>
        <v>0.5</v>
      </c>
      <c r="H846" s="106">
        <f>B04_Assessment!$F$85</f>
        <v>0.5</v>
      </c>
      <c r="I846" s="106" t="str">
        <f>B04_Assessment!$G$85</f>
        <v>Verify</v>
      </c>
      <c r="J846" s="106">
        <f>B04_Assessment!$H$85</f>
        <v>0.5</v>
      </c>
      <c r="K846" s="106" t="str">
        <f>B04_Assessment!$I$85</f>
        <v>Partial / Yellow</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0.5</v>
      </c>
      <c r="E847" s="142">
        <f>B04_Assessment!$C$86</f>
        <v>0.5</v>
      </c>
      <c r="F847" s="106">
        <f>B04_Assessment!$D$86</f>
        <v>0.5</v>
      </c>
      <c r="G847" s="106">
        <f>B04_Assessment!$E$86</f>
        <v>0.5</v>
      </c>
      <c r="H847" s="106">
        <f>B04_Assessment!$F$86</f>
        <v>0.5</v>
      </c>
      <c r="I847" s="106" t="str">
        <f>B04_Assessment!$G$86</f>
        <v>Verify</v>
      </c>
      <c r="J847" s="106">
        <f>B04_Assessment!$H$86</f>
        <v>0.5</v>
      </c>
      <c r="K847" s="106" t="str">
        <f>B04_Assessment!$I$86</f>
        <v>Partial / Yellow</v>
      </c>
      <c r="L847" s="106" t="str">
        <f>B04_Assessment!$J$86</f>
        <v>First-floor TR with rated wall/door and future rack.</v>
      </c>
    </row>
    <row r="848" spans="1:12" ht="22.9" customHeight="1">
      <c r="A848" s="106" t="str">
        <f>B04_Assessment!$B$2</f>
        <v>04</v>
      </c>
      <c r="B848" s="106" t="str">
        <f>"B04_Assessment"</f>
        <v>B04_Assessment</v>
      </c>
      <c r="C848" s="106" t="str">
        <f>B04_Assessment!$A$87</f>
        <v>244A</v>
      </c>
      <c r="D848" s="142">
        <f>B04_Assessment!$B$87</f>
        <v>0.5</v>
      </c>
      <c r="E848" s="142">
        <f>B04_Assessment!$C$87</f>
        <v>0.5</v>
      </c>
      <c r="F848" s="106">
        <f>B04_Assessment!$D$87</f>
        <v>0.5</v>
      </c>
      <c r="G848" s="106">
        <f>B04_Assessment!$E$87</f>
        <v>0.5</v>
      </c>
      <c r="H848" s="106">
        <f>B04_Assessment!$F$87</f>
        <v>0.5</v>
      </c>
      <c r="I848" s="106" t="str">
        <f>B04_Assessment!$G$87</f>
        <v>Verify</v>
      </c>
      <c r="J848" s="106">
        <f>B04_Assessment!$H$87</f>
        <v>0.5</v>
      </c>
      <c r="K848" s="106" t="str">
        <f>B04_Assessment!$I$87</f>
        <v>Partial / Yellow</v>
      </c>
      <c r="L848" s="106" t="str">
        <f>B04_Assessment!$J$87</f>
        <v>Second-floor TR/panel scope; verify rack/equipment locations.</v>
      </c>
    </row>
    <row r="849" spans="1:12" ht="11.65" customHeight="1">
      <c r="A849" s="106" t="str">
        <f>B05_Assessment!$B$2</f>
        <v>05</v>
      </c>
      <c r="B849" s="106" t="str">
        <f>"B05_Assessment"</f>
        <v>B05_Assessment</v>
      </c>
      <c r="C849" s="106" t="str">
        <f>B05_Assessment!$A$73</f>
        <v>150</v>
      </c>
      <c r="D849" s="142">
        <f>B05_Assessment!$B$73</f>
        <v>0.5</v>
      </c>
      <c r="E849" s="142">
        <f>B05_Assessment!$C$73</f>
        <v>0.5</v>
      </c>
      <c r="F849" s="106" t="str">
        <f>B05_Assessment!$D$73</f>
        <v>N/A</v>
      </c>
      <c r="G849" s="106">
        <f>B05_Assessment!$E$73</f>
        <v>0.5</v>
      </c>
      <c r="H849" s="106">
        <f>B05_Assessment!$F$73</f>
        <v>0.5</v>
      </c>
      <c r="I849" s="106" t="str">
        <f>B05_Assessment!$G$73</f>
        <v>Verify</v>
      </c>
      <c r="J849" s="106">
        <f>B05_Assessment!$H$73</f>
        <v>0.5</v>
      </c>
      <c r="K849" s="106" t="str">
        <f>B05_Assessment!$I$73</f>
        <v>Partial / Yellow</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0.5</v>
      </c>
      <c r="E850" s="142">
        <f>B05_Assessment!$C$74</f>
        <v>0.5</v>
      </c>
      <c r="F850" s="106" t="str">
        <f>B05_Assessment!$D$74</f>
        <v>N/A</v>
      </c>
      <c r="G850" s="106">
        <f>B05_Assessment!$E$74</f>
        <v>0.5</v>
      </c>
      <c r="H850" s="106">
        <f>B05_Assessment!$F$74</f>
        <v>0.5</v>
      </c>
      <c r="I850" s="106" t="str">
        <f>B05_Assessment!$G$74</f>
        <v>Verify</v>
      </c>
      <c r="J850" s="106">
        <f>B05_Assessment!$H$74</f>
        <v>0.5</v>
      </c>
      <c r="K850" s="106" t="str">
        <f>B05_Assessment!$I$74</f>
        <v>Partial / Yellow</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0.5</v>
      </c>
      <c r="E851" s="142">
        <f>B06_Assessment!$C$85</f>
        <v>0.5</v>
      </c>
      <c r="F851" s="106">
        <f>B06_Assessment!$D$85</f>
        <v>0.5</v>
      </c>
      <c r="G851" s="106">
        <f>B06_Assessment!$E$85</f>
        <v>0.5</v>
      </c>
      <c r="H851" s="106">
        <f>B06_Assessment!$F$85</f>
        <v>0.5</v>
      </c>
      <c r="I851" s="106" t="str">
        <f>B06_Assessment!$G$85</f>
        <v>Verify</v>
      </c>
      <c r="J851" s="106">
        <f>B06_Assessment!$H$85</f>
        <v>0.5</v>
      </c>
      <c r="K851" s="106" t="str">
        <f>B06_Assessment!$I$85</f>
        <v>Partial / Yellow</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0.5</v>
      </c>
      <c r="E852" s="142">
        <f>B06_Assessment!$C$86</f>
        <v>0.5</v>
      </c>
      <c r="F852" s="106">
        <f>B06_Assessment!$D$86</f>
        <v>0.5</v>
      </c>
      <c r="G852" s="106">
        <f>B06_Assessment!$E$86</f>
        <v>0.5</v>
      </c>
      <c r="H852" s="106">
        <f>B06_Assessment!$F$86</f>
        <v>0.5</v>
      </c>
      <c r="I852" s="106" t="str">
        <f>B06_Assessment!$G$86</f>
        <v>Verify</v>
      </c>
      <c r="J852" s="106">
        <f>B06_Assessment!$H$86</f>
        <v>0.5</v>
      </c>
      <c r="K852" s="106" t="str">
        <f>B06_Assessment!$I$86</f>
        <v>Partial / Yellow</v>
      </c>
      <c r="L852" s="106" t="str">
        <f>B06_Assessment!$J$86</f>
        <v>First-floor TR with new cooling and electrical scope.</v>
      </c>
    </row>
    <row r="853" spans="1:12" ht="22.9" customHeight="1">
      <c r="A853" s="106" t="str">
        <f>B06_Assessment!$B$2</f>
        <v>06</v>
      </c>
      <c r="B853" s="106" t="str">
        <f>"B06_Assessment"</f>
        <v>B06_Assessment</v>
      </c>
      <c r="C853" s="106" t="str">
        <f>B06_Assessment!$A$87</f>
        <v>233</v>
      </c>
      <c r="D853" s="142">
        <f>B06_Assessment!$B$87</f>
        <v>0.5</v>
      </c>
      <c r="E853" s="142">
        <f>B06_Assessment!$C$87</f>
        <v>0.5</v>
      </c>
      <c r="F853" s="106">
        <f>B06_Assessment!$D$87</f>
        <v>0.5</v>
      </c>
      <c r="G853" s="106">
        <f>B06_Assessment!$E$87</f>
        <v>0.5</v>
      </c>
      <c r="H853" s="106">
        <f>B06_Assessment!$F$87</f>
        <v>0.5</v>
      </c>
      <c r="I853" s="106" t="str">
        <f>B06_Assessment!$G$87</f>
        <v>Verify</v>
      </c>
      <c r="J853" s="106">
        <f>B06_Assessment!$H$87</f>
        <v>0.5</v>
      </c>
      <c r="K853" s="106" t="str">
        <f>B06_Assessment!$I$87</f>
        <v>Partial / Yellow</v>
      </c>
      <c r="L853" s="106" t="str">
        <f>B06_Assessment!$J$87</f>
        <v>Second-floor TR/Data Closet with rated construction and future rack scope.</v>
      </c>
    </row>
    <row r="854" spans="1:12" ht="11.65" customHeight="1">
      <c r="A854" s="106" t="str">
        <f>B07_Assessment!$B$2</f>
        <v>07</v>
      </c>
      <c r="B854" s="106" t="str">
        <f>"B07_Assessment"</f>
        <v>B07_Assessment</v>
      </c>
      <c r="C854" s="106" t="str">
        <f>B07_Assessment!$A$77</f>
        <v>B-18</v>
      </c>
      <c r="D854" s="142">
        <f>B07_Assessment!$B$77</f>
        <v>0.5</v>
      </c>
      <c r="E854" s="142">
        <f>B07_Assessment!$C$77</f>
        <v>0.5</v>
      </c>
      <c r="F854" s="106">
        <f>B07_Assessment!$D$77</f>
        <v>0.5</v>
      </c>
      <c r="G854" s="106">
        <f>B07_Assessment!$E$77</f>
        <v>0.5</v>
      </c>
      <c r="H854" s="106">
        <f>B07_Assessment!$F$77</f>
        <v>0.5</v>
      </c>
      <c r="I854" s="106" t="str">
        <f>B07_Assessment!$G$77</f>
        <v>Verify</v>
      </c>
      <c r="J854" s="106">
        <f>B07_Assessment!$H$77</f>
        <v>0.5</v>
      </c>
      <c r="K854" s="106" t="str">
        <f>B07_Assessment!$I$77</f>
        <v>Partial / Yellow</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0.5</v>
      </c>
      <c r="E855" s="142">
        <f>B07_Assessment!$C$78</f>
        <v>0.5</v>
      </c>
      <c r="F855" s="106">
        <f>B07_Assessment!$D$78</f>
        <v>0.5</v>
      </c>
      <c r="G855" s="106">
        <f>B07_Assessment!$E$78</f>
        <v>0.5</v>
      </c>
      <c r="H855" s="106">
        <f>B07_Assessment!$F$78</f>
        <v>0.5</v>
      </c>
      <c r="I855" s="106" t="str">
        <f>B07_Assessment!$G$78</f>
        <v>Verify</v>
      </c>
      <c r="J855" s="106">
        <f>B07_Assessment!$H$78</f>
        <v>0.5</v>
      </c>
      <c r="K855" s="106" t="str">
        <f>B07_Assessment!$I$78</f>
        <v>Partial / Yellow</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0.5</v>
      </c>
      <c r="E856" s="142">
        <f>B08_Assessment!$C$85</f>
        <v>0.5</v>
      </c>
      <c r="F856" s="106">
        <f>B08_Assessment!$D$85</f>
        <v>0.5</v>
      </c>
      <c r="G856" s="106">
        <f>B08_Assessment!$E$85</f>
        <v>0.5</v>
      </c>
      <c r="H856" s="106">
        <f>B08_Assessment!$F$85</f>
        <v>0.5</v>
      </c>
      <c r="I856" s="106" t="str">
        <f>B08_Assessment!$G$85</f>
        <v>Verify</v>
      </c>
      <c r="J856" s="106">
        <f>B08_Assessment!$H$85</f>
        <v>0.5</v>
      </c>
      <c r="K856" s="106" t="str">
        <f>B08_Assessment!$I$85</f>
        <v>Partial / Yellow</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0.5</v>
      </c>
      <c r="E857" s="142">
        <f>B08_Assessment!$C$86</f>
        <v>0.5</v>
      </c>
      <c r="F857" s="106">
        <f>B08_Assessment!$D$86</f>
        <v>0.5</v>
      </c>
      <c r="G857" s="106">
        <f>B08_Assessment!$E$86</f>
        <v>0.5</v>
      </c>
      <c r="H857" s="106">
        <f>B08_Assessment!$F$86</f>
        <v>0.5</v>
      </c>
      <c r="I857" s="106" t="str">
        <f>B08_Assessment!$G$86</f>
        <v>Verify</v>
      </c>
      <c r="J857" s="106">
        <f>B08_Assessment!$H$86</f>
        <v>0.5</v>
      </c>
      <c r="K857" s="106" t="str">
        <f>B08_Assessment!$I$86</f>
        <v>Partial / Yellow</v>
      </c>
      <c r="L857" s="106" t="str">
        <f>B08_Assessment!$J$86</f>
        <v>Basement office/TE ambiguity requires field verification.</v>
      </c>
    </row>
    <row r="858" spans="1:12" ht="22.9" customHeight="1">
      <c r="A858" s="106" t="str">
        <f>B08_Assessment!$B$2</f>
        <v>08</v>
      </c>
      <c r="B858" s="106" t="str">
        <f>"B08_Assessment"</f>
        <v>B08_Assessment</v>
      </c>
      <c r="C858" s="106" t="str">
        <f>B08_Assessment!$A$87</f>
        <v>2065A</v>
      </c>
      <c r="D858" s="142">
        <f>B08_Assessment!$B$87</f>
        <v>0.5</v>
      </c>
      <c r="E858" s="142">
        <f>B08_Assessment!$C$87</f>
        <v>0.5</v>
      </c>
      <c r="F858" s="106">
        <f>B08_Assessment!$D$87</f>
        <v>0.5</v>
      </c>
      <c r="G858" s="106">
        <f>B08_Assessment!$E$87</f>
        <v>0.5</v>
      </c>
      <c r="H858" s="106">
        <f>B08_Assessment!$F$87</f>
        <v>0.5</v>
      </c>
      <c r="I858" s="106" t="str">
        <f>B08_Assessment!$G$87</f>
        <v>Verify</v>
      </c>
      <c r="J858" s="106">
        <f>B08_Assessment!$H$87</f>
        <v>0.5</v>
      </c>
      <c r="K858" s="106" t="str">
        <f>B08_Assessment!$I$87</f>
        <v>Partial / Yellow</v>
      </c>
      <c r="L858" s="106" t="str">
        <f>B08_Assessment!$J$87</f>
        <v>New second-floor TR with two racks, cooling, rated work and possible abatement.</v>
      </c>
    </row>
    <row r="859" spans="1:12" ht="22.9" customHeight="1">
      <c r="A859" s="106" t="str">
        <f>B09_Assessment!$B$2</f>
        <v>09</v>
      </c>
      <c r="B859" s="106" t="str">
        <f>"B09_Assessment"</f>
        <v>B09_Assessment</v>
      </c>
      <c r="C859" s="106" t="str">
        <f>B09_Assessment!$A$85</f>
        <v>B01</v>
      </c>
      <c r="D859" s="142">
        <f>B09_Assessment!$B$85</f>
        <v>0.5</v>
      </c>
      <c r="E859" s="142">
        <f>B09_Assessment!$C$85</f>
        <v>0.5</v>
      </c>
      <c r="F859" s="106">
        <f>B09_Assessment!$D$85</f>
        <v>0.5</v>
      </c>
      <c r="G859" s="106">
        <f>B09_Assessment!$E$85</f>
        <v>0.5</v>
      </c>
      <c r="H859" s="106">
        <f>B09_Assessment!$F$85</f>
        <v>0.5</v>
      </c>
      <c r="I859" s="106" t="str">
        <f>B09_Assessment!$G$85</f>
        <v>Verify</v>
      </c>
      <c r="J859" s="106">
        <f>B09_Assessment!$H$85</f>
        <v>0.5</v>
      </c>
      <c r="K859" s="106" t="str">
        <f>B09_Assessment!$I$85</f>
        <v>Partial / Yellow</v>
      </c>
      <c r="L859" s="106" t="str">
        <f>B09_Assessment!$J$85</f>
        <v>Basement TR with existing equipment and multiple panel/cooling dependencies.</v>
      </c>
    </row>
    <row r="860" spans="1:12" ht="29.1" customHeight="1">
      <c r="A860" s="106" t="str">
        <f>B09_Assessment!$B$2</f>
        <v>09</v>
      </c>
      <c r="B860" s="106" t="str">
        <f>"B09_Assessment"</f>
        <v>B09_Assessment</v>
      </c>
      <c r="C860" s="106" t="str">
        <f>B09_Assessment!$A$86</f>
        <v>104B</v>
      </c>
      <c r="D860" s="142">
        <f>B09_Assessment!$B$86</f>
        <v>0.5</v>
      </c>
      <c r="E860" s="142">
        <f>B09_Assessment!$C$86</f>
        <v>0.5</v>
      </c>
      <c r="F860" s="106">
        <f>B09_Assessment!$D$86</f>
        <v>0.5</v>
      </c>
      <c r="G860" s="106">
        <f>B09_Assessment!$E$86</f>
        <v>0.5</v>
      </c>
      <c r="H860" s="106">
        <f>B09_Assessment!$F$86</f>
        <v>0.5</v>
      </c>
      <c r="I860" s="106" t="str">
        <f>B09_Assessment!$G$86</f>
        <v>Verify</v>
      </c>
      <c r="J860" s="106">
        <f>B09_Assessment!$H$86</f>
        <v>0.5</v>
      </c>
      <c r="K860" s="106" t="str">
        <f>B09_Assessment!$I$86</f>
        <v>Partial / Yellow</v>
      </c>
      <c r="L860" s="106" t="str">
        <f>B09_Assessment!$J$86</f>
        <v>First-level TR with security/access control, cooling and rated wall/door coordination.</v>
      </c>
    </row>
    <row r="861" spans="1:12" ht="29.1" customHeight="1">
      <c r="A861" s="106" t="str">
        <f>B09_Assessment!$B$2</f>
        <v>09</v>
      </c>
      <c r="B861" s="106" t="str">
        <f>"B09_Assessment"</f>
        <v>B09_Assessment</v>
      </c>
      <c r="C861" s="106" t="str">
        <f>B09_Assessment!$A$87</f>
        <v>206A</v>
      </c>
      <c r="D861" s="142">
        <f>B09_Assessment!$B$87</f>
        <v>0.5</v>
      </c>
      <c r="E861" s="142">
        <f>B09_Assessment!$C$87</f>
        <v>0.5</v>
      </c>
      <c r="F861" s="106">
        <f>B09_Assessment!$D$87</f>
        <v>0.5</v>
      </c>
      <c r="G861" s="106">
        <f>B09_Assessment!$E$87</f>
        <v>0.5</v>
      </c>
      <c r="H861" s="106">
        <f>B09_Assessment!$F$87</f>
        <v>0.5</v>
      </c>
      <c r="I861" s="106" t="str">
        <f>B09_Assessment!$G$87</f>
        <v>Verify</v>
      </c>
      <c r="J861" s="106">
        <f>B09_Assessment!$H$87</f>
        <v>0.5</v>
      </c>
      <c r="K861" s="106" t="str">
        <f>B09_Assessment!$I$87</f>
        <v>Partial / Yellow</v>
      </c>
      <c r="L861" s="106" t="str">
        <f>B09_Assessment!$J$87</f>
        <v>Second-level TR adjacent to Nursing Service with cooling, electrical and fire/life-safety coordination.</v>
      </c>
    </row>
    <row r="862" spans="1:12" ht="34.9" customHeight="1">
      <c r="A862" s="106" t="str">
        <f>B10_Assessment!$B$2</f>
        <v>10</v>
      </c>
      <c r="B862" s="106" t="str">
        <f>"B10_Assessment"</f>
        <v>B10_Assessment</v>
      </c>
      <c r="C862" s="106" t="str">
        <f>B10_Assessment!$A$85</f>
        <v>200A</v>
      </c>
      <c r="D862" s="142">
        <f>B10_Assessment!$B$85</f>
        <v>0.5</v>
      </c>
      <c r="E862" s="142">
        <f>B10_Assessment!$C$85</f>
        <v>0.5</v>
      </c>
      <c r="F862" s="106">
        <f>B10_Assessment!$D$85</f>
        <v>0.5</v>
      </c>
      <c r="G862" s="106">
        <f>B10_Assessment!$E$85</f>
        <v>0.5</v>
      </c>
      <c r="H862" s="106">
        <f>B10_Assessment!$F$85</f>
        <v>0.5</v>
      </c>
      <c r="I862" s="106" t="str">
        <f>B10_Assessment!$G$85</f>
        <v>Verify</v>
      </c>
      <c r="J862" s="106">
        <f>B10_Assessment!$H$85</f>
        <v>0.5</v>
      </c>
      <c r="K862" s="106" t="str">
        <f>B10_Assessment!$I$85</f>
        <v>Partial / Yellow</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0.5</v>
      </c>
      <c r="E863" s="142">
        <f>B10_Assessment!$C$86</f>
        <v>0.5</v>
      </c>
      <c r="F863" s="106" t="str">
        <f>B10_Assessment!$D$86</f>
        <v>N/A</v>
      </c>
      <c r="G863" s="106">
        <f>B10_Assessment!$E$86</f>
        <v>0.5</v>
      </c>
      <c r="H863" s="106" t="str">
        <f>B10_Assessment!$F$86</f>
        <v>N/A</v>
      </c>
      <c r="I863" s="106" t="str">
        <f>B10_Assessment!$G$86</f>
        <v>Verify</v>
      </c>
      <c r="J863" s="106">
        <f>B10_Assessment!$H$86</f>
        <v>0.5</v>
      </c>
      <c r="K863" s="106" t="str">
        <f>B10_Assessment!$I$86</f>
        <v>Partial / Yellow</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0.5</v>
      </c>
      <c r="E864" s="142">
        <f>B10_Assessment!$C$87</f>
        <v>0.5</v>
      </c>
      <c r="F864" s="106" t="str">
        <f>B10_Assessment!$D$87</f>
        <v>N/A</v>
      </c>
      <c r="G864" s="106">
        <f>B10_Assessment!$E$87</f>
        <v>0.5</v>
      </c>
      <c r="H864" s="106" t="str">
        <f>B10_Assessment!$F$87</f>
        <v>N/A</v>
      </c>
      <c r="I864" s="106" t="str">
        <f>B10_Assessment!$G$87</f>
        <v>Verify</v>
      </c>
      <c r="J864" s="106">
        <f>B10_Assessment!$H$87</f>
        <v>0.5</v>
      </c>
      <c r="K864" s="106" t="str">
        <f>B10_Assessment!$I$87</f>
        <v>Partial / Yellow</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2.9"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4.9" customHeight="1">
      <c r="A867" s="106" t="str">
        <f>B13_Assessment!$B$2</f>
        <v>13</v>
      </c>
      <c r="B867" s="106" t="str">
        <f>"B13_Assessment"</f>
        <v>B13_Assessment</v>
      </c>
      <c r="C867" s="106" t="str">
        <f>B13_Assessment!$A$78</f>
        <v>124</v>
      </c>
      <c r="D867" s="142">
        <f>B13_Assessment!$B$78</f>
        <v>0.5</v>
      </c>
      <c r="E867" s="142">
        <f>B13_Assessment!$C$78</f>
        <v>0.5</v>
      </c>
      <c r="F867" s="106">
        <f>B13_Assessment!$D$78</f>
        <v>0.5</v>
      </c>
      <c r="G867" s="106">
        <f>B13_Assessment!$E$78</f>
        <v>0.5</v>
      </c>
      <c r="H867" s="106">
        <f>B13_Assessment!$F$78</f>
        <v>0.5</v>
      </c>
      <c r="I867" s="106" t="str">
        <f>B13_Assessment!$G$78</f>
        <v>Verify</v>
      </c>
      <c r="J867" s="106">
        <f>B13_Assessment!$H$78</f>
        <v>0.5</v>
      </c>
      <c r="K867" s="106" t="str">
        <f>B13_Assessment!$I$78</f>
        <v>Partial / Yellow</v>
      </c>
      <c r="L867" s="106" t="str">
        <f>B13_Assessment!$J$78</f>
        <v>New first-level TR with two racks, future rack, 240V UPS, cooling, access control and fire/life-safety coordination.</v>
      </c>
    </row>
    <row r="868" spans="1:12" ht="29.1" customHeight="1">
      <c r="A868" s="106" t="str">
        <f>B13_Assessment!$B$2</f>
        <v>13</v>
      </c>
      <c r="B868" s="106" t="str">
        <f>"B13_Assessment"</f>
        <v>B13_Assessment</v>
      </c>
      <c r="C868" s="106" t="str">
        <f>B13_Assessment!$A$79</f>
        <v>222</v>
      </c>
      <c r="D868" s="142">
        <f>B13_Assessment!$B$79</f>
        <v>0.5</v>
      </c>
      <c r="E868" s="142">
        <f>B13_Assessment!$C$79</f>
        <v>0.5</v>
      </c>
      <c r="F868" s="106">
        <f>B13_Assessment!$D$79</f>
        <v>0.5</v>
      </c>
      <c r="G868" s="106">
        <f>B13_Assessment!$E$79</f>
        <v>0.5</v>
      </c>
      <c r="H868" s="106">
        <f>B13_Assessment!$F$79</f>
        <v>0.5</v>
      </c>
      <c r="I868" s="106" t="str">
        <f>B13_Assessment!$G$79</f>
        <v>Verify</v>
      </c>
      <c r="J868" s="106">
        <f>B13_Assessment!$H$79</f>
        <v>0.5</v>
      </c>
      <c r="K868" s="106" t="str">
        <f>B13_Assessment!$I$79</f>
        <v>Partial / Yellow</v>
      </c>
      <c r="L868" s="106" t="str">
        <f>B13_Assessment!$J$79</f>
        <v>Existing second-level tel room and transition point; protect active services until cutover complete.</v>
      </c>
    </row>
    <row r="869" spans="1:12" ht="40.700000000000003" customHeight="1">
      <c r="A869" s="106" t="str">
        <f>B14_Assessment!$B$2</f>
        <v>14</v>
      </c>
      <c r="B869" s="106" t="str">
        <f>"B14_Assessment"</f>
        <v>B14_Assessment</v>
      </c>
      <c r="C869" s="106" t="str">
        <f>B14_Assessment!$A$85</f>
        <v>119</v>
      </c>
      <c r="D869" s="142">
        <f>B14_Assessment!$B$85</f>
        <v>0.5</v>
      </c>
      <c r="E869" s="142">
        <f>B14_Assessment!$C$85</f>
        <v>0.5</v>
      </c>
      <c r="F869" s="106">
        <f>B14_Assessment!$D$85</f>
        <v>0.5</v>
      </c>
      <c r="G869" s="106">
        <f>B14_Assessment!$E$85</f>
        <v>0.5</v>
      </c>
      <c r="H869" s="106">
        <f>B14_Assessment!$F$85</f>
        <v>0.5</v>
      </c>
      <c r="I869" s="106" t="str">
        <f>B14_Assessment!$G$85</f>
        <v>Verify</v>
      </c>
      <c r="J869" s="106">
        <f>B14_Assessment!$H$85</f>
        <v>0.5</v>
      </c>
      <c r="K869" s="106" t="str">
        <f>B14_Assessment!$I$85</f>
        <v>Partial / Yellow</v>
      </c>
      <c r="L869" s="106" t="str">
        <f>B14_Assessment!$J$85</f>
        <v>New first-level TR with one rack plus future rack, 240V UPS, cooling, access control, cable tray and fire/life-safety coordination.</v>
      </c>
    </row>
    <row r="870" spans="1:12" ht="29.1" customHeight="1">
      <c r="A870" s="106" t="str">
        <f>B14_Assessment!$B$2</f>
        <v>14</v>
      </c>
      <c r="B870" s="106" t="str">
        <f>"B14_Assessment"</f>
        <v>B14_Assessment</v>
      </c>
      <c r="C870" s="106" t="str">
        <f>B14_Assessment!$A$86</f>
        <v>B.01</v>
      </c>
      <c r="D870" s="142">
        <f>B14_Assessment!$B$86</f>
        <v>0.5</v>
      </c>
      <c r="E870" s="142">
        <f>B14_Assessment!$C$86</f>
        <v>0.5</v>
      </c>
      <c r="F870" s="106">
        <f>B14_Assessment!$D$86</f>
        <v>0.5</v>
      </c>
      <c r="G870" s="106">
        <f>B14_Assessment!$E$86</f>
        <v>0.5</v>
      </c>
      <c r="H870" s="106">
        <f>B14_Assessment!$F$86</f>
        <v>0.5</v>
      </c>
      <c r="I870" s="106" t="str">
        <f>B14_Assessment!$G$86</f>
        <v>Verify</v>
      </c>
      <c r="J870" s="106">
        <f>B14_Assessment!$H$86</f>
        <v>0.5</v>
      </c>
      <c r="K870" s="106" t="str">
        <f>B14_Assessment!$I$86</f>
        <v>Partial / Yellow</v>
      </c>
      <c r="L870" s="106" t="str">
        <f>B14_Assessment!$J$86</f>
        <v>Existing basement tel/fiber panel room and transition point; protect active services until cutover complete.</v>
      </c>
    </row>
    <row r="871" spans="1:12" ht="29.1" customHeight="1">
      <c r="A871" s="106" t="str">
        <f>B14_Assessment!$B$2</f>
        <v>14</v>
      </c>
      <c r="B871" s="106" t="str">
        <f>"B14_Assessment"</f>
        <v>B14_Assessment</v>
      </c>
      <c r="C871" s="106" t="str">
        <f>B14_Assessment!$A$87</f>
        <v>B2</v>
      </c>
      <c r="D871" s="142">
        <f>B14_Assessment!$B$87</f>
        <v>0.5</v>
      </c>
      <c r="E871" s="142">
        <f>B14_Assessment!$C$87</f>
        <v>0.5</v>
      </c>
      <c r="F871" s="106">
        <f>B14_Assessment!$D$87</f>
        <v>0.5</v>
      </c>
      <c r="G871" s="106">
        <f>B14_Assessment!$E$87</f>
        <v>0.5</v>
      </c>
      <c r="H871" s="106">
        <f>B14_Assessment!$F$87</f>
        <v>0.5</v>
      </c>
      <c r="I871" s="106" t="str">
        <f>B14_Assessment!$G$87</f>
        <v>Verify</v>
      </c>
      <c r="J871" s="106">
        <f>B14_Assessment!$H$87</f>
        <v>0.5</v>
      </c>
      <c r="K871" s="106" t="str">
        <f>B14_Assessment!$I$87</f>
        <v>Partial / Yellow</v>
      </c>
      <c r="L871" s="106" t="str">
        <f>B14_Assessment!$J$87</f>
        <v>Existing basement telecom room reference; field verify scope and active status.</v>
      </c>
    </row>
    <row r="872" spans="1:12" ht="40.700000000000003" customHeight="1">
      <c r="A872" s="106" t="str">
        <f>B15_Assessment!$B$2</f>
        <v>15</v>
      </c>
      <c r="B872" s="106" t="str">
        <f>"B15_Assessment"</f>
        <v>B15_Assessment</v>
      </c>
      <c r="C872" s="106" t="str">
        <f>B15_Assessment!$A$85</f>
        <v>124A</v>
      </c>
      <c r="D872" s="142">
        <f>B15_Assessment!$B$85</f>
        <v>0.5</v>
      </c>
      <c r="E872" s="142">
        <f>B15_Assessment!$C$85</f>
        <v>0.5</v>
      </c>
      <c r="F872" s="106">
        <f>B15_Assessment!$D$85</f>
        <v>0.5</v>
      </c>
      <c r="G872" s="106">
        <f>B15_Assessment!$E$85</f>
        <v>0.5</v>
      </c>
      <c r="H872" s="106">
        <f>B15_Assessment!$F$85</f>
        <v>0.5</v>
      </c>
      <c r="I872" s="106" t="str">
        <f>B15_Assessment!$G$85</f>
        <v>Verify</v>
      </c>
      <c r="J872" s="106">
        <f>B15_Assessment!$H$85</f>
        <v>0.5</v>
      </c>
      <c r="K872" s="106" t="str">
        <f>B15_Assessment!$I$85</f>
        <v>Partial / Yellow</v>
      </c>
      <c r="L872" s="106" t="str">
        <f>B15_Assessment!$J$85</f>
        <v>New first-level TR with one rack plus future rack, 240V UPS, heat-pump cooling, access control, cable tray and fire/life-safety coordination.</v>
      </c>
    </row>
    <row r="873" spans="1:12" ht="29.1" customHeight="1">
      <c r="A873" s="106" t="str">
        <f>B15_Assessment!$B$2</f>
        <v>15</v>
      </c>
      <c r="B873" s="106" t="str">
        <f>"B15_Assessment"</f>
        <v>B15_Assessment</v>
      </c>
      <c r="C873" s="106" t="str">
        <f>B15_Assessment!$A$86</f>
        <v>222</v>
      </c>
      <c r="D873" s="142">
        <f>B15_Assessment!$B$86</f>
        <v>0.5</v>
      </c>
      <c r="E873" s="142">
        <f>B15_Assessment!$C$86</f>
        <v>0.5</v>
      </c>
      <c r="F873" s="106">
        <f>B15_Assessment!$D$86</f>
        <v>0.5</v>
      </c>
      <c r="G873" s="106">
        <f>B15_Assessment!$E$86</f>
        <v>0.5</v>
      </c>
      <c r="H873" s="106">
        <f>B15_Assessment!$F$86</f>
        <v>0.5</v>
      </c>
      <c r="I873" s="106" t="str">
        <f>B15_Assessment!$G$86</f>
        <v>Verify</v>
      </c>
      <c r="J873" s="106">
        <f>B15_Assessment!$H$86</f>
        <v>0.5</v>
      </c>
      <c r="K873" s="106" t="str">
        <f>B15_Assessment!$I$86</f>
        <v>Partial / Yellow</v>
      </c>
      <c r="L873" s="106" t="str">
        <f>B15_Assessment!$J$86</f>
        <v>Existing second-level tel room and transition point; protect active services until cutover complete.</v>
      </c>
    </row>
    <row r="874" spans="1:12" ht="22.9" customHeight="1">
      <c r="A874" s="106" t="str">
        <f>B15_Assessment!$B$2</f>
        <v>15</v>
      </c>
      <c r="B874" s="106" t="str">
        <f>"B15_Assessment"</f>
        <v>B15_Assessment</v>
      </c>
      <c r="C874" s="106" t="str">
        <f>B15_Assessment!$A$87</f>
        <v>B01</v>
      </c>
      <c r="D874" s="142">
        <f>B15_Assessment!$B$87</f>
        <v>0.5</v>
      </c>
      <c r="E874" s="142">
        <f>B15_Assessment!$C$87</f>
        <v>0.5</v>
      </c>
      <c r="F874" s="106">
        <f>B15_Assessment!$D$87</f>
        <v>0.5</v>
      </c>
      <c r="G874" s="106">
        <f>B15_Assessment!$E$87</f>
        <v>0.5</v>
      </c>
      <c r="H874" s="106">
        <f>B15_Assessment!$F$87</f>
        <v>0.5</v>
      </c>
      <c r="I874" s="106" t="str">
        <f>B15_Assessment!$G$87</f>
        <v>Verify</v>
      </c>
      <c r="J874" s="106">
        <f>B15_Assessment!$H$87</f>
        <v>0.5</v>
      </c>
      <c r="K874" s="106" t="str">
        <f>B15_Assessment!$I$87</f>
        <v>Partial / Yellow</v>
      </c>
      <c r="L874" s="106" t="str">
        <f>B15_Assessment!$J$87</f>
        <v>Existing basement telecom/crossover room; field verify scope and active status.</v>
      </c>
    </row>
    <row r="875" spans="1:12" ht="40.700000000000003" customHeight="1">
      <c r="A875" s="106" t="str">
        <f>B16_Assessment!$B$2</f>
        <v>16</v>
      </c>
      <c r="B875" s="106" t="str">
        <f>"B16_Assessment"</f>
        <v>B16_Assessment</v>
      </c>
      <c r="C875" s="106" t="str">
        <f>B16_Assessment!$A$78</f>
        <v>015</v>
      </c>
      <c r="D875" s="142">
        <f>B16_Assessment!$B$78</f>
        <v>0.5</v>
      </c>
      <c r="E875" s="142">
        <f>B16_Assessment!$C$78</f>
        <v>0.5</v>
      </c>
      <c r="F875" s="106">
        <f>B16_Assessment!$D$78</f>
        <v>0.5</v>
      </c>
      <c r="G875" s="106">
        <f>B16_Assessment!$E$78</f>
        <v>0.5</v>
      </c>
      <c r="H875" s="106">
        <f>B16_Assessment!$F$78</f>
        <v>0.5</v>
      </c>
      <c r="I875" s="106" t="str">
        <f>B16_Assessment!$G$78</f>
        <v>Verify</v>
      </c>
      <c r="J875" s="106">
        <f>B16_Assessment!$H$78</f>
        <v>0.5</v>
      </c>
      <c r="K875" s="106" t="str">
        <f>B16_Assessment!$I$78</f>
        <v>Partial / Yellow</v>
      </c>
      <c r="L875" s="106" t="str">
        <f>B16_Assessment!$J$78</f>
        <v>New basement TR with one rack plus future rack, 240V UPS, cooling, access control, cable tray and fire/life-safety coordination.</v>
      </c>
    </row>
    <row r="876" spans="1:12" ht="29.1" customHeight="1">
      <c r="A876" s="106" t="str">
        <f>B16_Assessment!$B$2</f>
        <v>16</v>
      </c>
      <c r="B876" s="106" t="str">
        <f>"B16_Assessment"</f>
        <v>B16_Assessment</v>
      </c>
      <c r="C876" s="106" t="str">
        <f>B16_Assessment!$A$79</f>
        <v>014</v>
      </c>
      <c r="D876" s="142">
        <f>B16_Assessment!$B$79</f>
        <v>0.5</v>
      </c>
      <c r="E876" s="142">
        <f>B16_Assessment!$C$79</f>
        <v>0.5</v>
      </c>
      <c r="F876" s="106">
        <f>B16_Assessment!$D$79</f>
        <v>0.5</v>
      </c>
      <c r="G876" s="106">
        <f>B16_Assessment!$E$79</f>
        <v>0.5</v>
      </c>
      <c r="H876" s="106">
        <f>B16_Assessment!$F$79</f>
        <v>0.5</v>
      </c>
      <c r="I876" s="106" t="str">
        <f>B16_Assessment!$G$79</f>
        <v>Verify</v>
      </c>
      <c r="J876" s="106">
        <f>B16_Assessment!$H$79</f>
        <v>0.5</v>
      </c>
      <c r="K876" s="106" t="str">
        <f>B16_Assessment!$I$79</f>
        <v>Partial / Yellow</v>
      </c>
      <c r="L876" s="106" t="str">
        <f>B16_Assessment!$J$79</f>
        <v>Existing basement telecom room and transition point; protect active services until cutover complete.</v>
      </c>
    </row>
    <row r="877" spans="1:12" ht="40.700000000000003" customHeight="1">
      <c r="A877" s="106" t="str">
        <f>B17_Assessment!$B$2</f>
        <v>17</v>
      </c>
      <c r="B877" s="106" t="str">
        <f>"B17_Assessment"</f>
        <v>B17_Assessment</v>
      </c>
      <c r="C877" s="106" t="str">
        <f>B17_Assessment!$A$85</f>
        <v>118</v>
      </c>
      <c r="D877" s="142">
        <f>B17_Assessment!$B$85</f>
        <v>0.5</v>
      </c>
      <c r="E877" s="142">
        <f>B17_Assessment!$C$85</f>
        <v>0.5</v>
      </c>
      <c r="F877" s="106">
        <f>B17_Assessment!$D$85</f>
        <v>0.5</v>
      </c>
      <c r="G877" s="106">
        <f>B17_Assessment!$E$85</f>
        <v>0.5</v>
      </c>
      <c r="H877" s="106">
        <f>B17_Assessment!$F$85</f>
        <v>0.5</v>
      </c>
      <c r="I877" s="106" t="str">
        <f>B17_Assessment!$G$85</f>
        <v>Verify</v>
      </c>
      <c r="J877" s="106">
        <f>B17_Assessment!$H$85</f>
        <v>0.5</v>
      </c>
      <c r="K877" s="106" t="str">
        <f>B17_Assessment!$I$85</f>
        <v>Partial / Yellow</v>
      </c>
      <c r="L877" s="106" t="str">
        <f>B17_Assessment!$J$85</f>
        <v>New first-level TR with one rack plus future rack, 208V UPS, cooling, access control, 517 ft cable tray and B29 service coordination.</v>
      </c>
    </row>
    <row r="878" spans="1:12" ht="29.1" customHeight="1">
      <c r="A878" s="106" t="str">
        <f>B17_Assessment!$B$2</f>
        <v>17</v>
      </c>
      <c r="B878" s="106" t="str">
        <f>"B17_Assessment"</f>
        <v>B17_Assessment</v>
      </c>
      <c r="C878" s="106" t="str">
        <f>B17_Assessment!$A$86</f>
        <v>B35A</v>
      </c>
      <c r="D878" s="142">
        <f>B17_Assessment!$B$86</f>
        <v>0.5</v>
      </c>
      <c r="E878" s="142">
        <f>B17_Assessment!$C$86</f>
        <v>0.5</v>
      </c>
      <c r="F878" s="106">
        <f>B17_Assessment!$D$86</f>
        <v>0.5</v>
      </c>
      <c r="G878" s="106">
        <f>B17_Assessment!$E$86</f>
        <v>0.5</v>
      </c>
      <c r="H878" s="106">
        <f>B17_Assessment!$F$86</f>
        <v>0.5</v>
      </c>
      <c r="I878" s="106" t="str">
        <f>B17_Assessment!$G$86</f>
        <v>Verify</v>
      </c>
      <c r="J878" s="106">
        <f>B17_Assessment!$H$86</f>
        <v>0.5</v>
      </c>
      <c r="K878" s="106" t="str">
        <f>B17_Assessment!$I$86</f>
        <v>Partial / Yellow</v>
      </c>
      <c r="L878" s="106" t="str">
        <f>B17_Assessment!$J$86</f>
        <v>Existing basement telecom closet and transition point; protect active services until cutover complete.</v>
      </c>
    </row>
    <row r="879" spans="1:12" ht="29.1" customHeight="1">
      <c r="A879" s="106" t="str">
        <f>B17_Assessment!$B$2</f>
        <v>17</v>
      </c>
      <c r="B879" s="106" t="str">
        <f>"B17_Assessment"</f>
        <v>B17_Assessment</v>
      </c>
      <c r="C879" s="106" t="str">
        <f>B17_Assessment!$A$87</f>
        <v>B29 Path</v>
      </c>
      <c r="D879" s="142">
        <f>B17_Assessment!$B$87</f>
        <v>0.5</v>
      </c>
      <c r="E879" s="142">
        <f>B17_Assessment!$C$87</f>
        <v>0.5</v>
      </c>
      <c r="F879" s="106" t="str">
        <f>B17_Assessment!$D$87</f>
        <v>N/A</v>
      </c>
      <c r="G879" s="106">
        <f>B17_Assessment!$E$87</f>
        <v>0.5</v>
      </c>
      <c r="H879" s="106">
        <f>B17_Assessment!$F$87</f>
        <v>0.5</v>
      </c>
      <c r="I879" s="106" t="str">
        <f>B17_Assessment!$G$87</f>
        <v>Verify</v>
      </c>
      <c r="J879" s="106">
        <f>B17_Assessment!$H$87</f>
        <v>0.5</v>
      </c>
      <c r="K879" s="106" t="str">
        <f>B17_Assessment!$I$87</f>
        <v>Partial / Yellow</v>
      </c>
      <c r="L879" s="106" t="str">
        <f>B17_Assessment!$J$87</f>
        <v>Building 29 served from B17; verify pathway, fiber, labeling, test records and PMIS mapping.</v>
      </c>
    </row>
    <row r="880" spans="1:12" ht="40.700000000000003" customHeight="1">
      <c r="A880" s="106" t="str">
        <f>B18_Assessment!$B$2</f>
        <v>18</v>
      </c>
      <c r="B880" s="106" t="str">
        <f>"B18_Assessment"</f>
        <v>B18_Assessment</v>
      </c>
      <c r="C880" s="106" t="str">
        <f>B18_Assessment!$A$85</f>
        <v>110</v>
      </c>
      <c r="D880" s="142">
        <f>B18_Assessment!$B$85</f>
        <v>0.5</v>
      </c>
      <c r="E880" s="142">
        <f>B18_Assessment!$C$85</f>
        <v>0.5</v>
      </c>
      <c r="F880" s="106">
        <f>B18_Assessment!$D$85</f>
        <v>0.5</v>
      </c>
      <c r="G880" s="106">
        <f>B18_Assessment!$E$85</f>
        <v>0.5</v>
      </c>
      <c r="H880" s="106">
        <f>B18_Assessment!$F$85</f>
        <v>0.5</v>
      </c>
      <c r="I880" s="106" t="str">
        <f>B18_Assessment!$G$85</f>
        <v>Verify</v>
      </c>
      <c r="J880" s="106">
        <f>B18_Assessment!$H$85</f>
        <v>0.5</v>
      </c>
      <c r="K880" s="106" t="str">
        <f>B18_Assessment!$I$85</f>
        <v>Partial / Yellow</v>
      </c>
      <c r="L880" s="106" t="str">
        <f>B18_Assessment!$J$85</f>
        <v>New first-level TR with one rack plus future rack, 208V UPS, cooling, access control, 315 ft cable tray and fire/life-safety coordination.</v>
      </c>
    </row>
    <row r="881" spans="1:12" ht="22.9" customHeight="1">
      <c r="A881" s="106" t="str">
        <f>B18_Assessment!$B$2</f>
        <v>18</v>
      </c>
      <c r="B881" s="106" t="str">
        <f>"B18_Assessment"</f>
        <v>B18_Assessment</v>
      </c>
      <c r="C881" s="106" t="str">
        <f>B18_Assessment!$A$86</f>
        <v>111B</v>
      </c>
      <c r="D881" s="142">
        <f>B18_Assessment!$B$86</f>
        <v>0.5</v>
      </c>
      <c r="E881" s="142">
        <f>B18_Assessment!$C$86</f>
        <v>0.5</v>
      </c>
      <c r="F881" s="106">
        <f>B18_Assessment!$D$86</f>
        <v>0.5</v>
      </c>
      <c r="G881" s="106">
        <f>B18_Assessment!$E$86</f>
        <v>0.5</v>
      </c>
      <c r="H881" s="106">
        <f>B18_Assessment!$F$86</f>
        <v>0.5</v>
      </c>
      <c r="I881" s="106" t="str">
        <f>B18_Assessment!$G$86</f>
        <v>Verify</v>
      </c>
      <c r="J881" s="106">
        <f>B18_Assessment!$H$86</f>
        <v>0.5</v>
      </c>
      <c r="K881" s="106" t="str">
        <f>B18_Assessment!$I$86</f>
        <v>Partial / Yellow</v>
      </c>
      <c r="L881" s="106" t="str">
        <f>B18_Assessment!$J$86</f>
        <v>Existing first-level TE and transition point; protect active services until cutover complete.</v>
      </c>
    </row>
    <row r="882" spans="1:12" ht="29.1" customHeight="1">
      <c r="A882" s="106" t="str">
        <f>B18_Assessment!$B$2</f>
        <v>18</v>
      </c>
      <c r="B882" s="106" t="str">
        <f>"B18_Assessment"</f>
        <v>B18_Assessment</v>
      </c>
      <c r="C882" s="106" t="str">
        <f>B18_Assessment!$A$87</f>
        <v>213</v>
      </c>
      <c r="D882" s="142">
        <f>B18_Assessment!$B$87</f>
        <v>0.5</v>
      </c>
      <c r="E882" s="142">
        <f>B18_Assessment!$C$87</f>
        <v>0.5</v>
      </c>
      <c r="F882" s="106">
        <f>B18_Assessment!$D$87</f>
        <v>0.5</v>
      </c>
      <c r="G882" s="106">
        <f>B18_Assessment!$E$87</f>
        <v>0.5</v>
      </c>
      <c r="H882" s="106">
        <f>B18_Assessment!$F$87</f>
        <v>0.5</v>
      </c>
      <c r="I882" s="106" t="str">
        <f>B18_Assessment!$G$87</f>
        <v>Verify</v>
      </c>
      <c r="J882" s="106">
        <f>B18_Assessment!$H$87</f>
        <v>0.5</v>
      </c>
      <c r="K882" s="106" t="str">
        <f>B18_Assessment!$I$87</f>
        <v>Partial / Yellow</v>
      </c>
      <c r="L882" s="106" t="str">
        <f>B18_Assessment!$J$87</f>
        <v>Existing second-level telecom closet and transition point; protect active services until cutover complete.</v>
      </c>
    </row>
    <row r="883" spans="1:12" ht="40.700000000000003" customHeight="1">
      <c r="A883" s="106" t="str">
        <f>B20_Assessment!$B$2</f>
        <v>20</v>
      </c>
      <c r="B883" s="106" t="str">
        <f>"B20_Assessment"</f>
        <v>B20_Assessment</v>
      </c>
      <c r="C883" s="106" t="str">
        <f>B20_Assessment!$A$78</f>
        <v>1B</v>
      </c>
      <c r="D883" s="142">
        <f>B20_Assessment!$B$78</f>
        <v>0.5</v>
      </c>
      <c r="E883" s="142">
        <f>B20_Assessment!$C$78</f>
        <v>0.5</v>
      </c>
      <c r="F883" s="106" t="str">
        <f>B20_Assessment!$D$78</f>
        <v>N/A / Verify</v>
      </c>
      <c r="G883" s="106">
        <f>B20_Assessment!$E$78</f>
        <v>0.5</v>
      </c>
      <c r="H883" s="106">
        <f>B20_Assessment!$F$78</f>
        <v>0.5</v>
      </c>
      <c r="I883" s="106" t="str">
        <f>B20_Assessment!$G$78</f>
        <v>Verify</v>
      </c>
      <c r="J883" s="106">
        <f>B20_Assessment!$H$78</f>
        <v>0.5</v>
      </c>
      <c r="K883" s="106" t="str">
        <f>B20_Assessment!$I$78</f>
        <v>Partial / Yellow</v>
      </c>
      <c r="L883" s="106" t="str">
        <f>B20_Assessment!$J$78</f>
        <v>New first-level Office TE with 12RU wall enclosure, UPS/PDU, 459 ft cable tray, fiber/copper cutover and no dedicated mechanical/FP scope.</v>
      </c>
    </row>
    <row r="884" spans="1:12" ht="29.1" customHeight="1">
      <c r="A884" s="106" t="str">
        <f>B20_Assessment!$B$2</f>
        <v>20</v>
      </c>
      <c r="B884" s="106" t="str">
        <f>"B20_Assessment"</f>
        <v>B20_Assessment</v>
      </c>
      <c r="C884" s="106" t="str">
        <f>B20_Assessment!$A$79</f>
        <v>8A</v>
      </c>
      <c r="D884" s="142">
        <f>B20_Assessment!$B$79</f>
        <v>0.5</v>
      </c>
      <c r="E884" s="142">
        <f>B20_Assessment!$C$79</f>
        <v>0.5</v>
      </c>
      <c r="F884" s="106">
        <f>B20_Assessment!$D$79</f>
        <v>0.5</v>
      </c>
      <c r="G884" s="106">
        <f>B20_Assessment!$E$79</f>
        <v>0.5</v>
      </c>
      <c r="H884" s="106">
        <f>B20_Assessment!$F$79</f>
        <v>0.5</v>
      </c>
      <c r="I884" s="106" t="str">
        <f>B20_Assessment!$G$79</f>
        <v>Verify</v>
      </c>
      <c r="J884" s="106">
        <f>B20_Assessment!$H$79</f>
        <v>0.5</v>
      </c>
      <c r="K884" s="106" t="str">
        <f>B20_Assessment!$I$79</f>
        <v>Partial / Yellow</v>
      </c>
      <c r="L884" s="106" t="str">
        <f>B20_Assessment!$J$79</f>
        <v>Existing Tel/Data Closet and transition point; protect active services until cutover complete.</v>
      </c>
    </row>
    <row r="885" spans="1:12" ht="40.700000000000003" customHeight="1">
      <c r="A885" s="106" t="str">
        <f>B21_Assessment!$B$2</f>
        <v>21</v>
      </c>
      <c r="B885" s="106" t="str">
        <f>"B21_Assessment"</f>
        <v>B21_Assessment</v>
      </c>
      <c r="C885" s="106" t="str">
        <f>B21_Assessment!$A$85</f>
        <v>100A</v>
      </c>
      <c r="D885" s="142">
        <f>B21_Assessment!$B$85</f>
        <v>0.5</v>
      </c>
      <c r="E885" s="142">
        <f>B21_Assessment!$C$85</f>
        <v>0.5</v>
      </c>
      <c r="F885" s="106">
        <f>B21_Assessment!$D$85</f>
        <v>0.5</v>
      </c>
      <c r="G885" s="106">
        <f>B21_Assessment!$E$85</f>
        <v>0.5</v>
      </c>
      <c r="H885" s="106">
        <f>B21_Assessment!$F$85</f>
        <v>0.5</v>
      </c>
      <c r="I885" s="106" t="str">
        <f>B21_Assessment!$G$85</f>
        <v>Verify</v>
      </c>
      <c r="J885" s="106">
        <f>B21_Assessment!$H$85</f>
        <v>0.5</v>
      </c>
      <c r="K885" s="106" t="str">
        <f>B21_Assessment!$I$85</f>
        <v>Partial / Yellow</v>
      </c>
      <c r="L885" s="106" t="str">
        <f>B21_Assessment!$J$85</f>
        <v>New first-level TE with 12RU wall enclosure, UPS/PDU, 659 ft cable tray, fiber/copper cutover and B19/B21 room naming coordination.</v>
      </c>
    </row>
    <row r="886" spans="1:12" ht="29.1" customHeight="1">
      <c r="A886" s="106" t="str">
        <f>B21_Assessment!$B$2</f>
        <v>21</v>
      </c>
      <c r="B886" s="106" t="str">
        <f>"B21_Assessment"</f>
        <v>B21_Assessment</v>
      </c>
      <c r="C886" s="106" t="str">
        <f>B21_Assessment!$A$86</f>
        <v>B1.TR</v>
      </c>
      <c r="D886" s="142">
        <f>B21_Assessment!$B$86</f>
        <v>0.5</v>
      </c>
      <c r="E886" s="142">
        <f>B21_Assessment!$C$86</f>
        <v>0.5</v>
      </c>
      <c r="F886" s="106">
        <f>B21_Assessment!$D$86</f>
        <v>0.5</v>
      </c>
      <c r="G886" s="106">
        <f>B21_Assessment!$E$86</f>
        <v>0.5</v>
      </c>
      <c r="H886" s="106">
        <f>B21_Assessment!$F$86</f>
        <v>0.5</v>
      </c>
      <c r="I886" s="106" t="str">
        <f>B21_Assessment!$G$86</f>
        <v>Verify</v>
      </c>
      <c r="J886" s="106">
        <f>B21_Assessment!$H$86</f>
        <v>0.5</v>
      </c>
      <c r="K886" s="106" t="str">
        <f>B21_Assessment!$I$86</f>
        <v>Partial / Yellow</v>
      </c>
      <c r="L886" s="106" t="str">
        <f>B21_Assessment!$J$86</f>
        <v>Existing Building 21 basement telecom transition point; protect active services until cutover complete.</v>
      </c>
    </row>
    <row r="887" spans="1:12" ht="29.1" customHeight="1">
      <c r="A887" s="106" t="str">
        <f>B21_Assessment!$B$2</f>
        <v>21</v>
      </c>
      <c r="B887" s="106" t="str">
        <f>"B21_Assessment"</f>
        <v>B21_Assessment</v>
      </c>
      <c r="C887" s="106" t="str">
        <f>B21_Assessment!$A$87</f>
        <v>B05TR</v>
      </c>
      <c r="D887" s="142">
        <f>B21_Assessment!$B$87</f>
        <v>0.5</v>
      </c>
      <c r="E887" s="142">
        <f>B21_Assessment!$C$87</f>
        <v>0.5</v>
      </c>
      <c r="F887" s="106">
        <f>B21_Assessment!$D$87</f>
        <v>0.5</v>
      </c>
      <c r="G887" s="106">
        <f>B21_Assessment!$E$87</f>
        <v>0.5</v>
      </c>
      <c r="H887" s="106">
        <f>B21_Assessment!$F$87</f>
        <v>0.5</v>
      </c>
      <c r="I887" s="106" t="str">
        <f>B21_Assessment!$G$87</f>
        <v>Verify</v>
      </c>
      <c r="J887" s="106">
        <f>B21_Assessment!$H$87</f>
        <v>0.5</v>
      </c>
      <c r="K887" s="106" t="str">
        <f>B21_Assessment!$I$87</f>
        <v>Partial / Yellow</v>
      </c>
      <c r="L887" s="106" t="str">
        <f>B21_Assessment!$J$87</f>
        <v>Existing Building 19 telecom transition point tied into Building 21 scope; confirm shared service boundary.</v>
      </c>
    </row>
    <row r="888" spans="1:12" ht="46.35" customHeight="1">
      <c r="A888" s="106" t="str">
        <f>B22_Assessment!$B$2</f>
        <v>22</v>
      </c>
      <c r="B888" s="106" t="str">
        <f>"B22_Assessment"</f>
        <v>B22_Assessment</v>
      </c>
      <c r="C888" s="106" t="str">
        <f>B22_Assessment!$A$78</f>
        <v>102</v>
      </c>
      <c r="D888" s="142">
        <f>B22_Assessment!$B$78</f>
        <v>0.5</v>
      </c>
      <c r="E888" s="142">
        <f>B22_Assessment!$C$78</f>
        <v>0.5</v>
      </c>
      <c r="F888" s="106" t="str">
        <f>B22_Assessment!$D$78</f>
        <v>N/A / Verify</v>
      </c>
      <c r="G888" s="106">
        <f>B22_Assessment!$E$78</f>
        <v>0.5</v>
      </c>
      <c r="H888" s="106">
        <f>B22_Assessment!$F$78</f>
        <v>0.5</v>
      </c>
      <c r="I888" s="106" t="str">
        <f>B22_Assessment!$G$78</f>
        <v>Verify</v>
      </c>
      <c r="J888" s="106">
        <f>B22_Assessment!$H$78</f>
        <v>0.5</v>
      </c>
      <c r="K888" s="106" t="str">
        <f>B22_Assessment!$I$78</f>
        <v>Partial / Yellow</v>
      </c>
      <c r="L888" s="106" t="str">
        <f>B22_Assessment!$J$78</f>
        <v>New first-level Break Room TE with 12RU wall enclosure, UPS/PDU, 139 ft cable tray, fiber/copper cutover and no dedicated mechanical/FP scope.</v>
      </c>
    </row>
    <row r="889" spans="1:12" ht="29.1" customHeight="1">
      <c r="A889" s="106" t="str">
        <f>B22_Assessment!$B$2</f>
        <v>22</v>
      </c>
      <c r="B889" s="106" t="str">
        <f>"B22_Assessment"</f>
        <v>B22_Assessment</v>
      </c>
      <c r="C889" s="106" t="str">
        <f>B22_Assessment!$A$79</f>
        <v>103</v>
      </c>
      <c r="D889" s="142">
        <f>B22_Assessment!$B$79</f>
        <v>0.5</v>
      </c>
      <c r="E889" s="142">
        <f>B22_Assessment!$C$79</f>
        <v>0.5</v>
      </c>
      <c r="F889" s="106">
        <f>B22_Assessment!$D$79</f>
        <v>0.5</v>
      </c>
      <c r="G889" s="106">
        <f>B22_Assessment!$E$79</f>
        <v>0.5</v>
      </c>
      <c r="H889" s="106">
        <f>B22_Assessment!$F$79</f>
        <v>0.5</v>
      </c>
      <c r="I889" s="106" t="str">
        <f>B22_Assessment!$G$79</f>
        <v>Verify</v>
      </c>
      <c r="J889" s="106">
        <f>B22_Assessment!$H$79</f>
        <v>0.5</v>
      </c>
      <c r="K889" s="106" t="str">
        <f>B22_Assessment!$I$79</f>
        <v>Partial / Yellow</v>
      </c>
      <c r="L889" s="106" t="str">
        <f>B22_Assessment!$J$79</f>
        <v>Existing wall/wall-mount TE and transition point; protect active services until cutover complete.</v>
      </c>
    </row>
    <row r="890" spans="1:12" ht="40.700000000000003" customHeight="1">
      <c r="A890" s="106" t="str">
        <f>B33_Assessment!$B$2</f>
        <v>33</v>
      </c>
      <c r="B890" s="106" t="str">
        <f>"B33_Assessment"</f>
        <v>B33_Assessment</v>
      </c>
      <c r="C890" s="106" t="str">
        <f>B33_Assessment!$A$78</f>
        <v>B23</v>
      </c>
      <c r="D890" s="142">
        <f>B33_Assessment!$B$78</f>
        <v>0.5</v>
      </c>
      <c r="E890" s="142">
        <f>B33_Assessment!$C$78</f>
        <v>0.5</v>
      </c>
      <c r="F890" s="106" t="str">
        <f>B33_Assessment!$D$78</f>
        <v>N/A / Verify</v>
      </c>
      <c r="G890" s="106">
        <f>B33_Assessment!$E$78</f>
        <v>0.5</v>
      </c>
      <c r="H890" s="106">
        <f>B33_Assessment!$F$78</f>
        <v>0.5</v>
      </c>
      <c r="I890" s="106" t="str">
        <f>B33_Assessment!$G$78</f>
        <v>Verify</v>
      </c>
      <c r="J890" s="106">
        <f>B33_Assessment!$H$78</f>
        <v>0.5</v>
      </c>
      <c r="K890" s="106" t="str">
        <f>B33_Assessment!$I$78</f>
        <v>Partial / Yellow</v>
      </c>
      <c r="L890" s="106" t="str">
        <f>B33_Assessment!$J$78</f>
        <v>New basement office TE with 12RU wall enclosure, UPS/PDU, 102 ft cable tray, fiber/copper cutover and no dedicated mechanical/FP scope.</v>
      </c>
    </row>
    <row r="891" spans="1:12" ht="22.9" customHeight="1">
      <c r="A891" s="106" t="str">
        <f>B33_Assessment!$B$2</f>
        <v>33</v>
      </c>
      <c r="B891" s="106" t="str">
        <f>"B33_Assessment"</f>
        <v>B33_Assessment</v>
      </c>
      <c r="C891" s="106" t="str">
        <f>B33_Assessment!$A$79</f>
        <v>B17</v>
      </c>
      <c r="D891" s="142">
        <f>B33_Assessment!$B$79</f>
        <v>0.5</v>
      </c>
      <c r="E891" s="142">
        <f>B33_Assessment!$C$79</f>
        <v>0.5</v>
      </c>
      <c r="F891" s="106">
        <f>B33_Assessment!$D$79</f>
        <v>0.5</v>
      </c>
      <c r="G891" s="106">
        <f>B33_Assessment!$E$79</f>
        <v>0.5</v>
      </c>
      <c r="H891" s="106">
        <f>B33_Assessment!$F$79</f>
        <v>0.5</v>
      </c>
      <c r="I891" s="106" t="str">
        <f>B33_Assessment!$G$79</f>
        <v>Verify</v>
      </c>
      <c r="J891" s="106">
        <f>B33_Assessment!$H$79</f>
        <v>0.5</v>
      </c>
      <c r="K891" s="106" t="str">
        <f>B33_Assessment!$I$79</f>
        <v>Partial / Yellow</v>
      </c>
      <c r="L891" s="106" t="str">
        <f>B33_Assessment!$J$79</f>
        <v>Existing Tel Closet and transition point; protect active services until cutover complete.</v>
      </c>
    </row>
    <row r="892" spans="1:12" ht="34.9" customHeight="1">
      <c r="A892" s="106" t="str">
        <f>B61_Assessment!$B$2</f>
        <v>61</v>
      </c>
      <c r="B892" s="106" t="str">
        <f>"B61_Assessment"</f>
        <v>B61_Assessment</v>
      </c>
      <c r="C892" s="106" t="str">
        <f>B61_Assessment!$A$92</f>
        <v>B13H-A</v>
      </c>
      <c r="D892" s="142">
        <f>B61_Assessment!$B$92</f>
        <v>0</v>
      </c>
      <c r="E892" s="142">
        <f>B61_Assessment!$C$92</f>
        <v>0</v>
      </c>
      <c r="F892" s="106">
        <f>B61_Assessment!$D$92</f>
        <v>0</v>
      </c>
      <c r="G892" s="106">
        <f>B61_Assessment!$E$92</f>
        <v>0</v>
      </c>
      <c r="H892" s="106">
        <f>B61_Assessment!$F$92</f>
        <v>0</v>
      </c>
      <c r="I892" s="106" t="str">
        <f>B61_Assessment!$G$92</f>
        <v>Verify</v>
      </c>
      <c r="J892" s="106">
        <f>B61_Assessment!$H$92</f>
        <v>0</v>
      </c>
      <c r="K892" s="106" t="str">
        <f>B61_Assessment!$I$92</f>
        <v>Verify</v>
      </c>
      <c r="L892" s="106" t="str">
        <f>B61_Assessment!$J$92</f>
        <v>Basement TR with 142 total ports including allowance, dedicated cooling, UPS/PDU, cable tray and fire/life-safety scope.</v>
      </c>
    </row>
    <row r="893" spans="1:12" ht="34.9" customHeight="1">
      <c r="A893" s="106" t="str">
        <f>B61_Assessment!$B$2</f>
        <v>61</v>
      </c>
      <c r="B893" s="106" t="str">
        <f>"B61_Assessment"</f>
        <v>B61_Assessment</v>
      </c>
      <c r="C893" s="106" t="str">
        <f>B61_Assessment!$A$93</f>
        <v>124</v>
      </c>
      <c r="D893" s="142">
        <f>B61_Assessment!$B$93</f>
        <v>0</v>
      </c>
      <c r="E893" s="142">
        <f>B61_Assessment!$C$93</f>
        <v>0</v>
      </c>
      <c r="F893" s="106">
        <f>B61_Assessment!$D$93</f>
        <v>0</v>
      </c>
      <c r="G893" s="106">
        <f>B61_Assessment!$E$93</f>
        <v>0</v>
      </c>
      <c r="H893" s="106">
        <f>B61_Assessment!$F$93</f>
        <v>0</v>
      </c>
      <c r="I893" s="106" t="str">
        <f>B61_Assessment!$G$93</f>
        <v>Verify</v>
      </c>
      <c r="J893" s="106">
        <f>B61_Assessment!$H$93</f>
        <v>0</v>
      </c>
      <c r="K893" s="106" t="str">
        <f>B61_Assessment!$I$93</f>
        <v>Verify</v>
      </c>
      <c r="L893" s="106" t="str">
        <f>B61_Assessment!$J$93</f>
        <v>First-level TR with dedicated cooling, UPS/PDU, cable tray and potential electrical room-name mapping issue.</v>
      </c>
    </row>
    <row r="894" spans="1:12" ht="40.700000000000003" customHeight="1">
      <c r="A894" s="106" t="str">
        <f>B61_Assessment!$B$2</f>
        <v>61</v>
      </c>
      <c r="B894" s="106" t="str">
        <f>"B61_Assessment"</f>
        <v>B61_Assessment</v>
      </c>
      <c r="C894" s="106" t="str">
        <f>B61_Assessment!$A$94</f>
        <v>226</v>
      </c>
      <c r="D894" s="142">
        <f>B61_Assessment!$B$94</f>
        <v>0</v>
      </c>
      <c r="E894" s="142">
        <f>B61_Assessment!$C$94</f>
        <v>0</v>
      </c>
      <c r="F894" s="106">
        <f>B61_Assessment!$D$94</f>
        <v>0</v>
      </c>
      <c r="G894" s="106">
        <f>B61_Assessment!$E$94</f>
        <v>0</v>
      </c>
      <c r="H894" s="106">
        <f>B61_Assessment!$F$94</f>
        <v>0</v>
      </c>
      <c r="I894" s="106" t="str">
        <f>B61_Assessment!$G$94</f>
        <v>Verify</v>
      </c>
      <c r="J894" s="106">
        <f>B61_Assessment!$H$94</f>
        <v>0</v>
      </c>
      <c r="K894" s="106" t="str">
        <f>B61_Assessment!$I$94</f>
        <v>Verify</v>
      </c>
      <c r="L894" s="106" t="str">
        <f>B61_Assessment!$J$94</f>
        <v>Second-level TR with 172 total ports including allowance, dedicated cooling, UPS/PDU and riser/firestop coordination.</v>
      </c>
    </row>
    <row r="895" spans="1:12" ht="29.1" customHeight="1">
      <c r="A895" s="106" t="str">
        <f>B61_Assessment!$B$2</f>
        <v>61</v>
      </c>
      <c r="B895" s="106" t="str">
        <f>"B61_Assessment"</f>
        <v>B61_Assessment</v>
      </c>
      <c r="C895" s="106" t="str">
        <f>B61_Assessment!$A$95</f>
        <v>137 / 137A</v>
      </c>
      <c r="D895" s="142">
        <f>B61_Assessment!$B$95</f>
        <v>0</v>
      </c>
      <c r="E895" s="142">
        <f>B61_Assessment!$C$95</f>
        <v>0</v>
      </c>
      <c r="F895" s="106">
        <f>B61_Assessment!$D$95</f>
        <v>0</v>
      </c>
      <c r="G895" s="106">
        <f>B61_Assessment!$E$95</f>
        <v>0</v>
      </c>
      <c r="H895" s="106">
        <f>B61_Assessment!$F$95</f>
        <v>0</v>
      </c>
      <c r="I895" s="106" t="str">
        <f>B61_Assessment!$G$95</f>
        <v>Verify</v>
      </c>
      <c r="J895" s="106">
        <f>B61_Assessment!$H$95</f>
        <v>0</v>
      </c>
      <c r="K895" s="106" t="str">
        <f>B61_Assessment!$I$95</f>
        <v>Verify</v>
      </c>
      <c r="L895" s="106" t="str">
        <f>B61_Assessment!$J$95</f>
        <v>Existing demarc/server room inventory; protect active services until cutover and acceptance complete.</v>
      </c>
    </row>
    <row r="896" spans="1:12" ht="7.35" customHeight="1">
      <c r="A896" s="106">
        <f>B62_TR_Assessment!$B$2</f>
        <v>62</v>
      </c>
      <c r="B896" s="106" t="str">
        <f t="shared" ref="B896:B959" si="83">"B62_TR_Assessment"</f>
        <v>B62_TR_Assessment</v>
      </c>
      <c r="C896" s="106" t="str">
        <f>B62_TR_Assessment!$A$76</f>
        <v>B24A</v>
      </c>
      <c r="D896" s="142">
        <f>B62_TR_Assessment!$B$76</f>
        <v>0.5</v>
      </c>
      <c r="E896" s="142">
        <f>B62_TR_Assessment!$C$76</f>
        <v>0.5</v>
      </c>
      <c r="F896" s="142">
        <f>B62_TR_Assessment!$D$76</f>
        <v>0.5</v>
      </c>
      <c r="G896" s="142">
        <f>B62_TR_Assessment!$E$76</f>
        <v>0.5</v>
      </c>
      <c r="H896" s="142">
        <f>B62_TR_Assessment!$F$76</f>
        <v>0.5</v>
      </c>
      <c r="I896" s="106" t="str">
        <f>B62_TR_Assessment!$G$76</f>
        <v>Verify</v>
      </c>
      <c r="J896" s="142">
        <f>B62_TR_Assessment!$H$76</f>
        <v>0.5</v>
      </c>
      <c r="K896" s="106" t="str">
        <f>B62_TR_Assessment!$I$76</f>
        <v>Partial / Yellow</v>
      </c>
      <c r="L896" s="106">
        <f>B62_TR_Assessment!$J$76</f>
        <v>0</v>
      </c>
    </row>
    <row r="897" spans="1:12" ht="7.35" customHeight="1">
      <c r="A897" s="106">
        <f>B62_TR_Assessment!$B$2</f>
        <v>62</v>
      </c>
      <c r="B897" s="106" t="str">
        <f t="shared" si="83"/>
        <v>B62_TR_Assessment</v>
      </c>
      <c r="C897" s="106" t="str">
        <f>B62_TR_Assessment!$A$77</f>
        <v>125</v>
      </c>
      <c r="D897" s="142">
        <f>B62_TR_Assessment!$B$77</f>
        <v>0.5</v>
      </c>
      <c r="E897" s="142">
        <f>B62_TR_Assessment!$C$77</f>
        <v>0.5</v>
      </c>
      <c r="F897" s="142">
        <f>B62_TR_Assessment!$D$77</f>
        <v>0.5</v>
      </c>
      <c r="G897" s="142">
        <f>B62_TR_Assessment!$E$77</f>
        <v>0.5</v>
      </c>
      <c r="H897" s="142">
        <f>B62_TR_Assessment!$F$77</f>
        <v>0.5</v>
      </c>
      <c r="I897" s="106" t="str">
        <f>B62_TR_Assessment!$G$77</f>
        <v>Verify</v>
      </c>
      <c r="J897" s="142">
        <f>B62_TR_Assessment!$H$77</f>
        <v>0.5</v>
      </c>
      <c r="K897" s="106" t="str">
        <f>B62_TR_Assessment!$I$77</f>
        <v>Partial / Yellow</v>
      </c>
      <c r="L897" s="106">
        <f>B62_TR_Assessment!$J$77</f>
        <v>0</v>
      </c>
    </row>
    <row r="898" spans="1:12" ht="7.35" customHeight="1">
      <c r="A898" s="106">
        <f>B62_TR_Assessment!$B$2</f>
        <v>62</v>
      </c>
      <c r="B898" s="106" t="str">
        <f t="shared" si="83"/>
        <v>B62_TR_Assessment</v>
      </c>
      <c r="C898" s="106" t="str">
        <f>B62_TR_Assessment!$A$78</f>
        <v>225</v>
      </c>
      <c r="D898" s="142">
        <f>B62_TR_Assessment!$B$78</f>
        <v>0.5</v>
      </c>
      <c r="E898" s="142">
        <f>B62_TR_Assessment!$C$78</f>
        <v>0.5</v>
      </c>
      <c r="F898" s="142">
        <f>B62_TR_Assessment!$D$78</f>
        <v>0.5</v>
      </c>
      <c r="G898" s="142">
        <f>B62_TR_Assessment!$E$78</f>
        <v>0.5</v>
      </c>
      <c r="H898" s="142">
        <f>B62_TR_Assessment!$F$78</f>
        <v>0.5</v>
      </c>
      <c r="I898" s="106" t="str">
        <f>B62_TR_Assessment!$G$78</f>
        <v>Verify</v>
      </c>
      <c r="J898" s="142">
        <f>B62_TR_Assessment!$H$78</f>
        <v>0.5</v>
      </c>
      <c r="K898" s="106" t="str">
        <f>B62_TR_Assessment!$I$78</f>
        <v>Partial / Yellow</v>
      </c>
      <c r="L898" s="106">
        <f>B62_TR_Assessment!$J$78</f>
        <v>0</v>
      </c>
    </row>
    <row r="899" spans="1:12" ht="7.35" customHeight="1">
      <c r="A899" s="106">
        <f>B70_TR_Assessment!$B$2</f>
        <v>70</v>
      </c>
      <c r="B899" s="106" t="str">
        <f t="shared" si="83"/>
        <v>B62_TR_Assessment</v>
      </c>
      <c r="C899" s="106" t="str">
        <f>B70_TR_Assessment!$A$79</f>
        <v>B27</v>
      </c>
      <c r="D899" s="142">
        <f>B70_TR_Assessment!$B$79</f>
        <v>0.5</v>
      </c>
      <c r="E899" s="142">
        <f>B70_TR_Assessment!$C$79</f>
        <v>0.5</v>
      </c>
      <c r="F899" s="142">
        <f>B70_TR_Assessment!$D$79</f>
        <v>0.5</v>
      </c>
      <c r="G899" s="142">
        <f>B70_TR_Assessment!$E$79</f>
        <v>0.5</v>
      </c>
      <c r="H899" s="142">
        <f>B70_TR_Assessment!$F$79</f>
        <v>0.5</v>
      </c>
      <c r="I899" s="106" t="str">
        <f>B70_TR_Assessment!$G$79</f>
        <v>Verify</v>
      </c>
      <c r="J899" s="142">
        <f>B70_TR_Assessment!$H$79</f>
        <v>0.5</v>
      </c>
      <c r="K899" s="106" t="str">
        <f>B70_TR_Assessment!$I$79</f>
        <v>Partial / Yellow</v>
      </c>
      <c r="L899" s="106">
        <f>B70_TR_Assessment!$J$79</f>
        <v>0</v>
      </c>
    </row>
    <row r="900" spans="1:12" ht="7.35" customHeight="1">
      <c r="A900" s="106">
        <f>B70_TR_Assessment!$B$2</f>
        <v>70</v>
      </c>
      <c r="B900" s="106" t="str">
        <f t="shared" si="83"/>
        <v>B62_TR_Assessment</v>
      </c>
      <c r="C900" s="106" t="str">
        <f>B70_TR_Assessment!$A$80</f>
        <v>125A</v>
      </c>
      <c r="D900" s="142">
        <f>B70_TR_Assessment!$B$80</f>
        <v>0.5</v>
      </c>
      <c r="E900" s="142">
        <f>B70_TR_Assessment!$C$80</f>
        <v>0.5</v>
      </c>
      <c r="F900" s="142">
        <f>B70_TR_Assessment!$D$80</f>
        <v>0.5</v>
      </c>
      <c r="G900" s="142">
        <f>B70_TR_Assessment!$E$80</f>
        <v>0.5</v>
      </c>
      <c r="H900" s="142">
        <f>B70_TR_Assessment!$F$80</f>
        <v>0.5</v>
      </c>
      <c r="I900" s="106" t="str">
        <f>B70_TR_Assessment!$G$80</f>
        <v>Verify</v>
      </c>
      <c r="J900" s="142">
        <f>B70_TR_Assessment!$H$80</f>
        <v>0.5</v>
      </c>
      <c r="K900" s="106" t="str">
        <f>B70_TR_Assessment!$I$80</f>
        <v>Partial / Yellow</v>
      </c>
      <c r="L900" s="106">
        <f>B70_TR_Assessment!$J$80</f>
        <v>0</v>
      </c>
    </row>
    <row r="901" spans="1:12" ht="7.35" customHeight="1">
      <c r="A901" s="106">
        <f>B70_TR_Assessment!$B$2</f>
        <v>70</v>
      </c>
      <c r="B901" s="106" t="str">
        <f t="shared" si="83"/>
        <v>B62_TR_Assessment</v>
      </c>
      <c r="C901" s="106" t="str">
        <f>B70_TR_Assessment!$A$81</f>
        <v>262A</v>
      </c>
      <c r="D901" s="142">
        <f>B70_TR_Assessment!$B$81</f>
        <v>0.5</v>
      </c>
      <c r="E901" s="142">
        <f>B70_TR_Assessment!$C$81</f>
        <v>0.5</v>
      </c>
      <c r="F901" s="142">
        <f>B70_TR_Assessment!$D$81</f>
        <v>0.5</v>
      </c>
      <c r="G901" s="142">
        <f>B70_TR_Assessment!$E$81</f>
        <v>0.5</v>
      </c>
      <c r="H901" s="142">
        <f>B70_TR_Assessment!$F$81</f>
        <v>0.5</v>
      </c>
      <c r="I901" s="106" t="str">
        <f>B70_TR_Assessment!$G$81</f>
        <v>Verify</v>
      </c>
      <c r="J901" s="142">
        <f>B70_TR_Assessment!$H$81</f>
        <v>0.5</v>
      </c>
      <c r="K901" s="106" t="str">
        <f>B70_TR_Assessment!$I$81</f>
        <v>Partial / Yellow</v>
      </c>
      <c r="L901" s="106">
        <f>B70_TR_Assessment!$J$81</f>
        <v>0</v>
      </c>
    </row>
    <row r="902" spans="1:12" ht="11.65"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2.9"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15"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3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3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3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65"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1</v>
      </c>
      <c r="G909" s="106">
        <f>B70_TR_Assessment!$D$88</f>
        <v>0</v>
      </c>
      <c r="H909" s="106" t="str">
        <f>B70_TR_Assessment!$E$88</f>
        <v>🟢</v>
      </c>
      <c r="I909" s="106">
        <f>B70_TR_Assessment!$F$88</f>
        <v>-1</v>
      </c>
      <c r="J909" s="106">
        <f>B70_TR_Assessment!$G$88</f>
        <v>0</v>
      </c>
      <c r="K909" s="106">
        <f>B70_TR_Assessment!$H$88</f>
        <v>0</v>
      </c>
      <c r="L909" s="106">
        <f>B70_TR_Assessment!$I$88</f>
        <v>0</v>
      </c>
    </row>
    <row r="910" spans="1:12" ht="11.65"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1</v>
      </c>
      <c r="G910" s="106">
        <f>B70_TR_Assessment!$D$90</f>
        <v>0</v>
      </c>
      <c r="H910" s="106" t="str">
        <f>B70_TR_Assessment!$E$90</f>
        <v>🟢</v>
      </c>
      <c r="I910" s="106">
        <f>B70_TR_Assessment!$F$90</f>
        <v>-1</v>
      </c>
      <c r="J910" s="106">
        <f>B70_TR_Assessment!$G$90</f>
        <v>0</v>
      </c>
      <c r="K910" s="106">
        <f>B70_TR_Assessment!$H$90</f>
        <v>0</v>
      </c>
      <c r="L910" s="106">
        <f>B70_TR_Assessment!$I$90</f>
        <v>0</v>
      </c>
    </row>
    <row r="911" spans="1:12" ht="22.9"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1"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65"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1"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3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65"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2.9"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65"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3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65"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1"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2.9"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3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65"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65"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2.9"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65"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3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65"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65"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2.9"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65"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3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65"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65"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65"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65"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65"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3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65"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65"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65"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3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65"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3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65"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3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65"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65"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65"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65"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65"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3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65"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65"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3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4"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3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65"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4"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3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4.9" customHeight="1">
      <c r="A984" s="106">
        <f>B78_Assessment!$B$2</f>
        <v>78</v>
      </c>
      <c r="B984" s="106" t="str">
        <f t="shared" si="84"/>
        <v>B70_TR_Assessment</v>
      </c>
      <c r="C984" s="106" t="str">
        <f>B78_Assessment!$A$113</f>
        <v>B30</v>
      </c>
      <c r="D984" s="142">
        <f>B78_Assessment!$B$113</f>
        <v>0.5</v>
      </c>
      <c r="E984" s="142">
        <f>B78_Assessment!$C$113</f>
        <v>0.5</v>
      </c>
      <c r="F984" s="106">
        <f>B78_Assessment!$D$113</f>
        <v>0.5</v>
      </c>
      <c r="G984" s="106">
        <f>B78_Assessment!$E$113</f>
        <v>0.5</v>
      </c>
      <c r="H984" s="106">
        <f>B78_Assessment!$F$113</f>
        <v>0.5</v>
      </c>
      <c r="I984" s="106" t="str">
        <f>B78_Assessment!$G$113</f>
        <v>Verify</v>
      </c>
      <c r="J984" s="106">
        <f>B78_Assessment!$H$113</f>
        <v>0.5</v>
      </c>
      <c r="K984" s="106" t="str">
        <f>B78_Assessment!$I$113</f>
        <v>Partial / Yellow</v>
      </c>
      <c r="L984" s="106" t="str">
        <f>B78_Assessment!$J$113</f>
        <v>Basement TR with 342 total ports including allowance, dedicated cooling, UPS/PDU and 1,702 ft basement cable tray scope.</v>
      </c>
    </row>
    <row r="985" spans="1:12" ht="29.1" customHeight="1">
      <c r="A985" s="106">
        <f>B78_Assessment!$B$2</f>
        <v>78</v>
      </c>
      <c r="B985" s="106" t="str">
        <f t="shared" si="84"/>
        <v>B70_TR_Assessment</v>
      </c>
      <c r="C985" s="106" t="str">
        <f>B78_Assessment!$A$114</f>
        <v>B35</v>
      </c>
      <c r="D985" s="142">
        <f>B78_Assessment!$B$114</f>
        <v>0.5</v>
      </c>
      <c r="E985" s="142">
        <f>B78_Assessment!$C$114</f>
        <v>0.5</v>
      </c>
      <c r="F985" s="106">
        <f>B78_Assessment!$D$114</f>
        <v>0.5</v>
      </c>
      <c r="G985" s="106">
        <f>B78_Assessment!$E$114</f>
        <v>0.5</v>
      </c>
      <c r="H985" s="106">
        <f>B78_Assessment!$F$114</f>
        <v>0.5</v>
      </c>
      <c r="I985" s="106" t="str">
        <f>B78_Assessment!$G$114</f>
        <v>Verify</v>
      </c>
      <c r="J985" s="106">
        <f>B78_Assessment!$H$114</f>
        <v>0.5</v>
      </c>
      <c r="K985" s="106" t="str">
        <f>B78_Assessment!$I$114</f>
        <v>Partial / Yellow</v>
      </c>
      <c r="L985" s="106" t="str">
        <f>B78_Assessment!$J$114</f>
        <v>Basement TR/closet with 70 total ports including allowance and active transition scope.</v>
      </c>
    </row>
    <row r="986" spans="1:12" ht="22.9" customHeight="1">
      <c r="A986" s="106">
        <f>B78_Assessment!$B$2</f>
        <v>78</v>
      </c>
      <c r="B986" s="106" t="str">
        <f t="shared" si="84"/>
        <v>B70_TR_Assessment</v>
      </c>
      <c r="C986" s="106" t="str">
        <f>B78_Assessment!$A$115</f>
        <v>1232</v>
      </c>
      <c r="D986" s="142">
        <f>B78_Assessment!$B$115</f>
        <v>0.5</v>
      </c>
      <c r="E986" s="142">
        <f>B78_Assessment!$C$115</f>
        <v>0.5</v>
      </c>
      <c r="F986" s="106">
        <f>B78_Assessment!$D$115</f>
        <v>0.5</v>
      </c>
      <c r="G986" s="106">
        <f>B78_Assessment!$E$115</f>
        <v>0.5</v>
      </c>
      <c r="H986" s="106">
        <f>B78_Assessment!$F$115</f>
        <v>0.5</v>
      </c>
      <c r="I986" s="106" t="str">
        <f>B78_Assessment!$G$115</f>
        <v>Verify</v>
      </c>
      <c r="J986" s="106">
        <f>B78_Assessment!$H$115</f>
        <v>0.5</v>
      </c>
      <c r="K986" s="106" t="str">
        <f>B78_Assessment!$I$115</f>
        <v>Partial / Yellow</v>
      </c>
      <c r="L986" s="106" t="str">
        <f>B78_Assessment!$J$115</f>
        <v>First-level TR with 444 total ports including allowance and high active port count.</v>
      </c>
    </row>
    <row r="987" spans="1:12" ht="29.1" customHeight="1">
      <c r="A987" s="106">
        <f>B78_Assessment!$B$2</f>
        <v>78</v>
      </c>
      <c r="B987" s="106" t="str">
        <f t="shared" si="84"/>
        <v>B70_TR_Assessment</v>
      </c>
      <c r="C987" s="106" t="str">
        <f>B78_Assessment!$A$116</f>
        <v>227A</v>
      </c>
      <c r="D987" s="142">
        <f>B78_Assessment!$B$116</f>
        <v>0.5</v>
      </c>
      <c r="E987" s="142">
        <f>B78_Assessment!$C$116</f>
        <v>0.5</v>
      </c>
      <c r="F987" s="106">
        <f>B78_Assessment!$D$116</f>
        <v>0.5</v>
      </c>
      <c r="G987" s="106">
        <f>B78_Assessment!$E$116</f>
        <v>0.5</v>
      </c>
      <c r="H987" s="106">
        <f>B78_Assessment!$F$116</f>
        <v>0.5</v>
      </c>
      <c r="I987" s="106" t="str">
        <f>B78_Assessment!$G$116</f>
        <v>Verify</v>
      </c>
      <c r="J987" s="106">
        <f>B78_Assessment!$H$116</f>
        <v>0.5</v>
      </c>
      <c r="K987" s="106" t="str">
        <f>B78_Assessment!$I$116</f>
        <v>Partial / Yellow</v>
      </c>
      <c r="L987" s="106" t="str">
        <f>B78_Assessment!$J$116</f>
        <v>Second-level TR with 383 total ports including allowance and riser/firestop coordination.</v>
      </c>
    </row>
    <row r="988" spans="1:12" ht="22.9" customHeight="1">
      <c r="A988" s="106">
        <f>B78_Assessment!$B$2</f>
        <v>78</v>
      </c>
      <c r="B988" s="106" t="str">
        <f>"B78_Assessment"</f>
        <v>B78_Assessment</v>
      </c>
      <c r="C988" s="106" t="str">
        <f>B78_Assessment!$A$117</f>
        <v>342</v>
      </c>
      <c r="D988" s="142">
        <f>B78_Assessment!$B$117</f>
        <v>0.5</v>
      </c>
      <c r="E988" s="142">
        <f>B78_Assessment!$C$117</f>
        <v>0.5</v>
      </c>
      <c r="F988" s="106">
        <f>B78_Assessment!$D$117</f>
        <v>0.5</v>
      </c>
      <c r="G988" s="106">
        <f>B78_Assessment!$E$117</f>
        <v>0.5</v>
      </c>
      <c r="H988" s="106">
        <f>B78_Assessment!$F$117</f>
        <v>0.5</v>
      </c>
      <c r="I988" s="106" t="str">
        <f>B78_Assessment!$G$117</f>
        <v>Verify</v>
      </c>
      <c r="J988" s="106">
        <f>B78_Assessment!$H$117</f>
        <v>0.5</v>
      </c>
      <c r="K988" s="106" t="str">
        <f>B78_Assessment!$I$117</f>
        <v>Partial / Yellow</v>
      </c>
      <c r="L988" s="106" t="str">
        <f>B78_Assessment!$J$117</f>
        <v>Third-level TR with 318 total ports including allowance and two-rack configuration.</v>
      </c>
    </row>
    <row r="989" spans="1:12" ht="29.1" customHeight="1">
      <c r="A989" s="106">
        <f>B78_Assessment!$B$2</f>
        <v>78</v>
      </c>
      <c r="B989" s="106" t="str">
        <f>"B78_Assessment"</f>
        <v>B78_Assessment</v>
      </c>
      <c r="C989" s="106" t="str">
        <f>B78_Assessment!$A$118</f>
        <v>401</v>
      </c>
      <c r="D989" s="142">
        <f>B78_Assessment!$B$118</f>
        <v>0.5</v>
      </c>
      <c r="E989" s="142">
        <f>B78_Assessment!$C$118</f>
        <v>0.5</v>
      </c>
      <c r="F989" s="106">
        <f>B78_Assessment!$D$118</f>
        <v>0.5</v>
      </c>
      <c r="G989" s="106">
        <f>B78_Assessment!$E$118</f>
        <v>0.5</v>
      </c>
      <c r="H989" s="106">
        <f>B78_Assessment!$F$118</f>
        <v>0.5</v>
      </c>
      <c r="I989" s="106" t="str">
        <f>B78_Assessment!$G$118</f>
        <v>Verify</v>
      </c>
      <c r="J989" s="106">
        <f>B78_Assessment!$H$118</f>
        <v>0.5</v>
      </c>
      <c r="K989" s="106" t="str">
        <f>B78_Assessment!$I$118</f>
        <v>Partial / Yellow</v>
      </c>
      <c r="L989" s="106" t="str">
        <f>B78_Assessment!$J$118</f>
        <v>Fourth-level TR with 135 total ports including allowance and existing 308A/408A transition points.</v>
      </c>
    </row>
    <row r="990" spans="1:12" ht="29.1" customHeight="1">
      <c r="A990" s="106">
        <f>B78_Assessment!$B$2</f>
        <v>78</v>
      </c>
      <c r="B990" s="106" t="str">
        <f>"B78_Assessment"</f>
        <v>B78_Assessment</v>
      </c>
      <c r="C990" s="106" t="str">
        <f>B78_Assessment!$A$119</f>
        <v>Existing rooms</v>
      </c>
      <c r="D990" s="142">
        <f>B78_Assessment!$B$119</f>
        <v>0.5</v>
      </c>
      <c r="E990" s="142">
        <f>B78_Assessment!$C$119</f>
        <v>0.5</v>
      </c>
      <c r="F990" s="106">
        <f>B78_Assessment!$D$119</f>
        <v>0.5</v>
      </c>
      <c r="G990" s="106">
        <f>B78_Assessment!$E$119</f>
        <v>0.5</v>
      </c>
      <c r="H990" s="106">
        <f>B78_Assessment!$F$119</f>
        <v>0.5</v>
      </c>
      <c r="I990" s="106" t="str">
        <f>B78_Assessment!$G$119</f>
        <v>Verify</v>
      </c>
      <c r="J990" s="106">
        <f>B78_Assessment!$H$119</f>
        <v>0.5</v>
      </c>
      <c r="K990" s="106" t="str">
        <f>B78_Assessment!$I$119</f>
        <v>Partial / Yellow</v>
      </c>
      <c r="L990" s="106" t="str">
        <f>B78_Assessment!$J$119</f>
        <v>Existing telecom room inventory; protect active services until cutover and acceptance complete.</v>
      </c>
    </row>
    <row r="991" spans="1:12" ht="40.700000000000003" customHeight="1">
      <c r="A991" s="106" t="str">
        <f>B80_Assessment!$B$2</f>
        <v>80</v>
      </c>
      <c r="B991" s="106" t="str">
        <f>"B80_Assessment"</f>
        <v>B80_Assessment</v>
      </c>
      <c r="C991" s="106" t="str">
        <f>B80_Assessment!$A$78</f>
        <v>102</v>
      </c>
      <c r="D991" s="142">
        <f>B80_Assessment!$B$78</f>
        <v>0.5</v>
      </c>
      <c r="E991" s="142">
        <f>B80_Assessment!$C$78</f>
        <v>0.5</v>
      </c>
      <c r="F991" s="106">
        <f>B80_Assessment!$D$78</f>
        <v>0.5</v>
      </c>
      <c r="G991" s="106">
        <f>B80_Assessment!$E$78</f>
        <v>0.5</v>
      </c>
      <c r="H991" s="106">
        <f>B80_Assessment!$F$78</f>
        <v>0.5</v>
      </c>
      <c r="I991" s="106" t="str">
        <f>B80_Assessment!$G$78</f>
        <v>Verify</v>
      </c>
      <c r="J991" s="106">
        <f>B80_Assessment!$H$78</f>
        <v>0.5</v>
      </c>
      <c r="K991" s="106" t="str">
        <f>B80_Assessment!$I$78</f>
        <v>Partial / Yellow</v>
      </c>
      <c r="L991" s="106" t="str">
        <f>B80_Assessment!$J$78</f>
        <v>New first-level TR with 215 total ports including allowance, dedicated cooling, UPS/PDU, cable tray, PACS/CCTV and fire/life-safety scope.</v>
      </c>
    </row>
    <row r="992" spans="1:12" ht="34.9" customHeight="1">
      <c r="A992" s="106" t="str">
        <f>B80_Assessment!$B$2</f>
        <v>80</v>
      </c>
      <c r="B992" s="106" t="str">
        <f>"B80_Assessment"</f>
        <v>B80_Assessment</v>
      </c>
      <c r="C992" s="106" t="str">
        <f>B80_Assessment!$A$79</f>
        <v>127A / 126</v>
      </c>
      <c r="D992" s="142">
        <f>B80_Assessment!$B$79</f>
        <v>0.5</v>
      </c>
      <c r="E992" s="142">
        <f>B80_Assessment!$C$79</f>
        <v>0.5</v>
      </c>
      <c r="F992" s="106">
        <f>B80_Assessment!$D$79</f>
        <v>0.5</v>
      </c>
      <c r="G992" s="106">
        <f>B80_Assessment!$E$79</f>
        <v>0.5</v>
      </c>
      <c r="H992" s="106">
        <f>B80_Assessment!$F$79</f>
        <v>0.5</v>
      </c>
      <c r="I992" s="106" t="str">
        <f>B80_Assessment!$G$79</f>
        <v>Verify</v>
      </c>
      <c r="J992" s="106">
        <f>B80_Assessment!$H$79</f>
        <v>0.5</v>
      </c>
      <c r="K992" s="106" t="str">
        <f>B80_Assessment!$I$79</f>
        <v>Partial / Yellow</v>
      </c>
      <c r="L992" s="106" t="str">
        <f>B80_Assessment!$J$79</f>
        <v>Existing telecom transition point; protect active services until cutover complete and confirm room-number mapping.</v>
      </c>
    </row>
    <row r="993" spans="1:12" ht="46.35" customHeight="1">
      <c r="A993" s="106" t="str">
        <f>B82_Assessment!$B$2</f>
        <v>82</v>
      </c>
      <c r="B993" s="106" t="str">
        <f>"B82_Assessment"</f>
        <v>B82_Assessment</v>
      </c>
      <c r="C993" s="106" t="str">
        <f>B82_Assessment!$A$78</f>
        <v>102</v>
      </c>
      <c r="D993" s="142">
        <f>B82_Assessment!$B$78</f>
        <v>0.5</v>
      </c>
      <c r="E993" s="142">
        <f>B82_Assessment!$C$78</f>
        <v>0.5</v>
      </c>
      <c r="F993" s="106">
        <f>B82_Assessment!$D$78</f>
        <v>0.5</v>
      </c>
      <c r="G993" s="106">
        <f>B82_Assessment!$E$78</f>
        <v>0.5</v>
      </c>
      <c r="H993" s="106">
        <f>B82_Assessment!$F$78</f>
        <v>0.5</v>
      </c>
      <c r="I993" s="106" t="str">
        <f>B82_Assessment!$G$78</f>
        <v>Verify</v>
      </c>
      <c r="J993" s="106">
        <f>B82_Assessment!$H$78</f>
        <v>0.5</v>
      </c>
      <c r="K993" s="106" t="str">
        <f>B82_Assessment!$I$78</f>
        <v>Partial / Yellow</v>
      </c>
      <c r="L993" s="106" t="str">
        <f>B82_Assessment!$J$78</f>
        <v>New first-level TE/telecom room with 12RU wall enclosure, UPS/PDU, dedicated cooling shown, 278 ft cable tray and 40 total ports including allowance.</v>
      </c>
    </row>
    <row r="994" spans="1:12" ht="29.1" customHeight="1">
      <c r="A994" s="106" t="str">
        <f>B82_Assessment!$B$2</f>
        <v>82</v>
      </c>
      <c r="B994" s="106" t="str">
        <f>"B82_Assessment"</f>
        <v>B82_Assessment</v>
      </c>
      <c r="C994" s="106" t="str">
        <f>B82_Assessment!$A$79</f>
        <v>B01-A</v>
      </c>
      <c r="D994" s="142">
        <f>B82_Assessment!$B$79</f>
        <v>0.5</v>
      </c>
      <c r="E994" s="142">
        <f>B82_Assessment!$C$79</f>
        <v>0.5</v>
      </c>
      <c r="F994" s="106">
        <f>B82_Assessment!$D$79</f>
        <v>0.5</v>
      </c>
      <c r="G994" s="106">
        <f>B82_Assessment!$E$79</f>
        <v>0.5</v>
      </c>
      <c r="H994" s="106">
        <f>B82_Assessment!$F$79</f>
        <v>0.5</v>
      </c>
      <c r="I994" s="106" t="str">
        <f>B82_Assessment!$G$79</f>
        <v>Verify</v>
      </c>
      <c r="J994" s="106">
        <f>B82_Assessment!$H$79</f>
        <v>0.5</v>
      </c>
      <c r="K994" s="106" t="str">
        <f>B82_Assessment!$I$79</f>
        <v>Partial / Yellow</v>
      </c>
      <c r="L994" s="106" t="str">
        <f>B82_Assessment!$J$79</f>
        <v>Existing first-level telecom room and transition point; protect active services until cutover complete.</v>
      </c>
    </row>
    <row r="995" spans="1:12" ht="46.35" customHeight="1">
      <c r="A995" s="106" t="str">
        <f>BCH_Assessment!$B$2</f>
        <v>BCH</v>
      </c>
      <c r="B995" s="106" t="str">
        <f>"BCH_Assessment"</f>
        <v>BCH_Assessment</v>
      </c>
      <c r="C995" s="106" t="str">
        <f>BCH_Assessment!$A$78</f>
        <v>107</v>
      </c>
      <c r="D995" s="142">
        <f>BCH_Assessment!$B$78</f>
        <v>0.5</v>
      </c>
      <c r="E995" s="142">
        <f>BCH_Assessment!$C$78</f>
        <v>0.5</v>
      </c>
      <c r="F995" s="106" t="str">
        <f>BCH_Assessment!$D$78</f>
        <v>N/A / Verify</v>
      </c>
      <c r="G995" s="106">
        <f>BCH_Assessment!$E$78</f>
        <v>0.5</v>
      </c>
      <c r="H995" s="106">
        <f>BCH_Assessment!$F$78</f>
        <v>0.5</v>
      </c>
      <c r="I995" s="106" t="str">
        <f>BCH_Assessment!$G$78</f>
        <v>Verify</v>
      </c>
      <c r="J995" s="106">
        <f>BCH_Assessment!$H$78</f>
        <v>0.5</v>
      </c>
      <c r="K995" s="106" t="str">
        <f>BCH_Assessment!$I$78</f>
        <v>Partial / Yellow</v>
      </c>
      <c r="L995" s="106" t="str">
        <f>BCH_Assessment!$J$78</f>
        <v>BCH first-level Room 107 telecom scope; verify final TE versus telecom room configuration, power, pathway, firestopping and active service transition.</v>
      </c>
    </row>
    <row r="996" spans="1:12" ht="29.1" customHeight="1">
      <c r="A996" s="106" t="str">
        <f>BCH_Assessment!$B$2</f>
        <v>BCH</v>
      </c>
      <c r="B996" s="106" t="str">
        <f>"BCH_Assessment"</f>
        <v>BCH_Assessment</v>
      </c>
      <c r="C996" s="106" t="str">
        <f>BCH_Assessment!$A$79</f>
        <v>00 / 107</v>
      </c>
      <c r="D996" s="142">
        <f>BCH_Assessment!$B$79</f>
        <v>0.5</v>
      </c>
      <c r="E996" s="142">
        <f>BCH_Assessment!$C$79</f>
        <v>0.5</v>
      </c>
      <c r="F996" s="106" t="str">
        <f>BCH_Assessment!$D$79</f>
        <v>N/A / Verify</v>
      </c>
      <c r="G996" s="106">
        <f>BCH_Assessment!$E$79</f>
        <v>0.5</v>
      </c>
      <c r="H996" s="106">
        <f>BCH_Assessment!$F$79</f>
        <v>0.5</v>
      </c>
      <c r="I996" s="106" t="str">
        <f>BCH_Assessment!$G$79</f>
        <v>Verify</v>
      </c>
      <c r="J996" s="106">
        <f>BCH_Assessment!$H$79</f>
        <v>0.5</v>
      </c>
      <c r="K996" s="106" t="str">
        <f>BCH_Assessment!$I$79</f>
        <v>Partial / Yellow</v>
      </c>
      <c r="L996" s="106" t="str">
        <f>BCH_Assessment!$J$79</f>
        <v>Rack/elevation reference requiring confirmation before turnover and PMIS import.</v>
      </c>
    </row>
    <row r="997" spans="1:12" ht="52.15" customHeight="1">
      <c r="A997" s="106" t="str">
        <f>MCR_Assessment!$B$2</f>
        <v>MCR</v>
      </c>
      <c r="B997" s="106" t="str">
        <f>"MCR_Assessment"</f>
        <v>MCR_Assessment</v>
      </c>
      <c r="C997" s="106" t="str">
        <f>MCR_Assessment!$A$101</f>
        <v>107 / MCR</v>
      </c>
      <c r="D997" s="142">
        <f>MCR_Assessment!$B$101</f>
        <v>0.5</v>
      </c>
      <c r="E997" s="142">
        <f>MCR_Assessment!$C$101</f>
        <v>0.5</v>
      </c>
      <c r="F997" s="106">
        <f>MCR_Assessment!$D$101</f>
        <v>0.5</v>
      </c>
      <c r="G997" s="106">
        <f>MCR_Assessment!$E$101</f>
        <v>0.5</v>
      </c>
      <c r="H997" s="106">
        <f>MCR_Assessment!$F$101</f>
        <v>0.5</v>
      </c>
      <c r="I997" s="106" t="str">
        <f>MCR_Assessment!$G$101</f>
        <v>Verify</v>
      </c>
      <c r="J997" s="106">
        <f>MCR_Assessment!$H$101</f>
        <v>0.5</v>
      </c>
      <c r="K997" s="106" t="str">
        <f>MCR_Assessment!$I$101</f>
        <v>Partial / Yellow</v>
      </c>
      <c r="L997" s="106" t="str">
        <f>MCR_Assessment!$J$101</f>
        <v>New critical MCR facility with full architectural/civil/structural/MEP/FP/telecom/security scope; not construction-ready until coordination and commissioning plan are verified.</v>
      </c>
    </row>
    <row r="998" spans="1:12" ht="34.9" customHeight="1">
      <c r="A998" s="106" t="str">
        <f>MCR_Assessment!$B$2</f>
        <v>MCR</v>
      </c>
      <c r="B998" s="106" t="str">
        <f>"MCR_Assessment"</f>
        <v>MCR_Assessment</v>
      </c>
      <c r="C998" s="106" t="str">
        <f>MCR_Assessment!$A$102</f>
        <v>031</v>
      </c>
      <c r="D998" s="142">
        <f>MCR_Assessment!$B$102</f>
        <v>0.5</v>
      </c>
      <c r="E998" s="142">
        <f>MCR_Assessment!$C$102</f>
        <v>0.5</v>
      </c>
      <c r="F998" s="106">
        <f>MCR_Assessment!$D$102</f>
        <v>0.5</v>
      </c>
      <c r="G998" s="106">
        <f>MCR_Assessment!$E$102</f>
        <v>0.5</v>
      </c>
      <c r="H998" s="106">
        <f>MCR_Assessment!$F$102</f>
        <v>0.5</v>
      </c>
      <c r="I998" s="106" t="str">
        <f>MCR_Assessment!$G$102</f>
        <v>Verify</v>
      </c>
      <c r="J998" s="106">
        <f>MCR_Assessment!$H$102</f>
        <v>0.5</v>
      </c>
      <c r="K998" s="106" t="str">
        <f>MCR_Assessment!$I$102</f>
        <v>Partial / Yellow</v>
      </c>
      <c r="L998" s="106" t="str">
        <f>MCR_Assessment!$J$102</f>
        <v>Fiber Entrance Room 1 schedule and camera/data points require field verification and firestop/pathway coordination.</v>
      </c>
    </row>
    <row r="999" spans="1:12" ht="22.9" customHeight="1">
      <c r="A999" s="106" t="str">
        <f>MCR_Assessment!$B$2</f>
        <v>MCR</v>
      </c>
      <c r="B999" s="106" t="str">
        <f>"MCR_Assessment"</f>
        <v>MCR_Assessment</v>
      </c>
      <c r="C999" s="106" t="str">
        <f>MCR_Assessment!$A$103</f>
        <v>MDA-A/B</v>
      </c>
      <c r="D999" s="142">
        <f>MCR_Assessment!$B$103</f>
        <v>0.5</v>
      </c>
      <c r="E999" s="142">
        <f>MCR_Assessment!$C$103</f>
        <v>0.5</v>
      </c>
      <c r="F999" s="106">
        <f>MCR_Assessment!$D$103</f>
        <v>0.5</v>
      </c>
      <c r="G999" s="106">
        <f>MCR_Assessment!$E$103</f>
        <v>0.5</v>
      </c>
      <c r="H999" s="106">
        <f>MCR_Assessment!$F$103</f>
        <v>0.5</v>
      </c>
      <c r="I999" s="106" t="str">
        <f>MCR_Assessment!$G$103</f>
        <v>Verify</v>
      </c>
      <c r="J999" s="106">
        <f>MCR_Assessment!$H$103</f>
        <v>0.5</v>
      </c>
      <c r="K999" s="106" t="str">
        <f>MCR_Assessment!$I$103</f>
        <v>Partial / Yellow</v>
      </c>
      <c r="L999" s="106" t="str">
        <f>MCR_Assessment!$J$103</f>
        <v>New main distribution rows; A/B fiber diversity and rack/PDU mapping are critical.</v>
      </c>
    </row>
    <row r="1000" spans="1:12" ht="34.9" customHeight="1">
      <c r="A1000" s="106" t="str">
        <f>MCR_Assessment!$B$2</f>
        <v>MCR</v>
      </c>
      <c r="B1000" s="106" t="str">
        <f>"MCR_Assessment"</f>
        <v>MCR_Assessment</v>
      </c>
      <c r="C1000" s="106" t="str">
        <f>MCR_Assessment!$A$104</f>
        <v>HDA-A/B</v>
      </c>
      <c r="D1000" s="142">
        <f>MCR_Assessment!$B$104</f>
        <v>0.5</v>
      </c>
      <c r="E1000" s="142">
        <f>MCR_Assessment!$C$104</f>
        <v>0.5</v>
      </c>
      <c r="F1000" s="106">
        <f>MCR_Assessment!$D$104</f>
        <v>0.5</v>
      </c>
      <c r="G1000" s="106">
        <f>MCR_Assessment!$E$104</f>
        <v>0.5</v>
      </c>
      <c r="H1000" s="106">
        <f>MCR_Assessment!$F$104</f>
        <v>0.5</v>
      </c>
      <c r="I1000" s="106" t="str">
        <f>MCR_Assessment!$G$104</f>
        <v>Verify</v>
      </c>
      <c r="J1000" s="106">
        <f>MCR_Assessment!$H$104</f>
        <v>0.5</v>
      </c>
      <c r="K1000" s="106" t="str">
        <f>MCR_Assessment!$I$104</f>
        <v>Partial / Yellow</v>
      </c>
      <c r="L1000" s="106" t="str">
        <f>MCR_Assessment!$J$104</f>
        <v>New horizontal distribution/server cabinet rows; airflow, patching, labeling and redundancy must be validated.</v>
      </c>
    </row>
    <row r="1001" spans="1:12" ht="29.1" customHeight="1">
      <c r="A1001" s="106" t="str">
        <f>MCR_Assessment!$B$2</f>
        <v>MCR</v>
      </c>
      <c r="B1001" s="106" t="str">
        <f>"MCR_Assessment"</f>
        <v>MCR_Assessment</v>
      </c>
      <c r="C1001" s="106" t="str">
        <f>MCR_Assessment!$A$105</f>
        <v>Existing 107/137</v>
      </c>
      <c r="D1001" s="142">
        <f>MCR_Assessment!$B$105</f>
        <v>0.5</v>
      </c>
      <c r="E1001" s="142">
        <f>MCR_Assessment!$C$105</f>
        <v>0.5</v>
      </c>
      <c r="F1001" s="106">
        <f>MCR_Assessment!$D$105</f>
        <v>0.5</v>
      </c>
      <c r="G1001" s="106">
        <f>MCR_Assessment!$E$105</f>
        <v>0.5</v>
      </c>
      <c r="H1001" s="106">
        <f>MCR_Assessment!$F$105</f>
        <v>0.5</v>
      </c>
      <c r="I1001" s="106" t="str">
        <f>MCR_Assessment!$G$105</f>
        <v>Verify</v>
      </c>
      <c r="J1001" s="106">
        <f>MCR_Assessment!$H$105</f>
        <v>0.5</v>
      </c>
      <c r="K1001" s="106" t="str">
        <f>MCR_Assessment!$I$105</f>
        <v>Partial / Yellow</v>
      </c>
      <c r="L1001" s="106" t="str">
        <f>MCR_Assessment!$J$105</f>
        <v>Existing MCR/server equipment transition point; protect active service until final activation.</v>
      </c>
    </row>
    <row r="1002" spans="1:12" ht="40.700000000000003" customHeight="1">
      <c r="A1002" s="106" t="str">
        <f>SITE_Assesment!$B$2</f>
        <v>SITE</v>
      </c>
      <c r="B1002" s="106" t="str">
        <f>"SITE_Assesment"</f>
        <v>SITE_Assesment</v>
      </c>
      <c r="C1002" s="106" t="str">
        <f>SITE_Assesment!$A$99</f>
        <v>Overall Site</v>
      </c>
      <c r="D1002" s="142">
        <f>SITE_Assesment!$B$99</f>
        <v>0.5</v>
      </c>
      <c r="E1002" s="142">
        <f>SITE_Assesment!$C$99</f>
        <v>0.5</v>
      </c>
      <c r="F1002" s="106">
        <f>SITE_Assesment!$D$99</f>
        <v>0.5</v>
      </c>
      <c r="G1002" s="106">
        <f>SITE_Assesment!$E$99</f>
        <v>0.5</v>
      </c>
      <c r="H1002" s="106">
        <f>SITE_Assesment!$F$99</f>
        <v>0.5</v>
      </c>
      <c r="I1002" s="106" t="str">
        <f>SITE_Assesment!$G$99</f>
        <v>Verify</v>
      </c>
      <c r="J1002" s="106">
        <f>SITE_Assesment!$H$99</f>
        <v>0.5</v>
      </c>
      <c r="K1002" s="106" t="str">
        <f>SITE_Assesment!$I$99</f>
        <v>Partial / Yellow</v>
      </c>
      <c r="L1002" s="106" t="str">
        <f>SITE_Assesment!$J$99</f>
        <v>Campus-wide fiber backbone is not construction-ready until utility locates, path routing, inspection holds and phasing plan are confirmed.</v>
      </c>
    </row>
    <row r="1003" spans="1:12" ht="34.9" customHeight="1">
      <c r="A1003" s="106" t="str">
        <f>SITE_Assesment!$B$2</f>
        <v>SITE</v>
      </c>
      <c r="B1003" s="106" t="str">
        <f>"SITE_Assesment"</f>
        <v>SITE_Assesment</v>
      </c>
      <c r="C1003" s="106" t="str">
        <f>SITE_Assesment!$A$100</f>
        <v>Path A/B Backbone</v>
      </c>
      <c r="D1003" s="142">
        <f>SITE_Assesment!$B$100</f>
        <v>0.5</v>
      </c>
      <c r="E1003" s="142">
        <f>SITE_Assesment!$C$100</f>
        <v>0.5</v>
      </c>
      <c r="F1003" s="106">
        <f>SITE_Assesment!$D$100</f>
        <v>0.5</v>
      </c>
      <c r="G1003" s="106">
        <f>SITE_Assesment!$E$100</f>
        <v>0.5</v>
      </c>
      <c r="H1003" s="106">
        <f>SITE_Assesment!$F$100</f>
        <v>0.5</v>
      </c>
      <c r="I1003" s="106" t="str">
        <f>SITE_Assesment!$G$100</f>
        <v>Verify</v>
      </c>
      <c r="J1003" s="106">
        <f>SITE_Assesment!$H$100</f>
        <v>0.5</v>
      </c>
      <c r="K1003" s="106" t="str">
        <f>SITE_Assesment!$I$100</f>
        <v>Partial / Yellow</v>
      </c>
      <c r="L1003" s="106" t="str">
        <f>SITE_Assesment!$J$100</f>
        <v>Redundant A/B path separation, conduit counts and T-601 one-line coordination require field verification.</v>
      </c>
    </row>
    <row r="1004" spans="1:12" ht="34.9" customHeight="1">
      <c r="A1004" s="106" t="str">
        <f>SITE_Assesment!$B$2</f>
        <v>SITE</v>
      </c>
      <c r="B1004" s="106" t="str">
        <f>"SITE_Assesment"</f>
        <v>SITE_Assesment</v>
      </c>
      <c r="C1004" s="106" t="str">
        <f>SITE_Assesment!$A$101</f>
        <v>THH / Manholes</v>
      </c>
      <c r="D1004" s="106">
        <f>SITE_Assesment!$B$101</f>
        <v>0.5</v>
      </c>
      <c r="E1004" s="106">
        <f>SITE_Assesment!$C$101</f>
        <v>0.5</v>
      </c>
      <c r="F1004" s="106">
        <f>SITE_Assesment!$D$101</f>
        <v>0.5</v>
      </c>
      <c r="G1004" s="106">
        <f>SITE_Assesment!$E$101</f>
        <v>0.5</v>
      </c>
      <c r="H1004" s="106">
        <f>SITE_Assesment!$F$101</f>
        <v>0.5</v>
      </c>
      <c r="I1004" s="106" t="str">
        <f>SITE_Assesment!$G$101</f>
        <v>Verify</v>
      </c>
      <c r="J1004" s="106">
        <f>SITE_Assesment!$H$101</f>
        <v>0.5</v>
      </c>
      <c r="K1004" s="106" t="str">
        <f>SITE_Assesment!$I$101</f>
        <v>Partial / Yellow</v>
      </c>
      <c r="L1004" s="106" t="str">
        <f>SITE_Assesment!$J$101</f>
        <v>THH #1-#19 and locking manholes/pullboxes need inventory, labels, photos and acceptance.</v>
      </c>
    </row>
    <row r="1005" spans="1:12" ht="34.9" customHeight="1">
      <c r="A1005" s="106" t="str">
        <f>SITE_Assesment!$B$2</f>
        <v>SITE</v>
      </c>
      <c r="B1005" s="106" t="str">
        <f>"SITE_Assesment"</f>
        <v>SITE_Assesment</v>
      </c>
      <c r="C1005" s="106" t="str">
        <f>SITE_Assesment!$A$102</f>
        <v>Building Tie-ins</v>
      </c>
      <c r="D1005" s="106">
        <f>SITE_Assesment!$B$102</f>
        <v>0.5</v>
      </c>
      <c r="E1005" s="106">
        <f>SITE_Assesment!$C$102</f>
        <v>0.5</v>
      </c>
      <c r="F1005" s="106">
        <f>SITE_Assesment!$D$102</f>
        <v>0.5</v>
      </c>
      <c r="G1005" s="106">
        <f>SITE_Assesment!$E$102</f>
        <v>0.5</v>
      </c>
      <c r="H1005" s="106">
        <f>SITE_Assesment!$F$102</f>
        <v>0.5</v>
      </c>
      <c r="I1005" s="106" t="str">
        <f>SITE_Assesment!$G$102</f>
        <v>Verify</v>
      </c>
      <c r="J1005" s="106">
        <f>SITE_Assesment!$H$102</f>
        <v>0.5</v>
      </c>
      <c r="K1005" s="106" t="str">
        <f>SITE_Assesment!$I$102</f>
        <v>Partial / Yellow</v>
      </c>
      <c r="L1005" s="106" t="str">
        <f>SITE_Assesment!$J$102</f>
        <v>Building T-101 continuation, penetration/firestop and fiber acceptance must match each building assessment.</v>
      </c>
    </row>
    <row r="1006" spans="1:12" ht="29.1" customHeight="1">
      <c r="A1006" s="106" t="str">
        <f>SITE_Assesment!$B$2</f>
        <v>SITE</v>
      </c>
      <c r="B1006" s="106" t="str">
        <f>"SITE_Assesment"</f>
        <v>SITE_Assesment</v>
      </c>
      <c r="C1006" s="106" t="str">
        <f>SITE_Assesment!$A$103</f>
        <v>MCR / Provider Entrance</v>
      </c>
      <c r="D1006" s="106">
        <f>SITE_Assesment!$B$103</f>
        <v>0.5</v>
      </c>
      <c r="E1006" s="106">
        <f>SITE_Assesment!$C$103</f>
        <v>0.5</v>
      </c>
      <c r="F1006" s="106">
        <f>SITE_Assesment!$D$103</f>
        <v>0.5</v>
      </c>
      <c r="G1006" s="106">
        <f>SITE_Assesment!$E$103</f>
        <v>0.5</v>
      </c>
      <c r="H1006" s="106">
        <f>SITE_Assesment!$F$103</f>
        <v>0.5</v>
      </c>
      <c r="I1006" s="106" t="str">
        <f>SITE_Assesment!$G$103</f>
        <v>Verify</v>
      </c>
      <c r="J1006" s="106">
        <f>SITE_Assesment!$H$103</f>
        <v>0.5</v>
      </c>
      <c r="K1006" s="106" t="str">
        <f>SITE_Assesment!$I$103</f>
        <v>Partial / Yellow</v>
      </c>
      <c r="L1006" s="106" t="str">
        <f>SITE_Assesment!$J$103</f>
        <v>Provider fiber, temporary fiber and new MCR activation sequence are critical path items.</v>
      </c>
    </row>
    <row r="1007" spans="1:12" ht="7.35" customHeight="1">
      <c r="A1007" s="19"/>
      <c r="D1007" s="144"/>
      <c r="E1007" s="144"/>
      <c r="F1007" s="19"/>
    </row>
    <row r="1008" spans="1:12" ht="7.35" customHeight="1">
      <c r="A1008" s="146"/>
      <c r="B1008" s="146"/>
      <c r="C1008" s="146"/>
      <c r="D1008" s="147"/>
      <c r="E1008" s="147"/>
      <c r="F1008" s="146"/>
    </row>
    <row r="1009" spans="1:7" ht="7.35" customHeight="1">
      <c r="A1009" s="106"/>
      <c r="B1009" s="106" t="str">
        <f t="shared" ref="B1009:B1048" si="85">"B01_Assessment"</f>
        <v>B01_Assessment</v>
      </c>
      <c r="C1009" s="106"/>
      <c r="D1009" s="142"/>
      <c r="E1009" s="142"/>
      <c r="F1009" s="106"/>
    </row>
    <row r="1010" spans="1:7" ht="56.45" customHeight="1">
      <c r="A1010" s="19" t="s">
        <v>898</v>
      </c>
      <c r="B1010" s="19" t="str">
        <f t="shared" si="85"/>
        <v>B01_Assessment</v>
      </c>
      <c r="C1010" s="19"/>
      <c r="D1010" s="144"/>
      <c r="E1010" s="144"/>
      <c r="F1010" s="19"/>
      <c r="G1010" s="19"/>
    </row>
    <row r="1011" spans="1:7" ht="7.35" customHeight="1">
      <c r="A1011" s="146" t="s">
        <v>142</v>
      </c>
      <c r="B1011" s="146" t="str">
        <f t="shared" si="85"/>
        <v>B01_Assessment</v>
      </c>
      <c r="C1011" s="146" t="s">
        <v>284</v>
      </c>
      <c r="D1011" s="147" t="s">
        <v>275</v>
      </c>
      <c r="E1011" s="147" t="s">
        <v>899</v>
      </c>
      <c r="F1011" s="146" t="s">
        <v>11</v>
      </c>
      <c r="G1011" s="146" t="s">
        <v>900</v>
      </c>
    </row>
    <row r="1012" spans="1:7" ht="64.150000000000006"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1"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4.9"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1"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2"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15"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700000000000003"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700000000000003"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4"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700000000000003"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4.9"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15"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69.95"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3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4.9"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700000000000003"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6"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3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1"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1"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3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700000000000003"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4.9"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1"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99999999999994"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3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700000000000003"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700000000000003"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69.95"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3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3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4.9"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3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150000000000006"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15"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700000000000003"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150000000000006"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4.9"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4.9"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4.9"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3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700000000000003"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4.9"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700000000000003"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99999999999994"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3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3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1"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69.95"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3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700000000000003"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4.9"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69.95"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3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3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15"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150000000000006"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700000000000003"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1"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4.9"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1"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1"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1"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4.9"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4.9"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1"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3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1"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1"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3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15"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2.9"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2.9"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4.9"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2.9"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700000000000003"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1"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700000000000003"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1"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15"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4.9"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3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700000000000003"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3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1"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2.9"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700000000000003"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1"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4.9"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15"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3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4.9"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15"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700000000000003"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1"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700000000000003"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3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1"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3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1"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3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3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3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3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15"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3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3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3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1"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3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4.9"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3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15"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4.9"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1"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3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700000000000003"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4.9"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3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4.9"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3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150000000000006"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1"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1"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3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700000000000003"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15"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3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15"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4.9"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4.9"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15"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3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3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700000000000003"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3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3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3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15"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3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3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1"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1"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15"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1"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1"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150000000000006"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700000000000003"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1"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150000000000006"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1"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2.9"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3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2.9"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1"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700000000000003"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1"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1"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4.9"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4.9"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4.9"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150000000000006"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3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700000000000003"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1"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3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700000000000003"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69.95"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3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99999999999994"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700000000000003"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69.95"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3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150000000000006"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3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3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3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4.9"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69.95"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700000000000003"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1"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400000000000006"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15"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1"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69.95"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150000000000006"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4.9"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3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4.9"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2.9"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3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700000000000003"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4.9"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99999999999994"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3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3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400000000000006"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3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1"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6"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150000000000006"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700000000000003"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3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3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2.9"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150000000000006"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3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69.95"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700000000000003"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6"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700000000000003"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69.95"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3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3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3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150000000000006"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3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4.9"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69.95"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3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700000000000003"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400000000000006"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3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700000000000003"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69.95"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99999999999994"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700000000000003"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3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3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1"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150000000000006"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700000000000003"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4.9"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69.95"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700000000000003"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700000000000003"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69.95"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3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15"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400000000000006"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3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150000000000006"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150000000000006"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700000000000003"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700000000000003"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150000000000006"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2.9"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15"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15"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400000000000006"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15"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69.95"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69.95"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3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3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150000000000006"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1"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1"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3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4.9"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4.9"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400000000000006"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15"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15"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3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15"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3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150000000000006"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2.9"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4.9"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150000000000006"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1"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15"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700000000000003"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400000000000006"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3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400000000000006"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150000000000006"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3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1"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150000000000006"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1"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15"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3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400000000000006"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3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99999999999994"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69.95"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3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3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15"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700000000000003"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700000000000003"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700000000000003"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150000000000006"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3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3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150000000000006"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150000000000006"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3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700000000000003"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150000000000006"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15"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15"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3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15"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3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1"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1"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3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65"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65"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65"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65"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65"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65"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65"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65"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65"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65"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65"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65"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65"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65"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65"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65"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65"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65"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700000000000003"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1"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2.9"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1"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2.9"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2.9"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1"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15"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2.9"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2.9"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2.9"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2.9"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2.9"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3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15"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2.9"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1"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1"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1"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2.9"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15"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3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700000000000003"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700000000000003"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3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4.9"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2.9"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700000000000003"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700000000000003"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1"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3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700000000000003"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99999999999994"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15"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69.95"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3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4"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99999999999994"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150000000000006"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15"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150000000000006"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1"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6"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3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99999999999994"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3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6"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150000000000006"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3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3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99999999999994"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15"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3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15"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99999999999994"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3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400000000000006"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99999999999994"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3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4.9"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99999999999994"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3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4.9"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4.9"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3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69.95"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3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700000000000003"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700000000000003"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15"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99999999999994"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700000000000003"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15"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3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15"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150000000000006"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15"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15"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700000000000003"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15"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99999999999994"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700000000000003"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4.9"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4.9"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700000000000003"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3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3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3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700000000000003"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700000000000003"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700000000000003"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1"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3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700000000000003"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15"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3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502"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501" priority="6">
      <formula>LEFT(AN3,1)="🟢"</formula>
    </cfRule>
    <cfRule type="expression" dxfId="1500" priority="7">
      <formula>LEFT(AN3,1)="🟡"</formula>
    </cfRule>
    <cfRule type="expression" dxfId="1499"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tabSelected="1" zoomScale="80" zoomScaleNormal="80" workbookViewId="0">
      <selection activeCell="F108" sqref="F108:J108"/>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6.28515625" style="8" customWidth="1"/>
    <col min="9" max="9" width="18" style="8" customWidth="1"/>
    <col min="10" max="10" width="34" style="8" customWidth="1"/>
    <col min="11" max="12" width="8.7109375" style="8" customWidth="1"/>
    <col min="13" max="16384" width="8.7109375" style="8"/>
  </cols>
  <sheetData>
    <row r="1" spans="1:10" ht="39" customHeight="1">
      <c r="A1" s="601" t="s">
        <v>3172</v>
      </c>
      <c r="B1" s="602"/>
      <c r="C1" s="602"/>
      <c r="D1" s="602"/>
      <c r="E1" s="602"/>
      <c r="F1" s="602"/>
      <c r="G1" s="602"/>
      <c r="H1" s="602"/>
      <c r="I1" s="602"/>
      <c r="J1" s="603"/>
    </row>
    <row r="2" spans="1:10" s="223" customFormat="1" ht="16.899999999999999" customHeight="1">
      <c r="A2" s="551" t="s">
        <v>142</v>
      </c>
      <c r="B2" s="220" t="s">
        <v>374</v>
      </c>
      <c r="C2" s="219" t="s">
        <v>902</v>
      </c>
      <c r="D2" s="220" t="s">
        <v>5492</v>
      </c>
      <c r="E2" s="219" t="s">
        <v>151</v>
      </c>
      <c r="F2" s="220" t="s">
        <v>5493</v>
      </c>
      <c r="G2" s="219" t="s">
        <v>174</v>
      </c>
      <c r="H2" s="221">
        <v>0</v>
      </c>
      <c r="I2" s="219" t="s">
        <v>154</v>
      </c>
      <c r="J2" s="552" t="s">
        <v>5491</v>
      </c>
    </row>
    <row r="3" spans="1:10" s="227" customFormat="1" ht="34.9" customHeight="1">
      <c r="A3" s="551" t="s">
        <v>903</v>
      </c>
      <c r="B3" s="224">
        <v>46198.794316967593</v>
      </c>
      <c r="C3" s="225" t="s">
        <v>904</v>
      </c>
      <c r="D3" s="226" t="s">
        <v>721</v>
      </c>
      <c r="E3" s="219" t="s">
        <v>905</v>
      </c>
      <c r="F3" s="226" t="s">
        <v>3173</v>
      </c>
      <c r="G3" s="219" t="s">
        <v>907</v>
      </c>
      <c r="H3" s="226" t="s">
        <v>908</v>
      </c>
      <c r="I3" s="219" t="s">
        <v>551</v>
      </c>
      <c r="J3" s="553" t="s">
        <v>3174</v>
      </c>
    </row>
    <row r="4" spans="1:10" s="227" customFormat="1" ht="281.25" customHeight="1">
      <c r="A4" s="551" t="s">
        <v>161</v>
      </c>
      <c r="B4" s="226">
        <v>0</v>
      </c>
      <c r="C4" s="219" t="s">
        <v>199</v>
      </c>
      <c r="D4" s="226">
        <v>0</v>
      </c>
      <c r="E4" s="219" t="s">
        <v>179</v>
      </c>
      <c r="F4" s="226">
        <v>0</v>
      </c>
      <c r="G4" s="219" t="s">
        <v>870</v>
      </c>
      <c r="H4" s="228" t="s">
        <v>3175</v>
      </c>
      <c r="I4" s="229"/>
      <c r="J4" s="554"/>
    </row>
    <row r="5" spans="1:10" s="227" customFormat="1" ht="39" customHeight="1">
      <c r="A5" s="555" t="s">
        <v>911</v>
      </c>
      <c r="B5" s="221" t="s">
        <v>677</v>
      </c>
      <c r="C5" s="231" t="s">
        <v>912</v>
      </c>
      <c r="D5" s="221" t="s">
        <v>677</v>
      </c>
      <c r="E5" s="232" t="s">
        <v>913</v>
      </c>
      <c r="F5" s="221" t="s">
        <v>677</v>
      </c>
      <c r="G5" s="233" t="s">
        <v>914</v>
      </c>
      <c r="H5" s="221" t="s">
        <v>677</v>
      </c>
      <c r="I5" s="233" t="s">
        <v>915</v>
      </c>
      <c r="J5" s="556" t="s">
        <v>677</v>
      </c>
    </row>
    <row r="6" spans="1:10" s="227" customFormat="1" ht="78.75" customHeight="1">
      <c r="A6" s="557" t="s">
        <v>916</v>
      </c>
      <c r="B6" s="221" t="s">
        <v>677</v>
      </c>
      <c r="C6" s="235" t="s">
        <v>869</v>
      </c>
      <c r="D6" s="604" t="s">
        <v>3176</v>
      </c>
      <c r="E6" s="582"/>
      <c r="F6" s="582"/>
      <c r="G6" s="582"/>
      <c r="H6" s="582"/>
      <c r="I6" s="582"/>
      <c r="J6" s="595"/>
    </row>
    <row r="7" spans="1:10" ht="7.35" customHeight="1">
      <c r="A7" s="558"/>
      <c r="B7" s="315"/>
      <c r="C7" s="315"/>
      <c r="D7" s="315"/>
      <c r="E7" s="315"/>
      <c r="F7" s="315"/>
      <c r="G7" s="315"/>
      <c r="H7" s="315"/>
      <c r="I7" s="315"/>
      <c r="J7" s="559"/>
    </row>
    <row r="8" spans="1:10">
      <c r="A8" s="574" t="s">
        <v>918</v>
      </c>
      <c r="B8" s="582"/>
      <c r="C8" s="582"/>
      <c r="D8" s="317"/>
      <c r="E8" s="317"/>
      <c r="F8" s="317"/>
      <c r="G8" s="317"/>
      <c r="H8" s="317"/>
      <c r="I8" s="317"/>
      <c r="J8" s="560"/>
    </row>
    <row r="9" spans="1:10">
      <c r="A9" s="561" t="s">
        <v>142</v>
      </c>
      <c r="B9" s="318" t="s">
        <v>275</v>
      </c>
      <c r="C9" s="318" t="s">
        <v>884</v>
      </c>
      <c r="D9" s="318" t="s">
        <v>885</v>
      </c>
      <c r="E9" s="318" t="s">
        <v>886</v>
      </c>
      <c r="F9" s="318" t="s">
        <v>887</v>
      </c>
      <c r="G9" s="318" t="s">
        <v>888</v>
      </c>
      <c r="H9" s="318" t="s">
        <v>77</v>
      </c>
      <c r="I9" s="318" t="s">
        <v>889</v>
      </c>
      <c r="J9" s="562" t="s">
        <v>11</v>
      </c>
    </row>
    <row r="10" spans="1:10" ht="108.75" customHeight="1">
      <c r="A10" s="558" t="s">
        <v>374</v>
      </c>
      <c r="B10" s="315" t="s">
        <v>3177</v>
      </c>
      <c r="C10" s="315" t="s">
        <v>923</v>
      </c>
      <c r="D10" s="315" t="s">
        <v>3178</v>
      </c>
      <c r="E10" s="315" t="s">
        <v>356</v>
      </c>
      <c r="F10" s="315">
        <v>1</v>
      </c>
      <c r="G10" s="315">
        <v>1</v>
      </c>
      <c r="H10" s="315" t="s">
        <v>546</v>
      </c>
      <c r="I10" s="315" t="s">
        <v>3179</v>
      </c>
      <c r="J10" s="559" t="s">
        <v>3180</v>
      </c>
    </row>
    <row r="11" spans="1:10" ht="110.25" customHeight="1">
      <c r="A11" s="558" t="s">
        <v>374</v>
      </c>
      <c r="B11" s="315" t="s">
        <v>699</v>
      </c>
      <c r="C11" s="315" t="s">
        <v>919</v>
      </c>
      <c r="D11" s="315" t="s">
        <v>3181</v>
      </c>
      <c r="E11" s="315" t="s">
        <v>356</v>
      </c>
      <c r="F11" s="315">
        <v>1</v>
      </c>
      <c r="G11" s="315">
        <v>1</v>
      </c>
      <c r="H11" s="315" t="s">
        <v>546</v>
      </c>
      <c r="I11" s="315" t="s">
        <v>3182</v>
      </c>
      <c r="J11" s="559" t="s">
        <v>3183</v>
      </c>
    </row>
    <row r="12" spans="1:10" ht="109.5" customHeight="1">
      <c r="A12" s="558" t="s">
        <v>374</v>
      </c>
      <c r="B12" s="315" t="s">
        <v>709</v>
      </c>
      <c r="C12" s="315" t="s">
        <v>933</v>
      </c>
      <c r="D12" s="315" t="s">
        <v>3184</v>
      </c>
      <c r="E12" s="315" t="s">
        <v>356</v>
      </c>
      <c r="F12" s="315">
        <v>1</v>
      </c>
      <c r="G12" s="315">
        <v>1</v>
      </c>
      <c r="H12" s="315" t="s">
        <v>546</v>
      </c>
      <c r="I12" s="315" t="s">
        <v>3185</v>
      </c>
      <c r="J12" s="559" t="s">
        <v>3186</v>
      </c>
    </row>
    <row r="13" spans="1:10" ht="102">
      <c r="A13" s="558" t="s">
        <v>374</v>
      </c>
      <c r="B13" s="315" t="s">
        <v>3187</v>
      </c>
      <c r="C13" s="315" t="s">
        <v>919</v>
      </c>
      <c r="D13" s="315" t="s">
        <v>3188</v>
      </c>
      <c r="E13" s="315" t="s">
        <v>3189</v>
      </c>
      <c r="F13" s="315">
        <v>11</v>
      </c>
      <c r="G13" s="315">
        <v>0</v>
      </c>
      <c r="H13" s="315" t="s">
        <v>546</v>
      </c>
      <c r="I13" s="315" t="s">
        <v>3190</v>
      </c>
      <c r="J13" s="559" t="s">
        <v>3191</v>
      </c>
    </row>
    <row r="14" spans="1:10">
      <c r="A14" s="558"/>
      <c r="B14" s="315"/>
      <c r="C14" s="315"/>
      <c r="D14" s="315"/>
      <c r="E14" s="315"/>
      <c r="F14" s="315"/>
      <c r="G14" s="315"/>
      <c r="H14" s="315"/>
      <c r="I14" s="315"/>
      <c r="J14" s="559"/>
    </row>
    <row r="15" spans="1:10">
      <c r="A15" s="574" t="s">
        <v>936</v>
      </c>
      <c r="B15" s="582"/>
      <c r="C15" s="582"/>
      <c r="D15" s="317"/>
      <c r="E15" s="317"/>
      <c r="F15" s="317"/>
      <c r="G15" s="317"/>
      <c r="H15" s="317"/>
      <c r="I15" s="317"/>
      <c r="J15" s="560"/>
    </row>
    <row r="16" spans="1:10">
      <c r="A16" s="561" t="s">
        <v>275</v>
      </c>
      <c r="B16" s="318" t="s">
        <v>937</v>
      </c>
      <c r="C16" s="318" t="s">
        <v>938</v>
      </c>
      <c r="D16" s="318" t="s">
        <v>939</v>
      </c>
      <c r="E16" s="318" t="s">
        <v>940</v>
      </c>
      <c r="F16" s="318" t="s">
        <v>941</v>
      </c>
      <c r="G16" s="318" t="s">
        <v>942</v>
      </c>
      <c r="H16" s="318" t="s">
        <v>943</v>
      </c>
      <c r="I16" s="318" t="s">
        <v>899</v>
      </c>
      <c r="J16" s="562" t="s">
        <v>944</v>
      </c>
    </row>
    <row r="17" spans="1:10" ht="92.25" customHeight="1">
      <c r="A17" s="558" t="s">
        <v>3177</v>
      </c>
      <c r="B17" s="315" t="s">
        <v>677</v>
      </c>
      <c r="C17" s="315" t="s">
        <v>677</v>
      </c>
      <c r="D17" s="315" t="s">
        <v>677</v>
      </c>
      <c r="E17" s="315" t="s">
        <v>677</v>
      </c>
      <c r="F17" s="315" t="s">
        <v>677</v>
      </c>
      <c r="G17" s="315" t="s">
        <v>677</v>
      </c>
      <c r="H17" s="315" t="s">
        <v>677</v>
      </c>
      <c r="I17" s="315" t="s">
        <v>677</v>
      </c>
      <c r="J17" s="559" t="s">
        <v>3192</v>
      </c>
    </row>
    <row r="18" spans="1:10" ht="75.75" customHeight="1">
      <c r="A18" s="558" t="s">
        <v>699</v>
      </c>
      <c r="B18" s="315" t="s">
        <v>677</v>
      </c>
      <c r="C18" s="315" t="s">
        <v>677</v>
      </c>
      <c r="D18" s="315" t="s">
        <v>677</v>
      </c>
      <c r="E18" s="315" t="s">
        <v>677</v>
      </c>
      <c r="F18" s="315" t="s">
        <v>677</v>
      </c>
      <c r="G18" s="315" t="s">
        <v>677</v>
      </c>
      <c r="H18" s="315" t="s">
        <v>677</v>
      </c>
      <c r="I18" s="315" t="s">
        <v>677</v>
      </c>
      <c r="J18" s="559" t="s">
        <v>3193</v>
      </c>
    </row>
    <row r="19" spans="1:10" ht="82.5" customHeight="1">
      <c r="A19" s="558" t="s">
        <v>709</v>
      </c>
      <c r="B19" s="315" t="s">
        <v>677</v>
      </c>
      <c r="C19" s="315" t="s">
        <v>677</v>
      </c>
      <c r="D19" s="315" t="s">
        <v>677</v>
      </c>
      <c r="E19" s="315" t="s">
        <v>677</v>
      </c>
      <c r="F19" s="315" t="s">
        <v>677</v>
      </c>
      <c r="G19" s="315" t="s">
        <v>677</v>
      </c>
      <c r="H19" s="315" t="s">
        <v>677</v>
      </c>
      <c r="I19" s="315" t="s">
        <v>677</v>
      </c>
      <c r="J19" s="559" t="s">
        <v>3194</v>
      </c>
    </row>
    <row r="20" spans="1:10" ht="51">
      <c r="A20" s="558" t="s">
        <v>3187</v>
      </c>
      <c r="B20" s="315" t="s">
        <v>946</v>
      </c>
      <c r="C20" s="315" t="s">
        <v>946</v>
      </c>
      <c r="D20" s="315" t="s">
        <v>946</v>
      </c>
      <c r="E20" s="315" t="s">
        <v>677</v>
      </c>
      <c r="F20" s="315" t="s">
        <v>677</v>
      </c>
      <c r="G20" s="315" t="s">
        <v>677</v>
      </c>
      <c r="H20" s="315" t="s">
        <v>677</v>
      </c>
      <c r="I20" s="315" t="s">
        <v>677</v>
      </c>
      <c r="J20" s="559" t="s">
        <v>3195</v>
      </c>
    </row>
    <row r="21" spans="1:10">
      <c r="A21" s="558"/>
      <c r="B21" s="315"/>
      <c r="C21" s="315"/>
      <c r="D21" s="315"/>
      <c r="E21" s="315"/>
      <c r="F21" s="315"/>
      <c r="G21" s="315"/>
      <c r="H21" s="315"/>
      <c r="I21" s="315"/>
      <c r="J21" s="559"/>
    </row>
    <row r="22" spans="1:10">
      <c r="A22" s="574" t="s">
        <v>951</v>
      </c>
      <c r="B22" s="582"/>
      <c r="C22" s="582"/>
      <c r="D22" s="317"/>
      <c r="E22" s="317"/>
      <c r="F22" s="317"/>
      <c r="G22" s="317"/>
      <c r="H22" s="317"/>
      <c r="I22" s="317"/>
      <c r="J22" s="560"/>
    </row>
    <row r="23" spans="1:10">
      <c r="A23" s="561" t="s">
        <v>275</v>
      </c>
      <c r="B23" s="318" t="s">
        <v>952</v>
      </c>
      <c r="C23" s="318" t="s">
        <v>953</v>
      </c>
      <c r="D23" s="318" t="s">
        <v>954</v>
      </c>
      <c r="E23" s="318" t="s">
        <v>955</v>
      </c>
      <c r="F23" s="318" t="s">
        <v>956</v>
      </c>
      <c r="G23" s="318" t="s">
        <v>957</v>
      </c>
      <c r="H23" s="318" t="s">
        <v>958</v>
      </c>
      <c r="I23" s="318" t="s">
        <v>899</v>
      </c>
      <c r="J23" s="562" t="s">
        <v>959</v>
      </c>
    </row>
    <row r="24" spans="1:10" ht="95.25" customHeight="1">
      <c r="A24" s="558" t="s">
        <v>3177</v>
      </c>
      <c r="B24" s="315" t="s">
        <v>677</v>
      </c>
      <c r="C24" s="315" t="s">
        <v>677</v>
      </c>
      <c r="D24" s="315" t="s">
        <v>677</v>
      </c>
      <c r="E24" s="315" t="s">
        <v>677</v>
      </c>
      <c r="F24" s="315" t="s">
        <v>677</v>
      </c>
      <c r="G24" s="315" t="s">
        <v>677</v>
      </c>
      <c r="H24" s="315" t="s">
        <v>677</v>
      </c>
      <c r="I24" s="315" t="s">
        <v>677</v>
      </c>
      <c r="J24" s="559" t="s">
        <v>3196</v>
      </c>
    </row>
    <row r="25" spans="1:10" ht="69.75" customHeight="1">
      <c r="A25" s="558" t="s">
        <v>699</v>
      </c>
      <c r="B25" s="315" t="s">
        <v>677</v>
      </c>
      <c r="C25" s="315" t="s">
        <v>677</v>
      </c>
      <c r="D25" s="315" t="s">
        <v>677</v>
      </c>
      <c r="E25" s="315" t="s">
        <v>677</v>
      </c>
      <c r="F25" s="315" t="s">
        <v>677</v>
      </c>
      <c r="G25" s="315" t="s">
        <v>677</v>
      </c>
      <c r="H25" s="315" t="s">
        <v>677</v>
      </c>
      <c r="I25" s="315" t="s">
        <v>677</v>
      </c>
      <c r="J25" s="559" t="s">
        <v>3197</v>
      </c>
    </row>
    <row r="26" spans="1:10" ht="68.25" customHeight="1">
      <c r="A26" s="558" t="s">
        <v>709</v>
      </c>
      <c r="B26" s="315" t="s">
        <v>677</v>
      </c>
      <c r="C26" s="315" t="s">
        <v>677</v>
      </c>
      <c r="D26" s="315" t="s">
        <v>677</v>
      </c>
      <c r="E26" s="315" t="s">
        <v>677</v>
      </c>
      <c r="F26" s="315" t="s">
        <v>677</v>
      </c>
      <c r="G26" s="315" t="s">
        <v>677</v>
      </c>
      <c r="H26" s="315" t="s">
        <v>677</v>
      </c>
      <c r="I26" s="315" t="s">
        <v>677</v>
      </c>
      <c r="J26" s="559" t="s">
        <v>3198</v>
      </c>
    </row>
    <row r="27" spans="1:10" ht="51">
      <c r="A27" s="558" t="s">
        <v>3187</v>
      </c>
      <c r="B27" s="315" t="s">
        <v>677</v>
      </c>
      <c r="C27" s="315" t="s">
        <v>679</v>
      </c>
      <c r="D27" s="315" t="s">
        <v>677</v>
      </c>
      <c r="E27" s="315" t="s">
        <v>677</v>
      </c>
      <c r="F27" s="315" t="s">
        <v>677</v>
      </c>
      <c r="G27" s="315" t="s">
        <v>677</v>
      </c>
      <c r="H27" s="315" t="s">
        <v>677</v>
      </c>
      <c r="I27" s="315" t="s">
        <v>677</v>
      </c>
      <c r="J27" s="559" t="s">
        <v>3199</v>
      </c>
    </row>
    <row r="28" spans="1:10">
      <c r="A28" s="558"/>
      <c r="B28" s="315"/>
      <c r="C28" s="315"/>
      <c r="D28" s="315"/>
      <c r="E28" s="315"/>
      <c r="F28" s="315"/>
      <c r="G28" s="315"/>
      <c r="H28" s="315"/>
      <c r="I28" s="315"/>
      <c r="J28" s="559"/>
    </row>
    <row r="29" spans="1:10">
      <c r="A29" s="574" t="s">
        <v>964</v>
      </c>
      <c r="B29" s="582"/>
      <c r="C29" s="582"/>
      <c r="D29" s="317"/>
      <c r="E29" s="317"/>
      <c r="F29" s="317"/>
      <c r="G29" s="317"/>
      <c r="H29" s="317"/>
      <c r="I29" s="317"/>
      <c r="J29" s="560"/>
    </row>
    <row r="30" spans="1:10">
      <c r="A30" s="561" t="s">
        <v>275</v>
      </c>
      <c r="B30" s="318" t="s">
        <v>965</v>
      </c>
      <c r="C30" s="318" t="s">
        <v>966</v>
      </c>
      <c r="D30" s="318" t="s">
        <v>967</v>
      </c>
      <c r="E30" s="318" t="s">
        <v>968</v>
      </c>
      <c r="F30" s="318" t="s">
        <v>969</v>
      </c>
      <c r="G30" s="318" t="s">
        <v>970</v>
      </c>
      <c r="H30" s="318" t="s">
        <v>971</v>
      </c>
      <c r="I30" s="318" t="s">
        <v>899</v>
      </c>
      <c r="J30" s="562" t="s">
        <v>959</v>
      </c>
    </row>
    <row r="31" spans="1:10" ht="91.5" customHeight="1">
      <c r="A31" s="558" t="s">
        <v>3177</v>
      </c>
      <c r="B31" s="315" t="s">
        <v>1696</v>
      </c>
      <c r="C31" s="315" t="s">
        <v>546</v>
      </c>
      <c r="D31" s="315" t="s">
        <v>546</v>
      </c>
      <c r="E31" s="315" t="s">
        <v>546</v>
      </c>
      <c r="F31" s="315" t="s">
        <v>677</v>
      </c>
      <c r="G31" s="315" t="s">
        <v>677</v>
      </c>
      <c r="H31" s="315" t="s">
        <v>677</v>
      </c>
      <c r="I31" s="315" t="s">
        <v>677</v>
      </c>
      <c r="J31" s="559" t="s">
        <v>3200</v>
      </c>
    </row>
    <row r="32" spans="1:10" ht="67.5" customHeight="1">
      <c r="A32" s="558" t="s">
        <v>699</v>
      </c>
      <c r="B32" s="315" t="s">
        <v>972</v>
      </c>
      <c r="C32" s="315" t="s">
        <v>677</v>
      </c>
      <c r="D32" s="315" t="s">
        <v>677</v>
      </c>
      <c r="E32" s="315" t="s">
        <v>677</v>
      </c>
      <c r="F32" s="315" t="s">
        <v>677</v>
      </c>
      <c r="G32" s="315" t="s">
        <v>677</v>
      </c>
      <c r="H32" s="315" t="s">
        <v>677</v>
      </c>
      <c r="I32" s="315" t="s">
        <v>677</v>
      </c>
      <c r="J32" s="559" t="s">
        <v>3201</v>
      </c>
    </row>
    <row r="33" spans="1:10" ht="71.25" customHeight="1">
      <c r="A33" s="558" t="s">
        <v>709</v>
      </c>
      <c r="B33" s="315" t="s">
        <v>1589</v>
      </c>
      <c r="C33" s="315" t="s">
        <v>677</v>
      </c>
      <c r="D33" s="315" t="s">
        <v>677</v>
      </c>
      <c r="E33" s="315" t="s">
        <v>677</v>
      </c>
      <c r="F33" s="315" t="s">
        <v>677</v>
      </c>
      <c r="G33" s="315" t="s">
        <v>677</v>
      </c>
      <c r="H33" s="315" t="s">
        <v>677</v>
      </c>
      <c r="I33" s="315" t="s">
        <v>677</v>
      </c>
      <c r="J33" s="559" t="s">
        <v>3202</v>
      </c>
    </row>
    <row r="34" spans="1:10" ht="76.5">
      <c r="A34" s="558" t="s">
        <v>3187</v>
      </c>
      <c r="B34" s="315" t="s">
        <v>946</v>
      </c>
      <c r="C34" s="315" t="s">
        <v>677</v>
      </c>
      <c r="D34" s="315" t="s">
        <v>677</v>
      </c>
      <c r="E34" s="315" t="s">
        <v>677</v>
      </c>
      <c r="F34" s="315" t="s">
        <v>677</v>
      </c>
      <c r="G34" s="315" t="s">
        <v>677</v>
      </c>
      <c r="H34" s="315" t="s">
        <v>677</v>
      </c>
      <c r="I34" s="315" t="s">
        <v>677</v>
      </c>
      <c r="J34" s="559" t="s">
        <v>3203</v>
      </c>
    </row>
    <row r="35" spans="1:10">
      <c r="A35" s="558"/>
      <c r="B35" s="315"/>
      <c r="C35" s="315"/>
      <c r="D35" s="315"/>
      <c r="E35" s="315"/>
      <c r="F35" s="315"/>
      <c r="G35" s="315"/>
      <c r="H35" s="315"/>
      <c r="I35" s="315"/>
      <c r="J35" s="559"/>
    </row>
    <row r="36" spans="1:10">
      <c r="A36" s="574" t="s">
        <v>977</v>
      </c>
      <c r="B36" s="582"/>
      <c r="C36" s="582"/>
      <c r="D36" s="317"/>
      <c r="E36" s="317"/>
      <c r="F36" s="317"/>
      <c r="G36" s="317"/>
      <c r="H36" s="317"/>
      <c r="I36" s="317"/>
      <c r="J36" s="560"/>
    </row>
    <row r="37" spans="1:10">
      <c r="A37" s="561" t="s">
        <v>275</v>
      </c>
      <c r="B37" s="318" t="s">
        <v>978</v>
      </c>
      <c r="C37" s="318" t="s">
        <v>979</v>
      </c>
      <c r="D37" s="318" t="s">
        <v>980</v>
      </c>
      <c r="E37" s="318" t="s">
        <v>981</v>
      </c>
      <c r="F37" s="318" t="s">
        <v>982</v>
      </c>
      <c r="G37" s="318" t="s">
        <v>983</v>
      </c>
      <c r="H37" s="318" t="s">
        <v>984</v>
      </c>
      <c r="I37" s="318" t="s">
        <v>899</v>
      </c>
      <c r="J37" s="562" t="s">
        <v>11</v>
      </c>
    </row>
    <row r="38" spans="1:10" ht="96" customHeight="1">
      <c r="A38" s="558" t="s">
        <v>3177</v>
      </c>
      <c r="B38" s="315" t="s">
        <v>677</v>
      </c>
      <c r="C38" s="315" t="s">
        <v>985</v>
      </c>
      <c r="D38" s="315" t="s">
        <v>677</v>
      </c>
      <c r="E38" s="315" t="s">
        <v>677</v>
      </c>
      <c r="F38" s="315" t="s">
        <v>3204</v>
      </c>
      <c r="G38" s="315" t="s">
        <v>677</v>
      </c>
      <c r="H38" s="315" t="s">
        <v>677</v>
      </c>
      <c r="I38" s="315" t="s">
        <v>677</v>
      </c>
      <c r="J38" s="559" t="s">
        <v>3205</v>
      </c>
    </row>
    <row r="39" spans="1:10" ht="75.75" customHeight="1">
      <c r="A39" s="558" t="s">
        <v>699</v>
      </c>
      <c r="B39" s="315" t="s">
        <v>677</v>
      </c>
      <c r="C39" s="315" t="s">
        <v>985</v>
      </c>
      <c r="D39" s="315" t="s">
        <v>677</v>
      </c>
      <c r="E39" s="315" t="s">
        <v>677</v>
      </c>
      <c r="F39" s="315" t="s">
        <v>3206</v>
      </c>
      <c r="G39" s="315" t="s">
        <v>677</v>
      </c>
      <c r="H39" s="315" t="s">
        <v>677</v>
      </c>
      <c r="I39" s="315" t="s">
        <v>677</v>
      </c>
      <c r="J39" s="559" t="s">
        <v>3207</v>
      </c>
    </row>
    <row r="40" spans="1:10" ht="63" customHeight="1">
      <c r="A40" s="558" t="s">
        <v>709</v>
      </c>
      <c r="B40" s="315" t="s">
        <v>677</v>
      </c>
      <c r="C40" s="315" t="s">
        <v>985</v>
      </c>
      <c r="D40" s="315" t="s">
        <v>677</v>
      </c>
      <c r="E40" s="315" t="s">
        <v>677</v>
      </c>
      <c r="F40" s="315" t="s">
        <v>3208</v>
      </c>
      <c r="G40" s="315" t="s">
        <v>677</v>
      </c>
      <c r="H40" s="315" t="s">
        <v>677</v>
      </c>
      <c r="I40" s="315" t="s">
        <v>677</v>
      </c>
      <c r="J40" s="559" t="s">
        <v>3209</v>
      </c>
    </row>
    <row r="41" spans="1:10" ht="76.5">
      <c r="A41" s="558" t="s">
        <v>3187</v>
      </c>
      <c r="B41" s="315" t="s">
        <v>946</v>
      </c>
      <c r="C41" s="315" t="s">
        <v>3210</v>
      </c>
      <c r="D41" s="315" t="s">
        <v>946</v>
      </c>
      <c r="E41" s="315" t="s">
        <v>677</v>
      </c>
      <c r="F41" s="315" t="s">
        <v>3211</v>
      </c>
      <c r="G41" s="315" t="s">
        <v>677</v>
      </c>
      <c r="H41" s="315" t="s">
        <v>677</v>
      </c>
      <c r="I41" s="315" t="s">
        <v>677</v>
      </c>
      <c r="J41" s="559" t="s">
        <v>3212</v>
      </c>
    </row>
    <row r="42" spans="1:10">
      <c r="A42" s="558"/>
      <c r="B42" s="315"/>
      <c r="C42" s="315"/>
      <c r="D42" s="315"/>
      <c r="E42" s="315"/>
      <c r="F42" s="315"/>
      <c r="G42" s="315"/>
      <c r="H42" s="315"/>
      <c r="I42" s="315"/>
      <c r="J42" s="559"/>
    </row>
    <row r="43" spans="1:10">
      <c r="A43" s="574" t="s">
        <v>994</v>
      </c>
      <c r="B43" s="582"/>
      <c r="C43" s="582"/>
      <c r="D43" s="317"/>
      <c r="E43" s="317"/>
      <c r="F43" s="317"/>
      <c r="G43" s="317"/>
      <c r="H43" s="317"/>
      <c r="I43" s="317"/>
      <c r="J43" s="560"/>
    </row>
    <row r="44" spans="1:10">
      <c r="A44" s="561" t="s">
        <v>275</v>
      </c>
      <c r="B44" s="318" t="s">
        <v>995</v>
      </c>
      <c r="C44" s="318" t="s">
        <v>996</v>
      </c>
      <c r="D44" s="318" t="s">
        <v>997</v>
      </c>
      <c r="E44" s="318" t="s">
        <v>998</v>
      </c>
      <c r="F44" s="318" t="s">
        <v>999</v>
      </c>
      <c r="G44" s="318" t="s">
        <v>1000</v>
      </c>
      <c r="H44" s="318" t="s">
        <v>1001</v>
      </c>
      <c r="I44" s="318" t="s">
        <v>899</v>
      </c>
      <c r="J44" s="562" t="s">
        <v>11</v>
      </c>
    </row>
    <row r="45" spans="1:10" ht="75" customHeight="1">
      <c r="A45" s="558" t="s">
        <v>3177</v>
      </c>
      <c r="B45" s="315" t="s">
        <v>677</v>
      </c>
      <c r="C45" s="315" t="s">
        <v>677</v>
      </c>
      <c r="D45" s="315" t="s">
        <v>677</v>
      </c>
      <c r="E45" s="315" t="s">
        <v>677</v>
      </c>
      <c r="F45" s="315" t="s">
        <v>677</v>
      </c>
      <c r="G45" s="315" t="s">
        <v>677</v>
      </c>
      <c r="H45" s="315" t="s">
        <v>677</v>
      </c>
      <c r="I45" s="315" t="s">
        <v>677</v>
      </c>
      <c r="J45" s="559" t="s">
        <v>3213</v>
      </c>
    </row>
    <row r="46" spans="1:10" ht="79.150000000000006" customHeight="1">
      <c r="A46" s="558" t="s">
        <v>699</v>
      </c>
      <c r="B46" s="315" t="s">
        <v>677</v>
      </c>
      <c r="C46" s="315" t="s">
        <v>677</v>
      </c>
      <c r="D46" s="315" t="s">
        <v>677</v>
      </c>
      <c r="E46" s="315" t="s">
        <v>677</v>
      </c>
      <c r="F46" s="315" t="s">
        <v>677</v>
      </c>
      <c r="G46" s="315" t="s">
        <v>677</v>
      </c>
      <c r="H46" s="315" t="s">
        <v>677</v>
      </c>
      <c r="I46" s="315" t="s">
        <v>677</v>
      </c>
      <c r="J46" s="559" t="s">
        <v>3214</v>
      </c>
    </row>
    <row r="47" spans="1:10" ht="75.599999999999994" customHeight="1">
      <c r="A47" s="558" t="s">
        <v>709</v>
      </c>
      <c r="B47" s="315" t="s">
        <v>677</v>
      </c>
      <c r="C47" s="315" t="s">
        <v>677</v>
      </c>
      <c r="D47" s="315" t="s">
        <v>677</v>
      </c>
      <c r="E47" s="315" t="s">
        <v>677</v>
      </c>
      <c r="F47" s="315" t="s">
        <v>677</v>
      </c>
      <c r="G47" s="315" t="s">
        <v>677</v>
      </c>
      <c r="H47" s="315" t="s">
        <v>677</v>
      </c>
      <c r="I47" s="315" t="s">
        <v>677</v>
      </c>
      <c r="J47" s="559" t="s">
        <v>3215</v>
      </c>
    </row>
    <row r="48" spans="1:10" ht="63.75">
      <c r="A48" s="558" t="s">
        <v>3187</v>
      </c>
      <c r="B48" s="315" t="s">
        <v>946</v>
      </c>
      <c r="C48" s="315" t="s">
        <v>946</v>
      </c>
      <c r="D48" s="315" t="s">
        <v>946</v>
      </c>
      <c r="E48" s="315" t="s">
        <v>677</v>
      </c>
      <c r="F48" s="315" t="s">
        <v>677</v>
      </c>
      <c r="G48" s="315" t="s">
        <v>677</v>
      </c>
      <c r="H48" s="315" t="s">
        <v>677</v>
      </c>
      <c r="I48" s="315" t="s">
        <v>677</v>
      </c>
      <c r="J48" s="559" t="s">
        <v>3216</v>
      </c>
    </row>
    <row r="49" spans="1:10">
      <c r="A49" s="558"/>
      <c r="B49" s="315"/>
      <c r="C49" s="315"/>
      <c r="D49" s="315"/>
      <c r="E49" s="315"/>
      <c r="F49" s="315"/>
      <c r="G49" s="315"/>
      <c r="H49" s="315"/>
      <c r="I49" s="315"/>
      <c r="J49" s="559"/>
    </row>
    <row r="50" spans="1:10">
      <c r="A50" s="574" t="s">
        <v>1007</v>
      </c>
      <c r="B50" s="582"/>
      <c r="C50" s="582"/>
      <c r="D50" s="317"/>
      <c r="E50" s="317"/>
      <c r="F50" s="317"/>
      <c r="G50" s="317"/>
      <c r="H50" s="317"/>
      <c r="I50" s="317"/>
      <c r="J50" s="560"/>
    </row>
    <row r="51" spans="1:10">
      <c r="A51" s="561" t="s">
        <v>275</v>
      </c>
      <c r="B51" s="318" t="s">
        <v>1008</v>
      </c>
      <c r="C51" s="318" t="s">
        <v>1009</v>
      </c>
      <c r="D51" s="318" t="s">
        <v>1010</v>
      </c>
      <c r="E51" s="318" t="s">
        <v>1011</v>
      </c>
      <c r="F51" s="318" t="s">
        <v>1012</v>
      </c>
      <c r="G51" s="318" t="s">
        <v>1013</v>
      </c>
      <c r="H51" s="318" t="s">
        <v>1014</v>
      </c>
      <c r="I51" s="318" t="s">
        <v>899</v>
      </c>
      <c r="J51" s="562" t="s">
        <v>11</v>
      </c>
    </row>
    <row r="52" spans="1:10" ht="80.25" customHeight="1">
      <c r="A52" s="558" t="s">
        <v>3177</v>
      </c>
      <c r="B52" s="315" t="s">
        <v>677</v>
      </c>
      <c r="C52" s="315" t="s">
        <v>677</v>
      </c>
      <c r="D52" s="315" t="s">
        <v>677</v>
      </c>
      <c r="E52" s="315" t="s">
        <v>677</v>
      </c>
      <c r="F52" s="315" t="s">
        <v>677</v>
      </c>
      <c r="G52" s="315" t="s">
        <v>677</v>
      </c>
      <c r="H52" s="315" t="s">
        <v>677</v>
      </c>
      <c r="I52" s="315" t="s">
        <v>677</v>
      </c>
      <c r="J52" s="559" t="s">
        <v>3217</v>
      </c>
    </row>
    <row r="53" spans="1:10" ht="55.15" customHeight="1">
      <c r="A53" s="558" t="s">
        <v>699</v>
      </c>
      <c r="B53" s="315" t="s">
        <v>677</v>
      </c>
      <c r="C53" s="315" t="s">
        <v>677</v>
      </c>
      <c r="D53" s="315" t="s">
        <v>677</v>
      </c>
      <c r="E53" s="315" t="s">
        <v>677</v>
      </c>
      <c r="F53" s="315" t="s">
        <v>677</v>
      </c>
      <c r="G53" s="315" t="s">
        <v>677</v>
      </c>
      <c r="H53" s="315" t="s">
        <v>677</v>
      </c>
      <c r="I53" s="315" t="s">
        <v>677</v>
      </c>
      <c r="J53" s="559" t="s">
        <v>3218</v>
      </c>
    </row>
    <row r="54" spans="1:10" ht="66" customHeight="1">
      <c r="A54" s="558" t="s">
        <v>709</v>
      </c>
      <c r="B54" s="315" t="s">
        <v>677</v>
      </c>
      <c r="C54" s="315" t="s">
        <v>677</v>
      </c>
      <c r="D54" s="315" t="s">
        <v>677</v>
      </c>
      <c r="E54" s="315" t="s">
        <v>677</v>
      </c>
      <c r="F54" s="315" t="s">
        <v>677</v>
      </c>
      <c r="G54" s="315" t="s">
        <v>677</v>
      </c>
      <c r="H54" s="315" t="s">
        <v>677</v>
      </c>
      <c r="I54" s="315" t="s">
        <v>677</v>
      </c>
      <c r="J54" s="559" t="s">
        <v>3219</v>
      </c>
    </row>
    <row r="55" spans="1:10" ht="51">
      <c r="A55" s="558" t="s">
        <v>3187</v>
      </c>
      <c r="B55" s="315" t="s">
        <v>946</v>
      </c>
      <c r="C55" s="315" t="s">
        <v>946</v>
      </c>
      <c r="D55" s="315" t="s">
        <v>946</v>
      </c>
      <c r="E55" s="315" t="s">
        <v>946</v>
      </c>
      <c r="F55" s="315" t="s">
        <v>677</v>
      </c>
      <c r="G55" s="315" t="s">
        <v>677</v>
      </c>
      <c r="H55" s="315" t="s">
        <v>677</v>
      </c>
      <c r="I55" s="315" t="s">
        <v>677</v>
      </c>
      <c r="J55" s="559" t="s">
        <v>3220</v>
      </c>
    </row>
    <row r="56" spans="1:10">
      <c r="A56" s="558"/>
      <c r="B56" s="315"/>
      <c r="C56" s="315"/>
      <c r="D56" s="315"/>
      <c r="E56" s="315"/>
      <c r="F56" s="315"/>
      <c r="G56" s="315"/>
      <c r="H56" s="315"/>
      <c r="I56" s="315"/>
      <c r="J56" s="559"/>
    </row>
    <row r="57" spans="1:10">
      <c r="A57" s="574" t="s">
        <v>1019</v>
      </c>
      <c r="B57" s="582"/>
      <c r="C57" s="582"/>
      <c r="D57" s="317"/>
      <c r="E57" s="317"/>
      <c r="F57" s="317"/>
      <c r="G57" s="317"/>
      <c r="H57" s="317"/>
      <c r="I57" s="317"/>
      <c r="J57" s="560"/>
    </row>
    <row r="58" spans="1:10">
      <c r="A58" s="561" t="s">
        <v>213</v>
      </c>
      <c r="B58" s="318" t="s">
        <v>275</v>
      </c>
      <c r="C58" s="318" t="s">
        <v>573</v>
      </c>
      <c r="D58" s="318" t="s">
        <v>215</v>
      </c>
      <c r="E58" s="318" t="s">
        <v>257</v>
      </c>
      <c r="F58" s="318" t="s">
        <v>572</v>
      </c>
      <c r="G58" s="318" t="s">
        <v>259</v>
      </c>
      <c r="H58" s="318" t="s">
        <v>216</v>
      </c>
      <c r="I58" s="318" t="s">
        <v>77</v>
      </c>
      <c r="J58" s="562" t="s">
        <v>11</v>
      </c>
    </row>
    <row r="59" spans="1:10" ht="93" customHeight="1">
      <c r="A59" s="558" t="s">
        <v>3221</v>
      </c>
      <c r="B59" s="315" t="s">
        <v>575</v>
      </c>
      <c r="C59" s="315" t="s">
        <v>3222</v>
      </c>
      <c r="D59" s="315" t="s">
        <v>391</v>
      </c>
      <c r="E59" s="315" t="s">
        <v>488</v>
      </c>
      <c r="F59" s="315">
        <v>6</v>
      </c>
      <c r="G59" s="315" t="s">
        <v>1022</v>
      </c>
      <c r="H59" s="315" t="s">
        <v>1023</v>
      </c>
      <c r="I59" s="315" t="s">
        <v>235</v>
      </c>
      <c r="J59" s="559" t="s">
        <v>3223</v>
      </c>
    </row>
    <row r="60" spans="1:10" ht="100.5" customHeight="1">
      <c r="A60" s="558" t="s">
        <v>3224</v>
      </c>
      <c r="B60" s="315" t="s">
        <v>3225</v>
      </c>
      <c r="C60" s="315" t="s">
        <v>3226</v>
      </c>
      <c r="D60" s="315" t="s">
        <v>391</v>
      </c>
      <c r="E60" s="315" t="s">
        <v>488</v>
      </c>
      <c r="F60" s="315">
        <v>6</v>
      </c>
      <c r="G60" s="315" t="s">
        <v>3227</v>
      </c>
      <c r="H60" s="315" t="s">
        <v>1858</v>
      </c>
      <c r="I60" s="315" t="s">
        <v>235</v>
      </c>
      <c r="J60" s="559" t="s">
        <v>3228</v>
      </c>
    </row>
    <row r="61" spans="1:10" ht="108" customHeight="1">
      <c r="A61" s="558" t="s">
        <v>3229</v>
      </c>
      <c r="B61" s="315" t="s">
        <v>3187</v>
      </c>
      <c r="C61" s="315" t="s">
        <v>3230</v>
      </c>
      <c r="D61" s="315" t="s">
        <v>492</v>
      </c>
      <c r="E61" s="315" t="s">
        <v>488</v>
      </c>
      <c r="F61" s="315">
        <v>8</v>
      </c>
      <c r="G61" s="315" t="s">
        <v>3231</v>
      </c>
      <c r="H61" s="315" t="s">
        <v>595</v>
      </c>
      <c r="I61" s="315" t="s">
        <v>235</v>
      </c>
      <c r="J61" s="559" t="s">
        <v>3232</v>
      </c>
    </row>
    <row r="62" spans="1:10" ht="86.25" customHeight="1">
      <c r="A62" s="558" t="s">
        <v>3233</v>
      </c>
      <c r="B62" s="315" t="s">
        <v>1159</v>
      </c>
      <c r="C62" s="315" t="s">
        <v>3234</v>
      </c>
      <c r="D62" s="315" t="s">
        <v>492</v>
      </c>
      <c r="E62" s="315" t="s">
        <v>488</v>
      </c>
      <c r="F62" s="315">
        <v>8</v>
      </c>
      <c r="G62" s="315" t="s">
        <v>3235</v>
      </c>
      <c r="H62" s="315" t="s">
        <v>592</v>
      </c>
      <c r="I62" s="315" t="s">
        <v>235</v>
      </c>
      <c r="J62" s="559" t="s">
        <v>3236</v>
      </c>
    </row>
    <row r="63" spans="1:10" ht="96.75" customHeight="1">
      <c r="A63" s="558" t="s">
        <v>3237</v>
      </c>
      <c r="B63" s="315" t="s">
        <v>1159</v>
      </c>
      <c r="C63" s="315" t="s">
        <v>3238</v>
      </c>
      <c r="D63" s="315" t="s">
        <v>492</v>
      </c>
      <c r="E63" s="315" t="s">
        <v>488</v>
      </c>
      <c r="F63" s="315">
        <v>8</v>
      </c>
      <c r="G63" s="315" t="s">
        <v>3239</v>
      </c>
      <c r="H63" s="315" t="s">
        <v>1032</v>
      </c>
      <c r="I63" s="315" t="s">
        <v>235</v>
      </c>
      <c r="J63" s="559" t="s">
        <v>3240</v>
      </c>
    </row>
    <row r="64" spans="1:10" ht="95.25" customHeight="1">
      <c r="A64" s="558" t="s">
        <v>3241</v>
      </c>
      <c r="B64" s="315" t="s">
        <v>575</v>
      </c>
      <c r="C64" s="315" t="s">
        <v>3242</v>
      </c>
      <c r="D64" s="315" t="s">
        <v>391</v>
      </c>
      <c r="E64" s="315" t="s">
        <v>488</v>
      </c>
      <c r="F64" s="315">
        <v>6</v>
      </c>
      <c r="G64" s="315" t="s">
        <v>3243</v>
      </c>
      <c r="H64" s="315" t="s">
        <v>1037</v>
      </c>
      <c r="I64" s="315" t="s">
        <v>235</v>
      </c>
      <c r="J64" s="559" t="s">
        <v>3244</v>
      </c>
    </row>
    <row r="65" spans="1:10" ht="96.75" customHeight="1">
      <c r="A65" s="558" t="s">
        <v>3245</v>
      </c>
      <c r="B65" s="315" t="s">
        <v>575</v>
      </c>
      <c r="C65" s="315" t="s">
        <v>3246</v>
      </c>
      <c r="D65" s="315" t="s">
        <v>492</v>
      </c>
      <c r="E65" s="315" t="s">
        <v>488</v>
      </c>
      <c r="F65" s="315">
        <v>8</v>
      </c>
      <c r="G65" s="315" t="s">
        <v>1039</v>
      </c>
      <c r="H65" s="315" t="s">
        <v>584</v>
      </c>
      <c r="I65" s="315" t="s">
        <v>235</v>
      </c>
      <c r="J65" s="559" t="s">
        <v>3247</v>
      </c>
    </row>
    <row r="66" spans="1:10" ht="76.5">
      <c r="A66" s="558" t="s">
        <v>3248</v>
      </c>
      <c r="B66" s="315" t="s">
        <v>575</v>
      </c>
      <c r="C66" s="315" t="s">
        <v>1047</v>
      </c>
      <c r="D66" s="315" t="s">
        <v>391</v>
      </c>
      <c r="E66" s="315" t="s">
        <v>488</v>
      </c>
      <c r="F66" s="315">
        <v>6</v>
      </c>
      <c r="G66" s="315" t="s">
        <v>1048</v>
      </c>
      <c r="H66" s="315" t="s">
        <v>1049</v>
      </c>
      <c r="I66" s="315" t="s">
        <v>235</v>
      </c>
      <c r="J66" s="559" t="s">
        <v>3249</v>
      </c>
    </row>
    <row r="67" spans="1:10">
      <c r="A67" s="558"/>
      <c r="B67" s="315"/>
      <c r="C67" s="315"/>
      <c r="D67" s="315"/>
      <c r="E67" s="315"/>
      <c r="F67" s="315"/>
      <c r="G67" s="315"/>
      <c r="H67" s="315"/>
      <c r="I67" s="315"/>
      <c r="J67" s="559"/>
    </row>
    <row r="68" spans="1:10">
      <c r="A68" s="574" t="s">
        <v>1051</v>
      </c>
      <c r="B68" s="582"/>
      <c r="C68" s="582"/>
      <c r="D68" s="317"/>
      <c r="E68" s="317"/>
      <c r="F68" s="317"/>
      <c r="G68" s="317"/>
      <c r="H68" s="317"/>
      <c r="I68" s="317"/>
      <c r="J68" s="560"/>
    </row>
    <row r="69" spans="1:10">
      <c r="A69" s="561" t="s">
        <v>221</v>
      </c>
      <c r="B69" s="318" t="s">
        <v>222</v>
      </c>
      <c r="C69" s="318" t="s">
        <v>265</v>
      </c>
      <c r="D69" s="318" t="s">
        <v>77</v>
      </c>
      <c r="E69" s="318" t="s">
        <v>878</v>
      </c>
      <c r="F69" s="318" t="s">
        <v>879</v>
      </c>
      <c r="G69" s="318" t="s">
        <v>880</v>
      </c>
      <c r="H69" s="318" t="s">
        <v>494</v>
      </c>
      <c r="I69" s="318" t="s">
        <v>881</v>
      </c>
      <c r="J69" s="562" t="s">
        <v>11</v>
      </c>
    </row>
    <row r="70" spans="1:10" ht="111.75" customHeight="1">
      <c r="A70" s="558" t="s">
        <v>3250</v>
      </c>
      <c r="B70" s="315" t="s">
        <v>3251</v>
      </c>
      <c r="C70" s="315" t="s">
        <v>579</v>
      </c>
      <c r="D70" s="315" t="s">
        <v>235</v>
      </c>
      <c r="E70" s="315"/>
      <c r="F70" s="315"/>
      <c r="G70" s="315" t="s">
        <v>580</v>
      </c>
      <c r="H70" s="315"/>
      <c r="I70" s="315"/>
      <c r="J70" s="559"/>
    </row>
    <row r="71" spans="1:10" ht="80.25" customHeight="1">
      <c r="A71" s="558" t="s">
        <v>3252</v>
      </c>
      <c r="B71" s="315" t="s">
        <v>3253</v>
      </c>
      <c r="C71" s="315" t="s">
        <v>587</v>
      </c>
      <c r="D71" s="315" t="s">
        <v>235</v>
      </c>
      <c r="E71" s="315"/>
      <c r="F71" s="315"/>
      <c r="G71" s="315" t="s">
        <v>3254</v>
      </c>
      <c r="H71" s="315"/>
      <c r="I71" s="315"/>
      <c r="J71" s="559"/>
    </row>
    <row r="72" spans="1:10" ht="97.5" customHeight="1">
      <c r="A72" s="558" t="s">
        <v>3255</v>
      </c>
      <c r="B72" s="315" t="s">
        <v>3256</v>
      </c>
      <c r="C72" s="315" t="s">
        <v>616</v>
      </c>
      <c r="D72" s="315" t="s">
        <v>235</v>
      </c>
      <c r="E72" s="315"/>
      <c r="F72" s="315"/>
      <c r="G72" s="315" t="s">
        <v>3257</v>
      </c>
      <c r="H72" s="315"/>
      <c r="I72" s="315"/>
      <c r="J72" s="559"/>
    </row>
    <row r="73" spans="1:10" ht="102.75" customHeight="1">
      <c r="A73" s="558" t="s">
        <v>3258</v>
      </c>
      <c r="B73" s="315" t="s">
        <v>3259</v>
      </c>
      <c r="C73" s="315" t="s">
        <v>601</v>
      </c>
      <c r="D73" s="315" t="s">
        <v>235</v>
      </c>
      <c r="E73" s="315"/>
      <c r="F73" s="315"/>
      <c r="G73" s="315" t="s">
        <v>602</v>
      </c>
      <c r="H73" s="315"/>
      <c r="I73" s="315"/>
      <c r="J73" s="559"/>
    </row>
    <row r="74" spans="1:10" ht="84.75" customHeight="1">
      <c r="A74" s="558" t="s">
        <v>3260</v>
      </c>
      <c r="B74" s="315" t="s">
        <v>3261</v>
      </c>
      <c r="C74" s="315" t="s">
        <v>609</v>
      </c>
      <c r="D74" s="315" t="s">
        <v>235</v>
      </c>
      <c r="E74" s="315"/>
      <c r="F74" s="315"/>
      <c r="G74" s="315" t="s">
        <v>610</v>
      </c>
      <c r="H74" s="315"/>
      <c r="I74" s="315"/>
      <c r="J74" s="559"/>
    </row>
    <row r="75" spans="1:10" ht="109.5" customHeight="1">
      <c r="A75" s="558" t="s">
        <v>3262</v>
      </c>
      <c r="B75" s="315" t="s">
        <v>3263</v>
      </c>
      <c r="C75" s="315" t="s">
        <v>616</v>
      </c>
      <c r="D75" s="315" t="s">
        <v>235</v>
      </c>
      <c r="E75" s="315"/>
      <c r="F75" s="315"/>
      <c r="G75" s="315" t="s">
        <v>617</v>
      </c>
      <c r="H75" s="315"/>
      <c r="I75" s="315"/>
      <c r="J75" s="559"/>
    </row>
    <row r="76" spans="1:10" ht="119.25" customHeight="1">
      <c r="A76" s="558" t="s">
        <v>3264</v>
      </c>
      <c r="B76" s="315" t="s">
        <v>3265</v>
      </c>
      <c r="C76" s="315" t="s">
        <v>622</v>
      </c>
      <c r="D76" s="315" t="s">
        <v>235</v>
      </c>
      <c r="E76" s="315"/>
      <c r="F76" s="315"/>
      <c r="G76" s="315" t="s">
        <v>623</v>
      </c>
      <c r="H76" s="315"/>
      <c r="I76" s="315"/>
      <c r="J76" s="559"/>
    </row>
    <row r="77" spans="1:10" ht="109.5" customHeight="1">
      <c r="A77" s="558" t="s">
        <v>3266</v>
      </c>
      <c r="B77" s="315" t="s">
        <v>3267</v>
      </c>
      <c r="C77" s="315" t="s">
        <v>630</v>
      </c>
      <c r="D77" s="315" t="s">
        <v>235</v>
      </c>
      <c r="E77" s="315"/>
      <c r="F77" s="315"/>
      <c r="G77" s="315" t="s">
        <v>631</v>
      </c>
      <c r="H77" s="315"/>
      <c r="I77" s="315"/>
      <c r="J77" s="559"/>
    </row>
    <row r="78" spans="1:10" ht="35.25" customHeight="1">
      <c r="A78" s="558" t="s">
        <v>5560</v>
      </c>
      <c r="B78" s="315" t="s">
        <v>5561</v>
      </c>
      <c r="C78" s="315" t="s">
        <v>630</v>
      </c>
      <c r="D78" s="315" t="s">
        <v>235</v>
      </c>
      <c r="E78" s="315"/>
      <c r="F78" s="315"/>
      <c r="G78" s="315" t="s">
        <v>631</v>
      </c>
      <c r="H78" s="315"/>
      <c r="I78" s="315"/>
      <c r="J78" s="559"/>
    </row>
    <row r="79" spans="1:10">
      <c r="A79" s="574" t="s">
        <v>1052</v>
      </c>
      <c r="B79" s="582"/>
      <c r="C79" s="582"/>
      <c r="D79" s="317"/>
      <c r="E79" s="317"/>
      <c r="F79" s="317"/>
      <c r="G79" s="317"/>
      <c r="H79" s="317"/>
      <c r="I79" s="317"/>
      <c r="J79" s="560"/>
    </row>
    <row r="80" spans="1:10">
      <c r="A80" s="561" t="s">
        <v>291</v>
      </c>
      <c r="B80" s="318" t="s">
        <v>275</v>
      </c>
      <c r="C80" s="318" t="s">
        <v>493</v>
      </c>
      <c r="D80" s="318" t="s">
        <v>214</v>
      </c>
      <c r="E80" s="318" t="s">
        <v>263</v>
      </c>
      <c r="F80" s="318" t="s">
        <v>891</v>
      </c>
      <c r="G80" s="318" t="s">
        <v>892</v>
      </c>
      <c r="H80" s="318" t="s">
        <v>893</v>
      </c>
      <c r="I80" s="318" t="s">
        <v>77</v>
      </c>
      <c r="J80" s="562" t="s">
        <v>11</v>
      </c>
    </row>
    <row r="81" spans="1:10" ht="104.25" customHeight="1">
      <c r="A81" s="558" t="s">
        <v>3268</v>
      </c>
      <c r="B81" s="315" t="s">
        <v>3177</v>
      </c>
      <c r="C81" s="315" t="s">
        <v>269</v>
      </c>
      <c r="D81" s="315" t="s">
        <v>3269</v>
      </c>
      <c r="E81" s="315"/>
      <c r="F81" s="315" t="s">
        <v>229</v>
      </c>
      <c r="G81" s="315"/>
      <c r="H81" s="315" t="s">
        <v>3270</v>
      </c>
      <c r="I81" s="315" t="s">
        <v>502</v>
      </c>
      <c r="J81" s="559"/>
    </row>
    <row r="82" spans="1:10" ht="109.5" customHeight="1">
      <c r="A82" s="558" t="s">
        <v>3271</v>
      </c>
      <c r="B82" s="315" t="s">
        <v>699</v>
      </c>
      <c r="C82" s="315" t="s">
        <v>269</v>
      </c>
      <c r="D82" s="315" t="s">
        <v>3272</v>
      </c>
      <c r="E82" s="315"/>
      <c r="F82" s="315" t="s">
        <v>229</v>
      </c>
      <c r="G82" s="315"/>
      <c r="H82" s="315" t="s">
        <v>3273</v>
      </c>
      <c r="I82" s="315" t="s">
        <v>502</v>
      </c>
      <c r="J82" s="559"/>
    </row>
    <row r="83" spans="1:10" ht="117.75" customHeight="1">
      <c r="A83" s="558" t="s">
        <v>3274</v>
      </c>
      <c r="B83" s="315" t="s">
        <v>709</v>
      </c>
      <c r="C83" s="315" t="s">
        <v>269</v>
      </c>
      <c r="D83" s="315" t="s">
        <v>3275</v>
      </c>
      <c r="E83" s="315"/>
      <c r="F83" s="315" t="s">
        <v>229</v>
      </c>
      <c r="G83" s="315"/>
      <c r="H83" s="315" t="s">
        <v>3273</v>
      </c>
      <c r="I83" s="315" t="s">
        <v>502</v>
      </c>
      <c r="J83" s="559"/>
    </row>
    <row r="84" spans="1:10" ht="126.75" customHeight="1">
      <c r="A84" s="558" t="s">
        <v>3276</v>
      </c>
      <c r="B84" s="315" t="s">
        <v>3187</v>
      </c>
      <c r="C84" s="315" t="s">
        <v>1058</v>
      </c>
      <c r="D84" s="315" t="s">
        <v>3277</v>
      </c>
      <c r="E84" s="315"/>
      <c r="F84" s="315" t="s">
        <v>229</v>
      </c>
      <c r="G84" s="315"/>
      <c r="H84" s="315" t="s">
        <v>3278</v>
      </c>
      <c r="I84" s="315" t="s">
        <v>502</v>
      </c>
      <c r="J84" s="559"/>
    </row>
    <row r="85" spans="1:10" ht="117" customHeight="1">
      <c r="A85" s="558" t="s">
        <v>3279</v>
      </c>
      <c r="B85" s="315" t="s">
        <v>1159</v>
      </c>
      <c r="C85" s="315" t="s">
        <v>148</v>
      </c>
      <c r="D85" s="315" t="s">
        <v>3280</v>
      </c>
      <c r="E85" s="315"/>
      <c r="F85" s="315" t="s">
        <v>229</v>
      </c>
      <c r="G85" s="315"/>
      <c r="H85" s="315" t="s">
        <v>3233</v>
      </c>
      <c r="I85" s="315" t="s">
        <v>502</v>
      </c>
      <c r="J85" s="559"/>
    </row>
    <row r="86" spans="1:10" ht="106.5" customHeight="1">
      <c r="A86" s="558" t="s">
        <v>3281</v>
      </c>
      <c r="B86" s="315" t="s">
        <v>1159</v>
      </c>
      <c r="C86" s="315" t="s">
        <v>153</v>
      </c>
      <c r="D86" s="315" t="s">
        <v>3282</v>
      </c>
      <c r="E86" s="315"/>
      <c r="F86" s="315" t="s">
        <v>229</v>
      </c>
      <c r="G86" s="315"/>
      <c r="H86" s="315" t="s">
        <v>3237</v>
      </c>
      <c r="I86" s="315" t="s">
        <v>502</v>
      </c>
      <c r="J86" s="559"/>
    </row>
    <row r="87" spans="1:10" ht="110.25" customHeight="1">
      <c r="A87" s="558" t="s">
        <v>3283</v>
      </c>
      <c r="B87" s="315" t="s">
        <v>575</v>
      </c>
      <c r="C87" s="315" t="s">
        <v>1072</v>
      </c>
      <c r="D87" s="315" t="s">
        <v>3284</v>
      </c>
      <c r="E87" s="315"/>
      <c r="F87" s="315" t="s">
        <v>229</v>
      </c>
      <c r="G87" s="315"/>
      <c r="H87" s="315" t="s">
        <v>3241</v>
      </c>
      <c r="I87" s="315" t="s">
        <v>502</v>
      </c>
      <c r="J87" s="559"/>
    </row>
    <row r="88" spans="1:10" ht="76.5">
      <c r="A88" s="558" t="s">
        <v>3285</v>
      </c>
      <c r="B88" s="315" t="s">
        <v>575</v>
      </c>
      <c r="C88" s="315" t="s">
        <v>1076</v>
      </c>
      <c r="D88" s="315" t="s">
        <v>3286</v>
      </c>
      <c r="E88" s="315"/>
      <c r="F88" s="315" t="s">
        <v>229</v>
      </c>
      <c r="G88" s="315"/>
      <c r="H88" s="315" t="s">
        <v>3287</v>
      </c>
      <c r="I88" s="315" t="s">
        <v>502</v>
      </c>
      <c r="J88" s="559"/>
    </row>
    <row r="89" spans="1:10">
      <c r="A89" s="558"/>
      <c r="B89" s="315"/>
      <c r="C89" s="315"/>
      <c r="D89" s="315"/>
      <c r="E89" s="315"/>
      <c r="F89" s="315"/>
      <c r="G89" s="315"/>
      <c r="H89" s="315"/>
      <c r="I89" s="315"/>
      <c r="J89" s="559"/>
    </row>
    <row r="90" spans="1:10">
      <c r="A90" s="574" t="s">
        <v>1079</v>
      </c>
      <c r="B90" s="582"/>
      <c r="C90" s="582"/>
      <c r="D90" s="317"/>
      <c r="E90" s="317"/>
      <c r="F90" s="317"/>
      <c r="G90" s="317"/>
      <c r="H90" s="317"/>
      <c r="I90" s="317"/>
      <c r="J90" s="560"/>
    </row>
    <row r="91" spans="1:10">
      <c r="A91" s="561" t="s">
        <v>275</v>
      </c>
      <c r="B91" s="318" t="s">
        <v>895</v>
      </c>
      <c r="C91" s="318" t="s">
        <v>896</v>
      </c>
      <c r="D91" s="318" t="s">
        <v>148</v>
      </c>
      <c r="E91" s="318" t="s">
        <v>153</v>
      </c>
      <c r="F91" s="318" t="s">
        <v>155</v>
      </c>
      <c r="G91" s="318" t="s">
        <v>491</v>
      </c>
      <c r="H91" s="318" t="s">
        <v>897</v>
      </c>
      <c r="I91" s="318" t="s">
        <v>174</v>
      </c>
      <c r="J91" s="562" t="s">
        <v>11</v>
      </c>
    </row>
    <row r="92" spans="1:10" ht="63.75" customHeight="1">
      <c r="A92" s="558" t="s">
        <v>3177</v>
      </c>
      <c r="B92" s="563">
        <v>0</v>
      </c>
      <c r="C92" s="563">
        <v>0</v>
      </c>
      <c r="D92" s="563">
        <v>0</v>
      </c>
      <c r="E92" s="563">
        <v>0</v>
      </c>
      <c r="F92" s="563">
        <v>0</v>
      </c>
      <c r="G92" s="315" t="s">
        <v>677</v>
      </c>
      <c r="H92" s="563">
        <v>0</v>
      </c>
      <c r="I92" s="315" t="s">
        <v>677</v>
      </c>
      <c r="J92" s="559" t="s">
        <v>3288</v>
      </c>
    </row>
    <row r="93" spans="1:10" ht="62.25" customHeight="1">
      <c r="A93" s="558" t="s">
        <v>699</v>
      </c>
      <c r="B93" s="563">
        <v>0</v>
      </c>
      <c r="C93" s="563">
        <v>0</v>
      </c>
      <c r="D93" s="563">
        <v>0</v>
      </c>
      <c r="E93" s="563">
        <v>0</v>
      </c>
      <c r="F93" s="563">
        <v>0</v>
      </c>
      <c r="G93" s="315" t="s">
        <v>677</v>
      </c>
      <c r="H93" s="563">
        <v>0</v>
      </c>
      <c r="I93" s="315" t="s">
        <v>677</v>
      </c>
      <c r="J93" s="559" t="s">
        <v>3289</v>
      </c>
    </row>
    <row r="94" spans="1:10" ht="75.75" customHeight="1">
      <c r="A94" s="558" t="s">
        <v>709</v>
      </c>
      <c r="B94" s="563">
        <v>0</v>
      </c>
      <c r="C94" s="563">
        <v>0</v>
      </c>
      <c r="D94" s="563">
        <v>0</v>
      </c>
      <c r="E94" s="563">
        <v>0</v>
      </c>
      <c r="F94" s="563">
        <v>0</v>
      </c>
      <c r="G94" s="315" t="s">
        <v>677</v>
      </c>
      <c r="H94" s="563">
        <v>0</v>
      </c>
      <c r="I94" s="315" t="s">
        <v>677</v>
      </c>
      <c r="J94" s="559" t="s">
        <v>3290</v>
      </c>
    </row>
    <row r="95" spans="1:10" ht="38.25">
      <c r="A95" s="558" t="s">
        <v>3187</v>
      </c>
      <c r="B95" s="563">
        <v>0</v>
      </c>
      <c r="C95" s="563">
        <v>0</v>
      </c>
      <c r="D95" s="563">
        <v>0</v>
      </c>
      <c r="E95" s="563">
        <v>0</v>
      </c>
      <c r="F95" s="563">
        <v>0</v>
      </c>
      <c r="G95" s="315" t="s">
        <v>677</v>
      </c>
      <c r="H95" s="563">
        <v>0</v>
      </c>
      <c r="I95" s="315" t="s">
        <v>677</v>
      </c>
      <c r="J95" s="559" t="s">
        <v>3291</v>
      </c>
    </row>
    <row r="96" spans="1:10" ht="15.75" thickBot="1">
      <c r="A96" s="558"/>
      <c r="B96" s="315"/>
      <c r="C96" s="315"/>
      <c r="D96" s="315"/>
      <c r="E96" s="315"/>
      <c r="F96" s="315"/>
      <c r="G96" s="315"/>
      <c r="H96" s="315"/>
      <c r="I96" s="315"/>
      <c r="J96" s="559"/>
    </row>
    <row r="97" spans="1:10" ht="15" customHeight="1">
      <c r="A97" s="605" t="s">
        <v>5668</v>
      </c>
      <c r="B97" s="602"/>
      <c r="C97" s="602"/>
      <c r="D97" s="606"/>
      <c r="E97" s="602"/>
      <c r="F97" s="602"/>
      <c r="G97" s="606"/>
      <c r="H97" s="606"/>
      <c r="I97" s="606"/>
      <c r="J97" s="607"/>
    </row>
    <row r="98" spans="1:10" ht="30" customHeight="1">
      <c r="A98" s="321" t="s">
        <v>5610</v>
      </c>
      <c r="B98" s="322" t="s">
        <v>77</v>
      </c>
      <c r="C98" s="322" t="s">
        <v>5611</v>
      </c>
      <c r="D98" s="322" t="s">
        <v>5612</v>
      </c>
      <c r="E98" s="322" t="s">
        <v>5634</v>
      </c>
      <c r="F98" s="322" t="s">
        <v>5601</v>
      </c>
      <c r="G98" s="578" t="s">
        <v>5635</v>
      </c>
      <c r="H98" s="578"/>
      <c r="I98" s="578"/>
      <c r="J98" s="579"/>
    </row>
    <row r="99" spans="1:10" ht="25.5" customHeight="1">
      <c r="A99" s="323" t="s">
        <v>5613</v>
      </c>
      <c r="B99" s="332" t="s">
        <v>484</v>
      </c>
      <c r="C99" s="325">
        <v>0</v>
      </c>
      <c r="D99" s="325">
        <v>0</v>
      </c>
      <c r="E99" s="192" t="s">
        <v>5674</v>
      </c>
      <c r="F99" s="325">
        <f>IF(AND(C99&lt;&gt;"",D99&lt;&gt;""),D99-C99,"")</f>
        <v>0</v>
      </c>
      <c r="G99" s="608"/>
      <c r="H99" s="608"/>
      <c r="I99" s="608"/>
      <c r="J99" s="609"/>
    </row>
    <row r="100" spans="1:10" ht="25.5" customHeight="1">
      <c r="A100" s="326" t="s">
        <v>5614</v>
      </c>
      <c r="B100" s="332" t="s">
        <v>484</v>
      </c>
      <c r="C100" s="325">
        <v>0</v>
      </c>
      <c r="D100" s="325">
        <v>0</v>
      </c>
      <c r="E100" s="310" t="s">
        <v>5675</v>
      </c>
      <c r="F100" s="327">
        <f>IF(AND(C100&lt;&gt;"",D100&lt;&gt;""),D100-C100,"")</f>
        <v>0</v>
      </c>
      <c r="G100" s="610"/>
      <c r="H100" s="610"/>
      <c r="I100" s="610"/>
      <c r="J100" s="611"/>
    </row>
    <row r="101" spans="1:10" ht="15" customHeight="1">
      <c r="A101" s="323" t="s">
        <v>5615</v>
      </c>
      <c r="B101" s="332" t="s">
        <v>484</v>
      </c>
      <c r="C101" s="325">
        <v>0</v>
      </c>
      <c r="D101" s="325">
        <v>0</v>
      </c>
      <c r="E101" s="310" t="s">
        <v>5675</v>
      </c>
      <c r="F101" s="325">
        <f>IF(AND(C101&lt;&gt;"",D101&lt;&gt;""),D101-C101,"")</f>
        <v>0</v>
      </c>
      <c r="G101" s="328"/>
      <c r="H101" s="227"/>
      <c r="I101" s="227"/>
      <c r="J101" s="329"/>
    </row>
    <row r="102" spans="1:10" ht="15" customHeight="1">
      <c r="A102" s="326" t="s">
        <v>5616</v>
      </c>
      <c r="B102" s="332" t="s">
        <v>484</v>
      </c>
      <c r="C102" s="325">
        <v>0</v>
      </c>
      <c r="D102" s="325">
        <v>0</v>
      </c>
      <c r="E102" s="310" t="s">
        <v>5675</v>
      </c>
      <c r="F102" s="327">
        <f>IF(AND(C102&lt;&gt;"",D102&lt;&gt;""),D102-C102,"")</f>
        <v>0</v>
      </c>
      <c r="G102" s="610"/>
      <c r="H102" s="610"/>
      <c r="I102" s="610"/>
      <c r="J102" s="611"/>
    </row>
    <row r="103" spans="1:10" ht="15" customHeight="1">
      <c r="A103" s="323" t="s">
        <v>5168</v>
      </c>
      <c r="B103" s="332" t="s">
        <v>484</v>
      </c>
      <c r="C103" s="325">
        <v>0</v>
      </c>
      <c r="D103" s="325">
        <v>0</v>
      </c>
      <c r="E103" s="310" t="s">
        <v>5675</v>
      </c>
      <c r="F103" s="325">
        <f>IF(AND(C103&lt;&gt;"",D103&lt;&gt;""),D103-C103,"")</f>
        <v>0</v>
      </c>
      <c r="G103" s="328"/>
      <c r="H103" s="227"/>
      <c r="I103" s="227"/>
      <c r="J103" s="329"/>
    </row>
    <row r="104" spans="1:10" ht="15.75" customHeight="1">
      <c r="A104" s="585" t="s">
        <v>5636</v>
      </c>
      <c r="B104" s="586"/>
      <c r="C104" s="330">
        <f>IFERROR(AVERAGE(C99:C103),"")</f>
        <v>0</v>
      </c>
      <c r="D104" s="330">
        <f>IFERROR(AVERAGE(D99:D103),"")</f>
        <v>0</v>
      </c>
      <c r="E104" s="589" t="s">
        <v>5637</v>
      </c>
      <c r="F104" s="589"/>
      <c r="G104" s="589"/>
      <c r="H104" s="589"/>
      <c r="I104" s="589"/>
      <c r="J104" s="590"/>
    </row>
    <row r="105" spans="1:10" ht="20.25" customHeight="1">
      <c r="A105" s="331"/>
      <c r="B105" s="316"/>
      <c r="C105" s="316"/>
      <c r="D105" s="316"/>
      <c r="E105" s="316"/>
      <c r="F105" s="316"/>
      <c r="G105" s="316"/>
      <c r="H105" s="227"/>
      <c r="I105" s="227"/>
      <c r="J105" s="329"/>
    </row>
    <row r="106" spans="1:10">
      <c r="A106" s="574" t="s">
        <v>5669</v>
      </c>
      <c r="B106" s="582"/>
      <c r="C106" s="582"/>
      <c r="D106" s="575"/>
      <c r="E106" s="582"/>
      <c r="F106" s="582"/>
      <c r="G106" s="575"/>
      <c r="H106" s="575"/>
      <c r="I106" s="575"/>
      <c r="J106" s="576"/>
    </row>
    <row r="107" spans="1:10">
      <c r="A107" s="321" t="s">
        <v>4946</v>
      </c>
      <c r="B107" s="322" t="s">
        <v>77</v>
      </c>
      <c r="C107" s="322" t="s">
        <v>273</v>
      </c>
      <c r="D107" s="322" t="s">
        <v>482</v>
      </c>
      <c r="E107" s="322" t="s">
        <v>572</v>
      </c>
      <c r="F107" s="322" t="s">
        <v>5639</v>
      </c>
      <c r="G107" s="578" t="s">
        <v>5640</v>
      </c>
      <c r="H107" s="578"/>
      <c r="I107" s="578"/>
      <c r="J107" s="579"/>
    </row>
    <row r="108" spans="1:10" ht="31.5" customHeight="1">
      <c r="A108" s="326" t="s">
        <v>5602</v>
      </c>
      <c r="B108" s="332" t="s">
        <v>484</v>
      </c>
      <c r="C108" s="332" t="s">
        <v>1096</v>
      </c>
      <c r="D108" s="324" t="s">
        <v>1096</v>
      </c>
      <c r="E108" s="332">
        <f>IF(D108="Yes",1,0)</f>
        <v>0</v>
      </c>
      <c r="F108" s="580"/>
      <c r="G108" s="580"/>
      <c r="H108" s="580"/>
      <c r="I108" s="580"/>
      <c r="J108" s="581"/>
    </row>
    <row r="109" spans="1:10" ht="20.25" customHeight="1">
      <c r="A109" s="323" t="s">
        <v>995</v>
      </c>
      <c r="B109" s="332" t="s">
        <v>484</v>
      </c>
      <c r="C109" s="332" t="s">
        <v>1096</v>
      </c>
      <c r="D109" s="324" t="s">
        <v>1096</v>
      </c>
      <c r="E109" s="324">
        <f t="shared" ref="E109:E115" si="0">IF(D109="Yes",1,0)</f>
        <v>0</v>
      </c>
      <c r="F109" s="580"/>
      <c r="G109" s="580"/>
      <c r="H109" s="580"/>
      <c r="I109" s="580"/>
      <c r="J109" s="581"/>
    </row>
    <row r="110" spans="1:10" ht="24.75" customHeight="1">
      <c r="A110" s="326" t="s">
        <v>5603</v>
      </c>
      <c r="B110" s="332" t="s">
        <v>484</v>
      </c>
      <c r="C110" s="332" t="s">
        <v>1096</v>
      </c>
      <c r="D110" s="324" t="s">
        <v>1096</v>
      </c>
      <c r="E110" s="332">
        <f t="shared" si="0"/>
        <v>0</v>
      </c>
      <c r="F110" s="580"/>
      <c r="G110" s="580"/>
      <c r="H110" s="580"/>
      <c r="I110" s="580"/>
      <c r="J110" s="581"/>
    </row>
    <row r="111" spans="1:10">
      <c r="A111" s="323" t="s">
        <v>5617</v>
      </c>
      <c r="B111" s="332" t="s">
        <v>484</v>
      </c>
      <c r="C111" s="332" t="s">
        <v>1096</v>
      </c>
      <c r="D111" s="324" t="s">
        <v>1096</v>
      </c>
      <c r="E111" s="324">
        <f t="shared" si="0"/>
        <v>0</v>
      </c>
      <c r="F111" s="580"/>
      <c r="G111" s="580"/>
      <c r="H111" s="580"/>
      <c r="I111" s="580"/>
      <c r="J111" s="581"/>
    </row>
    <row r="112" spans="1:10" ht="38.25">
      <c r="A112" s="326" t="s">
        <v>5618</v>
      </c>
      <c r="B112" s="332" t="s">
        <v>484</v>
      </c>
      <c r="C112" s="332" t="s">
        <v>1096</v>
      </c>
      <c r="D112" s="324" t="s">
        <v>1096</v>
      </c>
      <c r="E112" s="332">
        <f t="shared" si="0"/>
        <v>0</v>
      </c>
      <c r="F112" s="580"/>
      <c r="G112" s="580"/>
      <c r="H112" s="580"/>
      <c r="I112" s="580"/>
      <c r="J112" s="581"/>
    </row>
    <row r="113" spans="1:10" ht="25.5">
      <c r="A113" s="323" t="s">
        <v>5619</v>
      </c>
      <c r="B113" s="332" t="s">
        <v>484</v>
      </c>
      <c r="C113" s="332" t="s">
        <v>1096</v>
      </c>
      <c r="D113" s="324" t="s">
        <v>1096</v>
      </c>
      <c r="E113" s="324">
        <f t="shared" si="0"/>
        <v>0</v>
      </c>
      <c r="F113" s="580"/>
      <c r="G113" s="580"/>
      <c r="H113" s="580"/>
      <c r="I113" s="580"/>
      <c r="J113" s="581"/>
    </row>
    <row r="114" spans="1:10" ht="18.75" customHeight="1">
      <c r="A114" s="326" t="s">
        <v>5604</v>
      </c>
      <c r="B114" s="332" t="s">
        <v>484</v>
      </c>
      <c r="C114" s="332" t="s">
        <v>1096</v>
      </c>
      <c r="D114" s="332" t="s">
        <v>1096</v>
      </c>
      <c r="E114" s="332">
        <f t="shared" si="0"/>
        <v>0</v>
      </c>
      <c r="F114" s="580"/>
      <c r="G114" s="580"/>
      <c r="H114" s="580"/>
      <c r="I114" s="580"/>
      <c r="J114" s="581"/>
    </row>
    <row r="115" spans="1:10" ht="25.5">
      <c r="A115" s="323" t="s">
        <v>5605</v>
      </c>
      <c r="B115" s="332" t="s">
        <v>484</v>
      </c>
      <c r="C115" s="332" t="s">
        <v>1096</v>
      </c>
      <c r="D115" s="324" t="s">
        <v>1096</v>
      </c>
      <c r="E115" s="324">
        <f t="shared" si="0"/>
        <v>0</v>
      </c>
      <c r="F115" s="580"/>
      <c r="G115" s="580"/>
      <c r="H115" s="580"/>
      <c r="I115" s="580"/>
      <c r="J115" s="581"/>
    </row>
    <row r="116" spans="1:10" ht="28.5" customHeight="1">
      <c r="A116" s="585" t="s">
        <v>5641</v>
      </c>
      <c r="B116" s="586"/>
      <c r="C116" s="587" t="str">
        <f>IFERROR(SUM(E108:E115)/COUNTIF(C108:C115,"Yes"),"")</f>
        <v/>
      </c>
      <c r="D116" s="588"/>
      <c r="E116" s="589" t="s">
        <v>5642</v>
      </c>
      <c r="F116" s="589"/>
      <c r="G116" s="589"/>
      <c r="H116" s="589"/>
      <c r="I116" s="589"/>
      <c r="J116" s="590"/>
    </row>
    <row r="117" spans="1:10" ht="20.25" customHeight="1">
      <c r="A117" s="331"/>
      <c r="B117" s="316"/>
      <c r="C117" s="316"/>
      <c r="D117" s="316"/>
      <c r="E117" s="316"/>
      <c r="F117" s="316"/>
      <c r="G117" s="316"/>
      <c r="H117" s="227"/>
      <c r="I117" s="227"/>
      <c r="J117" s="329"/>
    </row>
    <row r="118" spans="1:10">
      <c r="A118" s="574" t="s">
        <v>5670</v>
      </c>
      <c r="B118" s="582"/>
      <c r="C118" s="582"/>
      <c r="D118" s="575"/>
      <c r="E118" s="582"/>
      <c r="F118" s="582"/>
      <c r="G118" s="575"/>
      <c r="H118" s="575"/>
      <c r="I118" s="575"/>
      <c r="J118" s="576"/>
    </row>
    <row r="119" spans="1:10" ht="30" customHeight="1">
      <c r="A119" s="321" t="s">
        <v>5643</v>
      </c>
      <c r="B119" s="322" t="s">
        <v>77</v>
      </c>
      <c r="C119" s="322" t="s">
        <v>5620</v>
      </c>
      <c r="D119" s="322" t="s">
        <v>5621</v>
      </c>
      <c r="E119" s="322" t="s">
        <v>5622</v>
      </c>
      <c r="F119" s="322" t="s">
        <v>5644</v>
      </c>
      <c r="G119" s="578" t="s">
        <v>5645</v>
      </c>
      <c r="H119" s="578"/>
      <c r="I119" s="578"/>
      <c r="J119" s="579"/>
    </row>
    <row r="120" spans="1:10" ht="25.5">
      <c r="A120" s="326" t="s">
        <v>5623</v>
      </c>
      <c r="B120" s="332" t="s">
        <v>482</v>
      </c>
      <c r="C120" s="324" t="s">
        <v>1096</v>
      </c>
      <c r="D120" s="324" t="s">
        <v>1096</v>
      </c>
      <c r="E120" s="324" t="s">
        <v>1096</v>
      </c>
      <c r="F120" s="332" t="s">
        <v>679</v>
      </c>
      <c r="G120" s="583"/>
      <c r="H120" s="583"/>
      <c r="I120" s="583"/>
      <c r="J120" s="584"/>
    </row>
    <row r="121" spans="1:10" ht="53.45" customHeight="1">
      <c r="A121" s="323" t="s">
        <v>5624</v>
      </c>
      <c r="B121" s="332" t="s">
        <v>482</v>
      </c>
      <c r="C121" s="324" t="s">
        <v>1096</v>
      </c>
      <c r="D121" s="324" t="s">
        <v>1096</v>
      </c>
      <c r="E121" s="324" t="s">
        <v>1096</v>
      </c>
      <c r="F121" s="332" t="s">
        <v>679</v>
      </c>
      <c r="G121" s="583"/>
      <c r="H121" s="583"/>
      <c r="I121" s="583"/>
      <c r="J121" s="584"/>
    </row>
    <row r="122" spans="1:10" ht="53.45" customHeight="1">
      <c r="A122" s="326" t="s">
        <v>5646</v>
      </c>
      <c r="B122" s="332" t="s">
        <v>482</v>
      </c>
      <c r="C122" s="324" t="s">
        <v>1096</v>
      </c>
      <c r="D122" s="324" t="s">
        <v>1096</v>
      </c>
      <c r="E122" s="324" t="s">
        <v>1096</v>
      </c>
      <c r="F122" s="332" t="s">
        <v>679</v>
      </c>
      <c r="G122" s="583"/>
      <c r="H122" s="583"/>
      <c r="I122" s="583"/>
      <c r="J122" s="584"/>
    </row>
    <row r="123" spans="1:10" ht="53.45" customHeight="1">
      <c r="A123" s="323" t="s">
        <v>5625</v>
      </c>
      <c r="B123" s="332" t="s">
        <v>482</v>
      </c>
      <c r="C123" s="324" t="s">
        <v>1096</v>
      </c>
      <c r="D123" s="324" t="s">
        <v>1096</v>
      </c>
      <c r="E123" s="324" t="s">
        <v>1096</v>
      </c>
      <c r="F123" s="332" t="s">
        <v>679</v>
      </c>
      <c r="G123" s="583"/>
      <c r="H123" s="583"/>
      <c r="I123" s="583"/>
      <c r="J123" s="584"/>
    </row>
    <row r="124" spans="1:10" ht="53.45" customHeight="1">
      <c r="A124" s="326" t="s">
        <v>5626</v>
      </c>
      <c r="B124" s="332" t="s">
        <v>482</v>
      </c>
      <c r="C124" s="324" t="s">
        <v>1096</v>
      </c>
      <c r="D124" s="324" t="s">
        <v>1096</v>
      </c>
      <c r="E124" s="324" t="s">
        <v>1096</v>
      </c>
      <c r="F124" s="332" t="s">
        <v>679</v>
      </c>
      <c r="G124" s="583"/>
      <c r="H124" s="583"/>
      <c r="I124" s="583"/>
      <c r="J124" s="584"/>
    </row>
    <row r="125" spans="1:10" ht="53.45" customHeight="1">
      <c r="A125" s="585" t="s">
        <v>5677</v>
      </c>
      <c r="B125" s="586"/>
      <c r="C125" s="587">
        <f>IFERROR(COUNTIF(E120:E124,"Yes")/COUNTA(A120:A124),"")</f>
        <v>0</v>
      </c>
      <c r="D125" s="588"/>
      <c r="E125" s="589" t="s">
        <v>5648</v>
      </c>
      <c r="F125" s="589"/>
      <c r="G125" s="589"/>
      <c r="H125" s="589"/>
      <c r="I125" s="589"/>
      <c r="J125" s="590"/>
    </row>
    <row r="126" spans="1:10" ht="20.25" customHeight="1">
      <c r="A126" s="331"/>
      <c r="B126" s="316"/>
      <c r="C126" s="316"/>
      <c r="D126" s="316"/>
      <c r="E126" s="316"/>
      <c r="F126" s="316"/>
      <c r="G126" s="599"/>
      <c r="H126" s="599"/>
      <c r="I126" s="599"/>
      <c r="J126" s="600"/>
    </row>
    <row r="127" spans="1:10" ht="53.45" customHeight="1">
      <c r="A127" s="574" t="s">
        <v>5671</v>
      </c>
      <c r="B127" s="582"/>
      <c r="C127" s="582"/>
      <c r="D127" s="575"/>
      <c r="E127" s="582"/>
      <c r="F127" s="582"/>
      <c r="G127" s="575"/>
      <c r="H127" s="575"/>
      <c r="I127" s="575"/>
      <c r="J127" s="576"/>
    </row>
    <row r="128" spans="1:10" ht="53.45" customHeight="1">
      <c r="A128" s="321" t="s">
        <v>5606</v>
      </c>
      <c r="B128" s="322" t="s">
        <v>77</v>
      </c>
      <c r="C128" s="322" t="s">
        <v>5627</v>
      </c>
      <c r="D128" s="322" t="s">
        <v>5628</v>
      </c>
      <c r="E128" s="322" t="s">
        <v>5629</v>
      </c>
      <c r="F128" s="322" t="s">
        <v>5630</v>
      </c>
      <c r="G128" s="578" t="s">
        <v>5678</v>
      </c>
      <c r="H128" s="578"/>
      <c r="I128" s="578"/>
      <c r="J128" s="579"/>
    </row>
    <row r="129" spans="1:10">
      <c r="A129" s="323" t="s">
        <v>153</v>
      </c>
      <c r="B129" s="324" t="s">
        <v>484</v>
      </c>
      <c r="C129" s="324">
        <v>0</v>
      </c>
      <c r="D129" s="324">
        <v>0</v>
      </c>
      <c r="E129" s="324">
        <v>0</v>
      </c>
      <c r="F129" s="325" t="str">
        <f>IFERROR(D129/C129,"")</f>
        <v/>
      </c>
      <c r="G129" s="572"/>
      <c r="H129" s="572"/>
      <c r="I129" s="572"/>
      <c r="J129" s="573"/>
    </row>
    <row r="130" spans="1:10">
      <c r="A130" s="326" t="s">
        <v>155</v>
      </c>
      <c r="B130" s="332" t="s">
        <v>484</v>
      </c>
      <c r="C130" s="324">
        <v>0</v>
      </c>
      <c r="D130" s="332">
        <v>0</v>
      </c>
      <c r="E130" s="332">
        <v>0</v>
      </c>
      <c r="F130" s="327" t="str">
        <f>IFERROR(D130/C130,"")</f>
        <v/>
      </c>
      <c r="G130" s="572"/>
      <c r="H130" s="572"/>
      <c r="I130" s="572"/>
      <c r="J130" s="573"/>
    </row>
    <row r="131" spans="1:10">
      <c r="A131" s="323" t="s">
        <v>4821</v>
      </c>
      <c r="B131" s="324" t="s">
        <v>484</v>
      </c>
      <c r="C131" s="324">
        <v>0</v>
      </c>
      <c r="D131" s="324">
        <v>0</v>
      </c>
      <c r="E131" s="324">
        <v>0</v>
      </c>
      <c r="F131" s="325" t="str">
        <f>IFERROR(D131/C131,"")</f>
        <v/>
      </c>
      <c r="G131" s="572"/>
      <c r="H131" s="572"/>
      <c r="I131" s="572"/>
      <c r="J131" s="573"/>
    </row>
    <row r="132" spans="1:10">
      <c r="A132" s="326" t="s">
        <v>957</v>
      </c>
      <c r="B132" s="332" t="s">
        <v>484</v>
      </c>
      <c r="C132" s="324">
        <v>0</v>
      </c>
      <c r="D132" s="332">
        <v>0</v>
      </c>
      <c r="E132" s="332">
        <v>0</v>
      </c>
      <c r="F132" s="327" t="str">
        <f>IFERROR(D132/C132,"")</f>
        <v/>
      </c>
      <c r="G132" s="572"/>
      <c r="H132" s="572"/>
      <c r="I132" s="572"/>
      <c r="J132" s="573"/>
    </row>
    <row r="133" spans="1:10">
      <c r="A133" s="596" t="s">
        <v>5649</v>
      </c>
      <c r="B133" s="597"/>
      <c r="C133" s="597"/>
      <c r="D133" s="597"/>
      <c r="E133" s="589" t="s">
        <v>5650</v>
      </c>
      <c r="F133" s="589"/>
      <c r="G133" s="589"/>
      <c r="H133" s="589"/>
      <c r="I133" s="589"/>
      <c r="J133" s="590"/>
    </row>
    <row r="134" spans="1:10">
      <c r="A134" s="596"/>
      <c r="B134" s="597"/>
      <c r="C134" s="597"/>
      <c r="D134" s="597"/>
      <c r="E134" s="589"/>
      <c r="F134" s="589"/>
      <c r="G134" s="589"/>
      <c r="H134" s="589"/>
      <c r="I134" s="589"/>
      <c r="J134" s="590"/>
    </row>
    <row r="135" spans="1:10">
      <c r="A135" s="574" t="s">
        <v>5672</v>
      </c>
      <c r="B135" s="575"/>
      <c r="C135" s="575"/>
      <c r="D135" s="575"/>
      <c r="E135" s="575"/>
      <c r="F135" s="575"/>
      <c r="G135" s="575"/>
      <c r="H135" s="575"/>
      <c r="I135" s="575"/>
      <c r="J135" s="576"/>
    </row>
    <row r="136" spans="1:10">
      <c r="A136" s="321" t="s">
        <v>4946</v>
      </c>
      <c r="B136" s="322" t="s">
        <v>77</v>
      </c>
      <c r="C136" s="322" t="s">
        <v>5638</v>
      </c>
      <c r="D136" s="322" t="s">
        <v>482</v>
      </c>
      <c r="E136" s="322" t="s">
        <v>572</v>
      </c>
      <c r="F136" s="322" t="s">
        <v>944</v>
      </c>
      <c r="G136" s="578" t="s">
        <v>5640</v>
      </c>
      <c r="H136" s="578"/>
      <c r="I136" s="578"/>
      <c r="J136" s="579"/>
    </row>
    <row r="137" spans="1:10" ht="25.5">
      <c r="A137" s="323" t="s">
        <v>5607</v>
      </c>
      <c r="B137" s="332" t="s">
        <v>484</v>
      </c>
      <c r="C137" s="324" t="s">
        <v>679</v>
      </c>
      <c r="D137" s="324" t="s">
        <v>679</v>
      </c>
      <c r="E137" s="324">
        <f t="shared" ref="E137:E142" si="1">IF(D137="Yes",1,0)</f>
        <v>0</v>
      </c>
      <c r="F137" s="324"/>
      <c r="G137" s="572"/>
      <c r="H137" s="572"/>
      <c r="I137" s="572"/>
      <c r="J137" s="573"/>
    </row>
    <row r="138" spans="1:10">
      <c r="A138" s="326" t="s">
        <v>5608</v>
      </c>
      <c r="B138" s="332" t="s">
        <v>484</v>
      </c>
      <c r="C138" s="324" t="s">
        <v>679</v>
      </c>
      <c r="D138" s="324" t="s">
        <v>679</v>
      </c>
      <c r="E138" s="332">
        <f t="shared" si="1"/>
        <v>0</v>
      </c>
      <c r="F138" s="332"/>
      <c r="G138" s="572"/>
      <c r="H138" s="572"/>
      <c r="I138" s="572"/>
      <c r="J138" s="573"/>
    </row>
    <row r="139" spans="1:10" ht="25.5">
      <c r="A139" s="323" t="s">
        <v>5609</v>
      </c>
      <c r="B139" s="332" t="s">
        <v>484</v>
      </c>
      <c r="C139" s="324" t="s">
        <v>679</v>
      </c>
      <c r="D139" s="324" t="s">
        <v>679</v>
      </c>
      <c r="E139" s="324">
        <f t="shared" si="1"/>
        <v>0</v>
      </c>
      <c r="F139" s="324"/>
      <c r="G139" s="572"/>
      <c r="H139" s="572"/>
      <c r="I139" s="572"/>
      <c r="J139" s="573"/>
    </row>
    <row r="140" spans="1:10">
      <c r="A140" s="326" t="s">
        <v>5631</v>
      </c>
      <c r="B140" s="332" t="s">
        <v>484</v>
      </c>
      <c r="C140" s="324" t="s">
        <v>679</v>
      </c>
      <c r="D140" s="324" t="s">
        <v>679</v>
      </c>
      <c r="E140" s="332">
        <f t="shared" si="1"/>
        <v>0</v>
      </c>
      <c r="F140" s="332"/>
      <c r="G140" s="572"/>
      <c r="H140" s="572"/>
      <c r="I140" s="572"/>
      <c r="J140" s="573"/>
    </row>
    <row r="141" spans="1:10" ht="27.75" customHeight="1">
      <c r="A141" s="323" t="s">
        <v>5632</v>
      </c>
      <c r="B141" s="332" t="s">
        <v>484</v>
      </c>
      <c r="C141" s="324" t="s">
        <v>679</v>
      </c>
      <c r="D141" s="324" t="s">
        <v>679</v>
      </c>
      <c r="E141" s="324">
        <f t="shared" si="1"/>
        <v>0</v>
      </c>
      <c r="F141" s="324"/>
      <c r="G141" s="572"/>
      <c r="H141" s="572"/>
      <c r="I141" s="572"/>
      <c r="J141" s="573"/>
    </row>
    <row r="142" spans="1:10" ht="29.25" customHeight="1">
      <c r="A142" s="326" t="s">
        <v>5633</v>
      </c>
      <c r="B142" s="332" t="s">
        <v>484</v>
      </c>
      <c r="C142" s="324" t="s">
        <v>679</v>
      </c>
      <c r="D142" s="324" t="s">
        <v>679</v>
      </c>
      <c r="E142" s="332">
        <f t="shared" si="1"/>
        <v>0</v>
      </c>
      <c r="F142" s="332"/>
      <c r="G142" s="572"/>
      <c r="H142" s="572"/>
      <c r="I142" s="572"/>
      <c r="J142" s="573"/>
    </row>
    <row r="143" spans="1:10" ht="15.75">
      <c r="A143" s="585" t="s">
        <v>5651</v>
      </c>
      <c r="B143" s="586"/>
      <c r="C143" s="587" t="str">
        <f>IFERROR(SUM(E137:E142)/COUNTIF(C137:C142,"Yes"),"")</f>
        <v/>
      </c>
      <c r="D143" s="588"/>
      <c r="E143" s="589" t="s">
        <v>5652</v>
      </c>
      <c r="F143" s="589"/>
      <c r="G143" s="589"/>
      <c r="H143" s="589"/>
      <c r="I143" s="589"/>
      <c r="J143" s="590"/>
    </row>
    <row r="144" spans="1:10" ht="20.25" customHeight="1">
      <c r="A144" s="564"/>
      <c r="B144" s="192"/>
      <c r="C144" s="192"/>
      <c r="D144" s="192"/>
      <c r="E144" s="192"/>
      <c r="F144" s="192"/>
      <c r="G144" s="192"/>
      <c r="H144" s="192"/>
      <c r="I144" s="192"/>
      <c r="J144" s="565"/>
    </row>
    <row r="145" spans="1:10">
      <c r="A145" s="574" t="s">
        <v>5673</v>
      </c>
      <c r="B145" s="582"/>
      <c r="C145" s="582"/>
      <c r="D145" s="317"/>
      <c r="E145" s="317"/>
      <c r="F145" s="317"/>
      <c r="G145" s="317"/>
      <c r="H145" s="317"/>
      <c r="I145" s="317"/>
      <c r="J145" s="560"/>
    </row>
    <row r="146" spans="1:10" ht="38.25">
      <c r="A146" s="561" t="s">
        <v>905</v>
      </c>
      <c r="B146" s="318" t="s">
        <v>830</v>
      </c>
      <c r="C146" s="318"/>
      <c r="D146" s="318"/>
      <c r="E146" s="318"/>
      <c r="F146" s="318"/>
      <c r="G146" s="318"/>
      <c r="H146" s="318"/>
      <c r="I146" s="318"/>
      <c r="J146" s="562"/>
    </row>
    <row r="147" spans="1:10">
      <c r="A147" s="558" t="s">
        <v>1086</v>
      </c>
      <c r="B147" s="594" t="s">
        <v>3292</v>
      </c>
      <c r="C147" s="582"/>
      <c r="D147" s="582"/>
      <c r="E147" s="582"/>
      <c r="F147" s="582"/>
      <c r="G147" s="582"/>
      <c r="H147" s="582"/>
      <c r="I147" s="582"/>
      <c r="J147" s="595"/>
    </row>
    <row r="148" spans="1:10" ht="25.5">
      <c r="A148" s="558" t="s">
        <v>2090</v>
      </c>
      <c r="B148" s="594" t="s">
        <v>3293</v>
      </c>
      <c r="C148" s="582"/>
      <c r="D148" s="582"/>
      <c r="E148" s="582"/>
      <c r="F148" s="582"/>
      <c r="G148" s="582"/>
      <c r="H148" s="582"/>
      <c r="I148" s="582"/>
      <c r="J148" s="595"/>
    </row>
    <row r="149" spans="1:10">
      <c r="A149" s="558" t="s">
        <v>1089</v>
      </c>
      <c r="B149" s="594" t="s">
        <v>3294</v>
      </c>
      <c r="C149" s="582"/>
      <c r="D149" s="582"/>
      <c r="E149" s="582"/>
      <c r="F149" s="582"/>
      <c r="G149" s="582"/>
      <c r="H149" s="582"/>
      <c r="I149" s="582"/>
      <c r="J149" s="595"/>
    </row>
    <row r="150" spans="1:10">
      <c r="A150" s="558" t="s">
        <v>1090</v>
      </c>
      <c r="B150" s="594" t="s">
        <v>3295</v>
      </c>
      <c r="C150" s="582"/>
      <c r="D150" s="582"/>
      <c r="E150" s="582"/>
      <c r="F150" s="582"/>
      <c r="G150" s="582"/>
      <c r="H150" s="582"/>
      <c r="I150" s="582"/>
      <c r="J150" s="595"/>
    </row>
    <row r="151" spans="1:10">
      <c r="A151" s="558" t="s">
        <v>1088</v>
      </c>
      <c r="B151" s="594" t="s">
        <v>3296</v>
      </c>
      <c r="C151" s="582"/>
      <c r="D151" s="582"/>
      <c r="E151" s="582"/>
      <c r="F151" s="582"/>
      <c r="G151" s="582"/>
      <c r="H151" s="582"/>
      <c r="I151" s="582"/>
      <c r="J151" s="595"/>
    </row>
    <row r="152" spans="1:10" ht="25.5">
      <c r="A152" s="558" t="s">
        <v>3297</v>
      </c>
      <c r="B152" s="594" t="s">
        <v>3298</v>
      </c>
      <c r="C152" s="582"/>
      <c r="D152" s="582"/>
      <c r="E152" s="582"/>
      <c r="F152" s="582"/>
      <c r="G152" s="582"/>
      <c r="H152" s="582"/>
      <c r="I152" s="582"/>
      <c r="J152" s="595"/>
    </row>
    <row r="153" spans="1:10">
      <c r="A153" s="558" t="s">
        <v>1563</v>
      </c>
      <c r="B153" s="594" t="s">
        <v>1776</v>
      </c>
      <c r="C153" s="582"/>
      <c r="D153" s="582"/>
      <c r="E153" s="582"/>
      <c r="F153" s="582"/>
      <c r="G153" s="582"/>
      <c r="H153" s="582"/>
      <c r="I153" s="582"/>
      <c r="J153" s="595"/>
    </row>
    <row r="154" spans="1:10">
      <c r="A154" s="566"/>
      <c r="B154" s="227"/>
      <c r="C154" s="227"/>
      <c r="D154" s="227"/>
      <c r="E154" s="227"/>
      <c r="F154" s="227"/>
      <c r="G154" s="227"/>
      <c r="H154" s="227"/>
      <c r="I154" s="227"/>
      <c r="J154" s="329"/>
    </row>
    <row r="155" spans="1:10">
      <c r="A155" s="574" t="s">
        <v>5694</v>
      </c>
      <c r="B155" s="575"/>
      <c r="C155" s="575"/>
      <c r="D155" s="575"/>
      <c r="E155" s="575"/>
      <c r="F155" s="575"/>
      <c r="G155" s="575"/>
      <c r="H155" s="575"/>
      <c r="I155" s="575"/>
      <c r="J155" s="576"/>
    </row>
    <row r="156" spans="1:10">
      <c r="A156" s="567" t="s">
        <v>5679</v>
      </c>
      <c r="B156" s="192"/>
      <c r="C156" s="192"/>
      <c r="D156" s="192"/>
      <c r="E156" s="192"/>
      <c r="F156" s="192"/>
      <c r="G156" s="192"/>
      <c r="H156" s="192"/>
      <c r="I156" s="192"/>
      <c r="J156" s="565"/>
    </row>
    <row r="157" spans="1:10">
      <c r="A157" s="564"/>
      <c r="B157" s="192"/>
      <c r="C157" s="192"/>
      <c r="D157" s="192"/>
      <c r="E157" s="192"/>
      <c r="F157" s="192"/>
      <c r="G157" s="192"/>
      <c r="H157" s="192"/>
      <c r="I157" s="192"/>
      <c r="J157" s="565"/>
    </row>
    <row r="158" spans="1:10">
      <c r="A158" s="564" t="s">
        <v>5680</v>
      </c>
      <c r="B158" s="192"/>
      <c r="C158" s="192"/>
      <c r="D158" s="192"/>
      <c r="E158" s="192"/>
      <c r="F158" s="192"/>
      <c r="G158" s="192"/>
      <c r="H158" s="192"/>
      <c r="I158" s="192"/>
      <c r="J158" s="565"/>
    </row>
    <row r="159" spans="1:10">
      <c r="A159" s="564"/>
      <c r="B159" s="192"/>
      <c r="C159" s="192"/>
      <c r="D159" s="192"/>
      <c r="E159" s="192"/>
      <c r="F159" s="192"/>
      <c r="G159" s="192"/>
      <c r="H159" s="192"/>
      <c r="I159" s="192"/>
      <c r="J159" s="565"/>
    </row>
    <row r="160" spans="1:10">
      <c r="A160" s="564" t="s">
        <v>5681</v>
      </c>
      <c r="B160" s="192"/>
      <c r="C160" s="192"/>
      <c r="D160" s="192"/>
      <c r="E160" s="192"/>
      <c r="F160" s="192"/>
      <c r="G160" s="192"/>
      <c r="H160" s="192"/>
      <c r="I160" s="192"/>
      <c r="J160" s="565"/>
    </row>
    <row r="161" spans="1:10">
      <c r="A161" s="564"/>
      <c r="B161" s="192"/>
      <c r="C161" s="192"/>
      <c r="D161" s="192"/>
      <c r="E161" s="192"/>
      <c r="F161" s="192"/>
      <c r="G161" s="192"/>
      <c r="H161" s="192"/>
      <c r="I161" s="192"/>
      <c r="J161" s="565"/>
    </row>
    <row r="162" spans="1:10">
      <c r="A162" s="564" t="s">
        <v>5682</v>
      </c>
      <c r="B162" s="192"/>
      <c r="C162" s="192"/>
      <c r="D162" s="192"/>
      <c r="E162" s="192"/>
      <c r="F162" s="192"/>
      <c r="G162" s="192"/>
      <c r="H162" s="192"/>
      <c r="I162" s="192"/>
      <c r="J162" s="565"/>
    </row>
    <row r="163" spans="1:10">
      <c r="A163" s="564"/>
      <c r="B163" s="192"/>
      <c r="C163" s="192"/>
      <c r="D163" s="192"/>
      <c r="E163" s="192"/>
      <c r="F163" s="192"/>
      <c r="G163" s="192"/>
      <c r="H163" s="192"/>
      <c r="I163" s="192"/>
      <c r="J163" s="565"/>
    </row>
    <row r="164" spans="1:10">
      <c r="A164" s="564"/>
      <c r="B164" s="192"/>
      <c r="C164" s="192"/>
      <c r="D164" s="192"/>
      <c r="E164" s="192"/>
      <c r="F164" s="192"/>
      <c r="G164" s="192"/>
      <c r="H164" s="192"/>
      <c r="I164" s="192"/>
      <c r="J164" s="565"/>
    </row>
    <row r="165" spans="1:10">
      <c r="A165" s="564"/>
      <c r="B165" s="192"/>
      <c r="C165" s="192"/>
      <c r="D165" s="192"/>
      <c r="E165" s="192"/>
      <c r="F165" s="192"/>
      <c r="G165" s="192"/>
      <c r="H165" s="192"/>
      <c r="I165" s="192"/>
      <c r="J165" s="565"/>
    </row>
    <row r="166" spans="1:10">
      <c r="A166" s="574" t="s">
        <v>5695</v>
      </c>
      <c r="B166" s="575"/>
      <c r="C166" s="575"/>
      <c r="D166" s="575"/>
      <c r="E166" s="575"/>
      <c r="F166" s="575"/>
      <c r="G166" s="575"/>
      <c r="H166" s="575"/>
      <c r="I166" s="575"/>
      <c r="J166" s="576"/>
    </row>
    <row r="167" spans="1:10">
      <c r="A167" s="564"/>
      <c r="B167" s="192"/>
      <c r="C167" s="192"/>
      <c r="D167" s="192"/>
      <c r="E167" s="192"/>
      <c r="F167" s="192"/>
      <c r="G167" s="192"/>
      <c r="H167" s="192"/>
      <c r="I167" s="192"/>
      <c r="J167" s="565"/>
    </row>
    <row r="168" spans="1:10">
      <c r="A168" s="564" t="s">
        <v>5683</v>
      </c>
      <c r="B168" s="192"/>
      <c r="C168" s="192"/>
      <c r="D168" s="192"/>
      <c r="E168" s="192"/>
      <c r="F168" s="192"/>
      <c r="G168" s="192"/>
      <c r="H168" s="192"/>
      <c r="I168" s="192"/>
      <c r="J168" s="565"/>
    </row>
    <row r="169" spans="1:10">
      <c r="A169" s="564"/>
      <c r="B169" s="192"/>
      <c r="C169" s="192"/>
      <c r="D169" s="192"/>
      <c r="E169" s="192"/>
      <c r="F169" s="192"/>
      <c r="G169" s="192"/>
      <c r="H169" s="192"/>
      <c r="I169" s="192"/>
      <c r="J169" s="565"/>
    </row>
    <row r="170" spans="1:10">
      <c r="A170" s="564" t="s">
        <v>5684</v>
      </c>
      <c r="B170" s="192"/>
      <c r="C170" s="192"/>
      <c r="D170" s="192"/>
      <c r="E170" s="192"/>
      <c r="F170" s="192"/>
      <c r="G170" s="192"/>
      <c r="H170" s="192"/>
      <c r="I170" s="192"/>
      <c r="J170" s="565"/>
    </row>
    <row r="171" spans="1:10">
      <c r="A171" s="564"/>
      <c r="B171" s="192"/>
      <c r="C171" s="192"/>
      <c r="D171" s="192"/>
      <c r="E171" s="192"/>
      <c r="F171" s="192"/>
      <c r="G171" s="192"/>
      <c r="H171" s="192"/>
      <c r="I171" s="192"/>
      <c r="J171" s="565"/>
    </row>
    <row r="172" spans="1:10">
      <c r="A172" s="564" t="s">
        <v>5685</v>
      </c>
      <c r="B172" s="192"/>
      <c r="C172" s="192"/>
      <c r="D172" s="192"/>
      <c r="E172" s="192"/>
      <c r="F172" s="192"/>
      <c r="G172" s="192"/>
      <c r="H172" s="192"/>
      <c r="I172" s="192"/>
      <c r="J172" s="565"/>
    </row>
    <row r="173" spans="1:10">
      <c r="A173" s="564"/>
      <c r="B173" s="192"/>
      <c r="C173" s="192"/>
      <c r="D173" s="192"/>
      <c r="E173" s="192"/>
      <c r="F173" s="192"/>
      <c r="G173" s="192"/>
      <c r="H173" s="192"/>
      <c r="I173" s="192"/>
      <c r="J173" s="565"/>
    </row>
    <row r="174" spans="1:10">
      <c r="A174" s="564"/>
      <c r="B174" s="192"/>
      <c r="C174" s="192"/>
      <c r="D174" s="192"/>
      <c r="E174" s="192"/>
      <c r="F174" s="192"/>
      <c r="G174" s="192"/>
      <c r="H174" s="192"/>
      <c r="I174" s="192"/>
      <c r="J174" s="565"/>
    </row>
    <row r="175" spans="1:10">
      <c r="A175" s="564"/>
      <c r="B175" s="192"/>
      <c r="C175" s="192"/>
      <c r="D175" s="192"/>
      <c r="E175" s="192"/>
      <c r="F175" s="192"/>
      <c r="G175" s="192"/>
      <c r="H175" s="192"/>
      <c r="I175" s="192"/>
      <c r="J175" s="565"/>
    </row>
    <row r="176" spans="1:10">
      <c r="A176" s="574" t="s">
        <v>5696</v>
      </c>
      <c r="B176" s="575"/>
      <c r="C176" s="575"/>
      <c r="D176" s="575"/>
      <c r="E176" s="575"/>
      <c r="F176" s="575"/>
      <c r="G176" s="575"/>
      <c r="H176" s="575"/>
      <c r="I176" s="575"/>
      <c r="J176" s="576"/>
    </row>
    <row r="177" spans="1:10">
      <c r="A177" s="564"/>
      <c r="B177" s="192"/>
      <c r="C177" s="192"/>
      <c r="D177" s="192"/>
      <c r="E177" s="192"/>
      <c r="F177" s="192"/>
      <c r="G177" s="192"/>
      <c r="H177" s="192"/>
      <c r="I177" s="192"/>
      <c r="J177" s="565"/>
    </row>
    <row r="178" spans="1:10">
      <c r="A178" s="564" t="s">
        <v>5686</v>
      </c>
      <c r="B178" s="192"/>
      <c r="C178" s="192"/>
      <c r="D178" s="192"/>
      <c r="E178" s="192"/>
      <c r="F178" s="192"/>
      <c r="G178" s="192"/>
      <c r="H178" s="192"/>
      <c r="I178" s="192"/>
      <c r="J178" s="565"/>
    </row>
    <row r="179" spans="1:10">
      <c r="A179" s="564"/>
      <c r="B179" s="192"/>
      <c r="C179" s="192"/>
      <c r="D179" s="192"/>
      <c r="E179" s="192"/>
      <c r="F179" s="192"/>
      <c r="G179" s="192"/>
      <c r="H179" s="192"/>
      <c r="I179" s="192"/>
      <c r="J179" s="565"/>
    </row>
    <row r="180" spans="1:10">
      <c r="A180" s="564" t="s">
        <v>5687</v>
      </c>
      <c r="B180" s="192"/>
      <c r="C180" s="192"/>
      <c r="D180" s="192"/>
      <c r="E180" s="192"/>
      <c r="F180" s="192"/>
      <c r="G180" s="192"/>
      <c r="H180" s="192"/>
      <c r="I180" s="192"/>
      <c r="J180" s="565"/>
    </row>
    <row r="181" spans="1:10">
      <c r="A181" s="564"/>
      <c r="B181" s="192"/>
      <c r="C181" s="192"/>
      <c r="D181" s="192"/>
      <c r="E181" s="192"/>
      <c r="F181" s="192"/>
      <c r="G181" s="192"/>
      <c r="H181" s="192"/>
      <c r="I181" s="192"/>
      <c r="J181" s="565"/>
    </row>
    <row r="182" spans="1:10">
      <c r="A182" s="564" t="s">
        <v>5688</v>
      </c>
      <c r="B182" s="192"/>
      <c r="C182" s="192"/>
      <c r="D182" s="192"/>
      <c r="E182" s="192"/>
      <c r="F182" s="192"/>
      <c r="G182" s="192"/>
      <c r="H182" s="192"/>
      <c r="I182" s="192"/>
      <c r="J182" s="565"/>
    </row>
    <row r="183" spans="1:10">
      <c r="A183" s="564"/>
      <c r="B183" s="192"/>
      <c r="C183" s="192"/>
      <c r="D183" s="192"/>
      <c r="E183" s="192"/>
      <c r="F183" s="192"/>
      <c r="G183" s="192"/>
      <c r="H183" s="192"/>
      <c r="I183" s="192"/>
      <c r="J183" s="565"/>
    </row>
    <row r="184" spans="1:10">
      <c r="A184" s="564" t="s">
        <v>5689</v>
      </c>
      <c r="B184" s="192"/>
      <c r="C184" s="192"/>
      <c r="D184" s="192"/>
      <c r="E184" s="192"/>
      <c r="F184" s="192"/>
      <c r="G184" s="192"/>
      <c r="H184" s="192"/>
      <c r="I184" s="192"/>
      <c r="J184" s="565"/>
    </row>
    <row r="185" spans="1:10">
      <c r="A185" s="564"/>
      <c r="B185" s="192"/>
      <c r="C185" s="192"/>
      <c r="D185" s="192"/>
      <c r="E185" s="192"/>
      <c r="F185" s="192"/>
      <c r="G185" s="192"/>
      <c r="H185" s="192"/>
      <c r="I185" s="192"/>
      <c r="J185" s="565"/>
    </row>
    <row r="186" spans="1:10">
      <c r="A186" s="564"/>
      <c r="B186" s="192"/>
      <c r="C186" s="192"/>
      <c r="D186" s="192"/>
      <c r="E186" s="192"/>
      <c r="F186" s="192"/>
      <c r="G186" s="192"/>
      <c r="H186" s="192"/>
      <c r="I186" s="192"/>
      <c r="J186" s="565"/>
    </row>
    <row r="187" spans="1:10">
      <c r="A187" s="564"/>
      <c r="B187" s="192"/>
      <c r="C187" s="192"/>
      <c r="D187" s="192"/>
      <c r="E187" s="192"/>
      <c r="F187" s="192"/>
      <c r="G187" s="192"/>
      <c r="H187" s="192"/>
      <c r="I187" s="192"/>
      <c r="J187" s="565"/>
    </row>
    <row r="188" spans="1:10">
      <c r="A188" s="574" t="s">
        <v>5697</v>
      </c>
      <c r="B188" s="575"/>
      <c r="C188" s="575"/>
      <c r="D188" s="575"/>
      <c r="E188" s="575"/>
      <c r="F188" s="575"/>
      <c r="G188" s="575"/>
      <c r="H188" s="575"/>
      <c r="I188" s="575"/>
      <c r="J188" s="576"/>
    </row>
    <row r="189" spans="1:10">
      <c r="A189" s="564"/>
      <c r="B189" s="192"/>
      <c r="C189" s="192"/>
      <c r="D189" s="192"/>
      <c r="E189" s="192"/>
      <c r="F189" s="192"/>
      <c r="G189" s="192"/>
      <c r="H189" s="192"/>
      <c r="I189" s="192"/>
      <c r="J189" s="565"/>
    </row>
    <row r="190" spans="1:10">
      <c r="A190" s="564" t="s">
        <v>5690</v>
      </c>
      <c r="B190" s="192"/>
      <c r="C190" s="192"/>
      <c r="D190" s="192"/>
      <c r="E190" s="192"/>
      <c r="F190" s="192"/>
      <c r="G190" s="192"/>
      <c r="H190" s="192"/>
      <c r="I190" s="192"/>
      <c r="J190" s="565"/>
    </row>
    <row r="191" spans="1:10">
      <c r="A191" s="564"/>
      <c r="B191" s="192"/>
      <c r="C191" s="192"/>
      <c r="D191" s="192"/>
      <c r="E191" s="192"/>
      <c r="F191" s="192"/>
      <c r="G191" s="192"/>
      <c r="H191" s="192"/>
      <c r="I191" s="192"/>
      <c r="J191" s="565"/>
    </row>
    <row r="192" spans="1:10">
      <c r="A192" s="564" t="s">
        <v>5691</v>
      </c>
      <c r="B192" s="192"/>
      <c r="C192" s="192"/>
      <c r="D192" s="192"/>
      <c r="E192" s="192"/>
      <c r="F192" s="192"/>
      <c r="G192" s="192"/>
      <c r="H192" s="192"/>
      <c r="I192" s="192"/>
      <c r="J192" s="565"/>
    </row>
    <row r="193" spans="1:10">
      <c r="A193" s="564"/>
      <c r="B193" s="192"/>
      <c r="C193" s="192"/>
      <c r="D193" s="192"/>
      <c r="E193" s="192"/>
      <c r="F193" s="192"/>
      <c r="G193" s="192"/>
      <c r="H193" s="192"/>
      <c r="I193" s="192"/>
      <c r="J193" s="565"/>
    </row>
    <row r="194" spans="1:10">
      <c r="A194" s="564" t="s">
        <v>5692</v>
      </c>
      <c r="B194" s="192"/>
      <c r="C194" s="192"/>
      <c r="D194" s="192"/>
      <c r="E194" s="192"/>
      <c r="F194" s="192"/>
      <c r="G194" s="192"/>
      <c r="H194" s="192"/>
      <c r="I194" s="192"/>
      <c r="J194" s="565"/>
    </row>
    <row r="195" spans="1:10">
      <c r="A195" s="564"/>
      <c r="B195" s="192"/>
      <c r="C195" s="192"/>
      <c r="D195" s="192"/>
      <c r="E195" s="192"/>
      <c r="F195" s="192"/>
      <c r="G195" s="192"/>
      <c r="H195" s="192"/>
      <c r="I195" s="192"/>
      <c r="J195" s="565"/>
    </row>
    <row r="196" spans="1:10">
      <c r="A196" s="564"/>
      <c r="B196" s="192"/>
      <c r="C196" s="192"/>
      <c r="D196" s="192"/>
      <c r="E196" s="192"/>
      <c r="F196" s="192"/>
      <c r="G196" s="192"/>
      <c r="H196" s="192"/>
      <c r="I196" s="192"/>
      <c r="J196" s="565"/>
    </row>
    <row r="197" spans="1:10">
      <c r="A197" s="564"/>
      <c r="B197" s="192"/>
      <c r="C197" s="192"/>
      <c r="D197" s="192"/>
      <c r="E197" s="192"/>
      <c r="F197" s="192"/>
      <c r="G197" s="192"/>
      <c r="H197" s="192"/>
      <c r="I197" s="192"/>
      <c r="J197" s="565"/>
    </row>
    <row r="198" spans="1:10">
      <c r="A198" s="564" t="s">
        <v>5693</v>
      </c>
      <c r="B198" s="192"/>
      <c r="C198" s="192"/>
      <c r="D198" s="192"/>
      <c r="E198" s="192"/>
      <c r="F198" s="192"/>
      <c r="G198" s="192"/>
      <c r="H198" s="192"/>
      <c r="I198" s="192"/>
      <c r="J198" s="565"/>
    </row>
    <row r="199" spans="1:10">
      <c r="A199" s="564"/>
      <c r="B199" s="192"/>
      <c r="C199" s="192"/>
      <c r="D199" s="192"/>
      <c r="E199" s="192"/>
      <c r="F199" s="192"/>
      <c r="G199" s="192"/>
      <c r="H199" s="192"/>
      <c r="I199" s="192"/>
      <c r="J199" s="565"/>
    </row>
    <row r="200" spans="1:10">
      <c r="A200" s="568"/>
      <c r="B200" s="337"/>
      <c r="C200" s="337"/>
      <c r="D200" s="337"/>
      <c r="E200" s="337"/>
      <c r="F200" s="337"/>
      <c r="G200" s="337"/>
      <c r="H200" s="337"/>
      <c r="I200" s="337"/>
      <c r="J200" s="569"/>
    </row>
    <row r="201" spans="1:10">
      <c r="A201" s="568"/>
      <c r="B201" s="337"/>
      <c r="C201" s="337"/>
      <c r="D201" s="337"/>
      <c r="E201" s="337"/>
      <c r="F201" s="337"/>
      <c r="G201" s="337"/>
      <c r="H201" s="337"/>
      <c r="I201" s="337"/>
      <c r="J201" s="569"/>
    </row>
    <row r="202" spans="1:10">
      <c r="A202" s="568"/>
      <c r="B202" s="337"/>
      <c r="C202" s="337"/>
      <c r="D202" s="337"/>
      <c r="E202" s="337"/>
      <c r="F202" s="337"/>
      <c r="G202" s="337"/>
      <c r="H202" s="337"/>
      <c r="I202" s="337"/>
      <c r="J202" s="569"/>
    </row>
    <row r="203" spans="1:10">
      <c r="A203" s="568"/>
      <c r="B203" s="337"/>
      <c r="C203" s="337"/>
      <c r="D203" s="337"/>
      <c r="E203" s="337"/>
      <c r="F203" s="337"/>
      <c r="G203" s="337"/>
      <c r="H203" s="337"/>
      <c r="I203" s="337"/>
      <c r="J203" s="569"/>
    </row>
    <row r="204" spans="1:10">
      <c r="A204" s="568"/>
      <c r="B204" s="337"/>
      <c r="C204" s="337"/>
      <c r="D204" s="337"/>
      <c r="E204" s="337"/>
      <c r="F204" s="337"/>
      <c r="G204" s="337"/>
      <c r="H204" s="337"/>
      <c r="I204" s="337"/>
      <c r="J204" s="569"/>
    </row>
    <row r="205" spans="1:10">
      <c r="A205" s="568"/>
      <c r="B205" s="337"/>
      <c r="C205" s="337"/>
      <c r="D205" s="337"/>
      <c r="E205" s="337"/>
      <c r="F205" s="337"/>
      <c r="G205" s="337"/>
      <c r="H205" s="337"/>
      <c r="I205" s="337"/>
      <c r="J205" s="569"/>
    </row>
    <row r="206" spans="1:10">
      <c r="A206" s="568"/>
      <c r="B206" s="337"/>
      <c r="C206" s="337"/>
      <c r="D206" s="337"/>
      <c r="E206" s="337"/>
      <c r="F206" s="337"/>
      <c r="G206" s="337"/>
      <c r="H206" s="337"/>
      <c r="I206" s="337"/>
      <c r="J206" s="569"/>
    </row>
    <row r="207" spans="1:10">
      <c r="A207" s="568"/>
      <c r="B207" s="337"/>
      <c r="C207" s="337"/>
      <c r="D207" s="337"/>
      <c r="E207" s="337"/>
      <c r="F207" s="337"/>
      <c r="G207" s="337"/>
      <c r="H207" s="337"/>
      <c r="I207" s="337"/>
      <c r="J207" s="569"/>
    </row>
    <row r="208" spans="1:10">
      <c r="A208" s="568"/>
      <c r="B208" s="337"/>
      <c r="C208" s="337"/>
      <c r="D208" s="337"/>
      <c r="E208" s="337"/>
      <c r="F208" s="337"/>
      <c r="G208" s="337"/>
      <c r="H208" s="337"/>
      <c r="I208" s="337"/>
      <c r="J208" s="569"/>
    </row>
    <row r="209" spans="1:10">
      <c r="A209" s="564"/>
      <c r="B209" s="192"/>
      <c r="C209" s="192"/>
      <c r="D209" s="192"/>
      <c r="E209" s="192"/>
      <c r="F209" s="192"/>
      <c r="G209" s="192"/>
      <c r="H209" s="192"/>
      <c r="I209" s="192"/>
      <c r="J209" s="565"/>
    </row>
    <row r="210" spans="1:10" ht="15.75" thickBot="1">
      <c r="A210" s="570"/>
      <c r="B210" s="571"/>
      <c r="C210" s="571"/>
      <c r="D210" s="571"/>
      <c r="E210" s="571"/>
      <c r="F210" s="571"/>
      <c r="G210" s="592"/>
      <c r="H210" s="592"/>
      <c r="I210" s="592"/>
      <c r="J210" s="593"/>
    </row>
    <row r="211" spans="1:10" hidden="1"/>
    <row r="212" spans="1:10" hidden="1"/>
    <row r="213" spans="1:10" ht="18" hidden="1">
      <c r="A213" s="598" t="s">
        <v>5759</v>
      </c>
      <c r="B213" s="598"/>
      <c r="C213" s="598"/>
      <c r="D213" s="598"/>
      <c r="E213" s="598"/>
      <c r="F213" s="598"/>
      <c r="G213" s="598"/>
      <c r="H213" s="598"/>
      <c r="I213" s="227"/>
      <c r="J213" s="227"/>
    </row>
    <row r="214" spans="1:10" hidden="1">
      <c r="A214" s="272" t="s">
        <v>2</v>
      </c>
      <c r="B214" s="591" t="s">
        <v>5563</v>
      </c>
      <c r="C214" s="591"/>
      <c r="D214" s="591"/>
      <c r="E214" s="591"/>
      <c r="F214" s="591"/>
      <c r="G214" s="591"/>
      <c r="H214" s="591"/>
      <c r="I214" s="227"/>
      <c r="J214" s="227"/>
    </row>
    <row r="215" spans="1:10" hidden="1">
      <c r="A215" s="272" t="s">
        <v>5564</v>
      </c>
      <c r="B215" s="591" t="s">
        <v>5565</v>
      </c>
      <c r="C215" s="591"/>
      <c r="D215" s="591"/>
      <c r="E215" s="591"/>
      <c r="F215" s="591"/>
      <c r="G215" s="591"/>
      <c r="H215" s="591"/>
      <c r="I215" s="227"/>
      <c r="J215" s="227"/>
    </row>
    <row r="216" spans="1:10" hidden="1">
      <c r="A216" s="192"/>
      <c r="B216" s="192"/>
      <c r="C216" s="192"/>
      <c r="D216" s="192"/>
      <c r="E216" s="192"/>
      <c r="F216" s="192"/>
      <c r="G216" s="192"/>
      <c r="H216" s="192"/>
      <c r="I216" s="227"/>
      <c r="J216" s="227"/>
    </row>
    <row r="217" spans="1:10" hidden="1">
      <c r="A217" s="319" t="s">
        <v>4946</v>
      </c>
      <c r="B217" s="319" t="s">
        <v>77</v>
      </c>
      <c r="C217" s="319" t="s">
        <v>5566</v>
      </c>
      <c r="D217" s="319" t="s">
        <v>263</v>
      </c>
      <c r="E217" s="319" t="s">
        <v>216</v>
      </c>
      <c r="F217" s="319" t="s">
        <v>5567</v>
      </c>
      <c r="G217" s="319" t="s">
        <v>5568</v>
      </c>
      <c r="H217" s="319" t="s">
        <v>5569</v>
      </c>
      <c r="I217" s="227"/>
      <c r="J217" s="227"/>
    </row>
    <row r="218" spans="1:10" ht="25.5" hidden="1">
      <c r="A218" s="273" t="s">
        <v>5570</v>
      </c>
      <c r="B218" s="274" t="s">
        <v>1096</v>
      </c>
      <c r="C218" s="273"/>
      <c r="D218" s="273"/>
      <c r="E218" s="273"/>
      <c r="F218" s="273"/>
      <c r="G218" s="275" t="str">
        <f t="shared" ref="G218:G225" si="2">IF(OR(B218="Yes",B218="N/A"),"🟢","🟡")</f>
        <v>🟡</v>
      </c>
      <c r="H218" s="273"/>
      <c r="I218" s="227"/>
      <c r="J218" s="227"/>
    </row>
    <row r="219" spans="1:10" hidden="1">
      <c r="A219" s="273" t="s">
        <v>5571</v>
      </c>
      <c r="B219" s="274" t="s">
        <v>1096</v>
      </c>
      <c r="C219" s="273"/>
      <c r="D219" s="273"/>
      <c r="E219" s="273"/>
      <c r="F219" s="273"/>
      <c r="G219" s="275" t="str">
        <f t="shared" si="2"/>
        <v>🟡</v>
      </c>
      <c r="H219" s="273"/>
      <c r="I219" s="227"/>
      <c r="J219" s="227"/>
    </row>
    <row r="220" spans="1:10" hidden="1">
      <c r="A220" s="273" t="s">
        <v>5572</v>
      </c>
      <c r="B220" s="274" t="s">
        <v>1096</v>
      </c>
      <c r="C220" s="273"/>
      <c r="D220" s="273"/>
      <c r="E220" s="273"/>
      <c r="F220" s="273"/>
      <c r="G220" s="275" t="str">
        <f t="shared" si="2"/>
        <v>🟡</v>
      </c>
      <c r="H220" s="273"/>
      <c r="I220" s="227"/>
      <c r="J220" s="227"/>
    </row>
    <row r="221" spans="1:10" hidden="1">
      <c r="A221" s="273" t="s">
        <v>5168</v>
      </c>
      <c r="B221" s="274" t="s">
        <v>1096</v>
      </c>
      <c r="C221" s="273"/>
      <c r="D221" s="273"/>
      <c r="E221" s="273"/>
      <c r="F221" s="273"/>
      <c r="G221" s="275" t="str">
        <f t="shared" si="2"/>
        <v>🟡</v>
      </c>
      <c r="H221" s="273"/>
      <c r="I221" s="227"/>
      <c r="J221" s="227"/>
    </row>
    <row r="222" spans="1:10" hidden="1">
      <c r="A222" s="273" t="s">
        <v>5573</v>
      </c>
      <c r="B222" s="274" t="s">
        <v>1096</v>
      </c>
      <c r="C222" s="273"/>
      <c r="D222" s="273"/>
      <c r="E222" s="273"/>
      <c r="F222" s="273"/>
      <c r="G222" s="275" t="str">
        <f t="shared" si="2"/>
        <v>🟡</v>
      </c>
      <c r="H222" s="273"/>
      <c r="I222" s="227"/>
      <c r="J222" s="227"/>
    </row>
    <row r="223" spans="1:10" hidden="1">
      <c r="A223" s="273" t="s">
        <v>5574</v>
      </c>
      <c r="B223" s="274" t="s">
        <v>1096</v>
      </c>
      <c r="C223" s="273"/>
      <c r="D223" s="273"/>
      <c r="E223" s="273"/>
      <c r="F223" s="273"/>
      <c r="G223" s="275" t="str">
        <f t="shared" si="2"/>
        <v>🟡</v>
      </c>
      <c r="H223" s="273"/>
      <c r="I223" s="227"/>
      <c r="J223" s="227"/>
    </row>
    <row r="224" spans="1:10" hidden="1">
      <c r="A224" s="273" t="s">
        <v>178</v>
      </c>
      <c r="B224" s="274" t="s">
        <v>1096</v>
      </c>
      <c r="C224" s="273"/>
      <c r="D224" s="273"/>
      <c r="E224" s="273"/>
      <c r="F224" s="273"/>
      <c r="G224" s="275" t="str">
        <f t="shared" si="2"/>
        <v>🟡</v>
      </c>
      <c r="H224" s="273"/>
      <c r="I224" s="227"/>
      <c r="J224" s="227"/>
    </row>
    <row r="225" spans="1:10" ht="25.5" hidden="1">
      <c r="A225" s="273" t="s">
        <v>5575</v>
      </c>
      <c r="B225" s="274" t="s">
        <v>1096</v>
      </c>
      <c r="C225" s="273"/>
      <c r="D225" s="273"/>
      <c r="E225" s="273"/>
      <c r="F225" s="273"/>
      <c r="G225" s="275" t="str">
        <f t="shared" si="2"/>
        <v>🟡</v>
      </c>
      <c r="H225" s="273"/>
      <c r="I225" s="227"/>
      <c r="J225" s="227"/>
    </row>
    <row r="226" spans="1:10" ht="42" hidden="1" customHeight="1">
      <c r="A226" s="320" t="s">
        <v>4946</v>
      </c>
      <c r="B226" s="320" t="s">
        <v>5583</v>
      </c>
      <c r="C226" s="192"/>
      <c r="D226" s="192"/>
      <c r="E226" s="320" t="s">
        <v>5584</v>
      </c>
      <c r="F226" s="192"/>
      <c r="G226" s="192"/>
      <c r="H226" s="192"/>
      <c r="I226" s="227"/>
      <c r="J226" s="227"/>
    </row>
    <row r="227" spans="1:10" ht="42" hidden="1" customHeight="1">
      <c r="A227" s="287" t="s">
        <v>5570</v>
      </c>
      <c r="B227" s="577" t="s">
        <v>5585</v>
      </c>
      <c r="C227" s="577"/>
      <c r="D227" s="577"/>
      <c r="E227" s="577" t="s">
        <v>5586</v>
      </c>
      <c r="F227" s="577"/>
      <c r="G227" s="577"/>
      <c r="H227" s="192"/>
      <c r="I227" s="227"/>
      <c r="J227" s="227"/>
    </row>
    <row r="228" spans="1:10" ht="42" hidden="1" customHeight="1">
      <c r="A228" s="287" t="s">
        <v>5571</v>
      </c>
      <c r="B228" s="577" t="s">
        <v>5587</v>
      </c>
      <c r="C228" s="577"/>
      <c r="D228" s="577"/>
      <c r="E228" s="577" t="s">
        <v>5588</v>
      </c>
      <c r="F228" s="577"/>
      <c r="G228" s="577"/>
      <c r="H228" s="192"/>
      <c r="I228" s="227"/>
      <c r="J228" s="227"/>
    </row>
    <row r="229" spans="1:10" ht="42" hidden="1" customHeight="1">
      <c r="A229" s="287" t="s">
        <v>5572</v>
      </c>
      <c r="B229" s="577" t="s">
        <v>5589</v>
      </c>
      <c r="C229" s="577"/>
      <c r="D229" s="577"/>
      <c r="E229" s="577" t="s">
        <v>5590</v>
      </c>
      <c r="F229" s="577"/>
      <c r="G229" s="577"/>
      <c r="H229" s="192"/>
      <c r="I229" s="227"/>
      <c r="J229" s="227"/>
    </row>
    <row r="230" spans="1:10" ht="42" hidden="1" customHeight="1">
      <c r="A230" s="287" t="s">
        <v>5168</v>
      </c>
      <c r="B230" s="577" t="s">
        <v>5591</v>
      </c>
      <c r="C230" s="577"/>
      <c r="D230" s="577"/>
      <c r="E230" s="577" t="s">
        <v>5592</v>
      </c>
      <c r="F230" s="577"/>
      <c r="G230" s="577"/>
      <c r="H230" s="192"/>
      <c r="I230" s="227"/>
      <c r="J230" s="227"/>
    </row>
    <row r="231" spans="1:10" ht="42" hidden="1" customHeight="1">
      <c r="A231" s="287" t="s">
        <v>5573</v>
      </c>
      <c r="B231" s="577" t="s">
        <v>5593</v>
      </c>
      <c r="C231" s="577"/>
      <c r="D231" s="577"/>
      <c r="E231" s="577" t="s">
        <v>5594</v>
      </c>
      <c r="F231" s="577"/>
      <c r="G231" s="577"/>
      <c r="H231" s="192"/>
      <c r="I231" s="227"/>
      <c r="J231" s="227"/>
    </row>
    <row r="232" spans="1:10" ht="42" hidden="1" customHeight="1">
      <c r="A232" s="287" t="s">
        <v>5574</v>
      </c>
      <c r="B232" s="577" t="s">
        <v>5595</v>
      </c>
      <c r="C232" s="577"/>
      <c r="D232" s="577"/>
      <c r="E232" s="577" t="s">
        <v>5596</v>
      </c>
      <c r="F232" s="577"/>
      <c r="G232" s="577"/>
      <c r="H232" s="192"/>
      <c r="I232" s="227"/>
      <c r="J232" s="227"/>
    </row>
    <row r="233" spans="1:10" ht="42" hidden="1" customHeight="1">
      <c r="A233" s="287" t="s">
        <v>178</v>
      </c>
      <c r="B233" s="577" t="s">
        <v>5597</v>
      </c>
      <c r="C233" s="577"/>
      <c r="D233" s="577"/>
      <c r="E233" s="577" t="s">
        <v>5598</v>
      </c>
      <c r="F233" s="577"/>
      <c r="G233" s="577"/>
      <c r="H233" s="192"/>
      <c r="I233" s="227"/>
      <c r="J233" s="227"/>
    </row>
    <row r="234" spans="1:10" ht="42" hidden="1" customHeight="1">
      <c r="A234" s="287" t="s">
        <v>5575</v>
      </c>
      <c r="B234" s="577" t="s">
        <v>5599</v>
      </c>
      <c r="C234" s="577"/>
      <c r="D234" s="577"/>
      <c r="E234" s="577" t="s">
        <v>5600</v>
      </c>
      <c r="F234" s="577"/>
      <c r="G234" s="577"/>
      <c r="H234" s="192"/>
      <c r="I234" s="227"/>
      <c r="J234" s="227"/>
    </row>
    <row r="235" spans="1:10" hidden="1">
      <c r="A235" s="272" t="s">
        <v>5576</v>
      </c>
      <c r="B235" s="276" t="str">
        <f>IF(COUNTIF(B218:B225,"No")=0,"🟢 PILOT COMPLETE / ACCEPTANCE READY","🟡 NOT COMPLETE — ACCEPTANCE GATES OPEN")</f>
        <v>🟡 NOT COMPLETE — ACCEPTANCE GATES OPEN</v>
      </c>
      <c r="C235" s="276"/>
      <c r="D235" s="276"/>
      <c r="E235" s="276"/>
      <c r="F235" s="276"/>
      <c r="G235" s="276"/>
      <c r="H235" s="276"/>
    </row>
    <row r="236" spans="1:10" hidden="1">
      <c r="A236" s="272" t="s">
        <v>5577</v>
      </c>
      <c r="B236" s="276">
        <f>COUNTIF(B218:B225,"No")</f>
        <v>8</v>
      </c>
      <c r="C236" s="276"/>
      <c r="D236" s="276"/>
      <c r="E236" s="276"/>
      <c r="F236" s="276"/>
      <c r="G236" s="276"/>
      <c r="H236" s="276"/>
    </row>
    <row r="237" spans="1:10" hidden="1">
      <c r="A237" s="272" t="s">
        <v>5578</v>
      </c>
      <c r="B237" s="276" t="str">
        <f>COUNTIF(B218:B225,"Yes")&amp;" / 8 Complete"</f>
        <v>0 / 8 Complete</v>
      </c>
      <c r="C237" s="276"/>
      <c r="D237" s="276"/>
      <c r="E237" s="276"/>
      <c r="F237" s="276"/>
      <c r="G237" s="276"/>
      <c r="H237" s="276"/>
    </row>
    <row r="238" spans="1:10" ht="90" hidden="1">
      <c r="A238" s="277" t="s">
        <v>5579</v>
      </c>
      <c r="B238" s="278" t="s">
        <v>5580</v>
      </c>
      <c r="C238" s="278"/>
      <c r="D238" s="278"/>
      <c r="E238" s="278"/>
      <c r="F238" s="278"/>
      <c r="G238" s="278"/>
      <c r="H238" s="278"/>
    </row>
    <row r="239" spans="1:10" hidden="1">
      <c r="A239" s="277"/>
      <c r="B239" s="278"/>
      <c r="C239" s="278"/>
      <c r="D239" s="278"/>
      <c r="E239" s="278"/>
      <c r="F239" s="278"/>
      <c r="G239" s="278"/>
      <c r="H239" s="278"/>
    </row>
    <row r="240" spans="1:10" ht="64.5" hidden="1">
      <c r="A240" s="277" t="s">
        <v>5581</v>
      </c>
      <c r="B240" s="278" t="s">
        <v>5582</v>
      </c>
      <c r="C240" s="278"/>
      <c r="D240" s="278"/>
      <c r="E240" s="278"/>
      <c r="F240" s="278"/>
      <c r="G240" s="278"/>
      <c r="H240" s="278"/>
    </row>
  </sheetData>
  <mergeCells count="113">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G119:J119"/>
    <mergeCell ref="G120:J120"/>
    <mergeCell ref="F112:J112"/>
    <mergeCell ref="F113:J113"/>
    <mergeCell ref="F114:J114"/>
    <mergeCell ref="F115:J115"/>
    <mergeCell ref="A116:B116"/>
    <mergeCell ref="C116:D116"/>
    <mergeCell ref="E116:J116"/>
    <mergeCell ref="G107:J107"/>
    <mergeCell ref="F108:J108"/>
    <mergeCell ref="F109:J109"/>
    <mergeCell ref="F110:J110"/>
    <mergeCell ref="F111:J111"/>
    <mergeCell ref="A106:C106"/>
    <mergeCell ref="D106:F106"/>
    <mergeCell ref="G106:J106"/>
    <mergeCell ref="A118:C118"/>
    <mergeCell ref="D118:F118"/>
    <mergeCell ref="G118:J118"/>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s>
  <phoneticPr fontId="58" type="noConversion"/>
  <conditionalFormatting sqref="B99:B103">
    <cfRule type="expression" dxfId="1498" priority="7">
      <formula>B99="In Progress"</formula>
    </cfRule>
    <cfRule type="expression" dxfId="1497" priority="6">
      <formula>B99="Complete"</formula>
    </cfRule>
    <cfRule type="expression" dxfId="1496" priority="8">
      <formula>B99="At Risk"</formula>
    </cfRule>
    <cfRule type="expression" dxfId="1495" priority="9">
      <formula>B99="Blocked"</formula>
    </cfRule>
    <cfRule type="expression" dxfId="1494" priority="10">
      <formula>B99="Not Started"</formula>
    </cfRule>
  </conditionalFormatting>
  <conditionalFormatting sqref="B108:B115">
    <cfRule type="expression" dxfId="1493" priority="37">
      <formula>B108="Blocked"</formula>
    </cfRule>
    <cfRule type="expression" dxfId="1492" priority="38">
      <formula>B108="Not Started"</formula>
    </cfRule>
    <cfRule type="expression" dxfId="1491" priority="34">
      <formula>B108="Complete"</formula>
    </cfRule>
    <cfRule type="expression" dxfId="1490" priority="35">
      <formula>B108="In Progress"</formula>
    </cfRule>
    <cfRule type="expression" dxfId="1489" priority="36">
      <formula>B108="At Risk"</formula>
    </cfRule>
  </conditionalFormatting>
  <conditionalFormatting sqref="B120:B124">
    <cfRule type="expression" dxfId="1488" priority="39">
      <formula>B120="Complete"</formula>
    </cfRule>
    <cfRule type="expression" dxfId="1487" priority="43">
      <formula>B120="Not Started"</formula>
    </cfRule>
    <cfRule type="expression" dxfId="1486" priority="42">
      <formula>B120="Blocked"</formula>
    </cfRule>
    <cfRule type="expression" dxfId="1485" priority="41">
      <formula>B120="At Risk"</formula>
    </cfRule>
    <cfRule type="expression" dxfId="1484" priority="40">
      <formula>B120="In Progress"</formula>
    </cfRule>
  </conditionalFormatting>
  <conditionalFormatting sqref="B129:B132">
    <cfRule type="expression" dxfId="1483" priority="14">
      <formula>B129="Complete"</formula>
    </cfRule>
    <cfRule type="expression" dxfId="1482" priority="15">
      <formula>B129="In Progress"</formula>
    </cfRule>
    <cfRule type="expression" dxfId="1481" priority="16">
      <formula>B129="At Risk"</formula>
    </cfRule>
    <cfRule type="expression" dxfId="1480" priority="17">
      <formula>B129="Blocked"</formula>
    </cfRule>
    <cfRule type="expression" dxfId="1479" priority="18">
      <formula>B129="Not Started"</formula>
    </cfRule>
  </conditionalFormatting>
  <conditionalFormatting sqref="B137:B142">
    <cfRule type="expression" dxfId="1478" priority="2">
      <formula>B137="In Progress"</formula>
    </cfRule>
    <cfRule type="expression" dxfId="1477" priority="3">
      <formula>B137="At Risk"</formula>
    </cfRule>
    <cfRule type="expression" dxfId="1476" priority="4">
      <formula>B137="Blocked"</formula>
    </cfRule>
    <cfRule type="expression" dxfId="1475" priority="5">
      <formula>B137="Not Started"</formula>
    </cfRule>
    <cfRule type="expression" dxfId="1474" priority="1">
      <formula>B137="Complete"</formula>
    </cfRule>
  </conditionalFormatting>
  <conditionalFormatting sqref="B218:B225">
    <cfRule type="expression" dxfId="1473" priority="99">
      <formula>B218="Yes"</formula>
    </cfRule>
    <cfRule type="expression" dxfId="1472" priority="100">
      <formula>B218="N/A"</formula>
    </cfRule>
    <cfRule type="expression" dxfId="1471" priority="101">
      <formula>B218="No"</formula>
    </cfRule>
  </conditionalFormatting>
  <conditionalFormatting sqref="B235:H235">
    <cfRule type="expression" dxfId="1470" priority="103">
      <formula>COUNTIF($B$6:$B$13,"No")&gt;0</formula>
    </cfRule>
    <cfRule type="expression" dxfId="1469" priority="102">
      <formula>COUNTIF($B$6:$B$13,"No")=0</formula>
    </cfRule>
  </conditionalFormatting>
  <conditionalFormatting sqref="C104:D104">
    <cfRule type="dataBar" priority="53">
      <dataBar>
        <cfvo type="num" val="0"/>
        <cfvo type="num" val="1"/>
        <color rgb="FF5B9BD5"/>
      </dataBar>
    </cfRule>
  </conditionalFormatting>
  <conditionalFormatting sqref="C108:D115">
    <cfRule type="expression" dxfId="1468" priority="44">
      <formula>C108="Yes"</formula>
    </cfRule>
    <cfRule type="expression" dxfId="1467" priority="45">
      <formula>C108="No"</formula>
    </cfRule>
    <cfRule type="expression" dxfId="1466"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465" priority="25">
      <formula>C137="No"</formula>
    </cfRule>
    <cfRule type="expression" dxfId="1464" priority="24">
      <formula>C137="Yes"</formula>
    </cfRule>
    <cfRule type="expression" dxfId="1463"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462" priority="11">
      <formula>C120="Yes"</formula>
    </cfRule>
    <cfRule type="expression" dxfId="1461" priority="12">
      <formula>C120="No"</formula>
    </cfRule>
    <cfRule type="expression" dxfId="1460" priority="13">
      <formula>C120="N/A"</formula>
    </cfRule>
  </conditionalFormatting>
  <conditionalFormatting sqref="E5 G5 I5">
    <cfRule type="expression" dxfId="1459" priority="104">
      <formula>E5="Pass"</formula>
    </cfRule>
    <cfRule type="expression" dxfId="1458" priority="105">
      <formula>E5="Verify"</formula>
    </cfRule>
    <cfRule type="expression" dxfId="1457" priority="106">
      <formula>E5="Fail"</formula>
    </cfRule>
    <cfRule type="expression" dxfId="1456" priority="107">
      <formula>E5="Not Started"</formula>
    </cfRule>
  </conditionalFormatting>
  <conditionalFormatting sqref="F3">
    <cfRule type="expression" dxfId="1455" priority="108">
      <formula>F3="Yes"</formula>
    </cfRule>
    <cfRule type="expression" dxfId="1454" priority="109">
      <formula>F3="No"</formula>
    </cfRule>
  </conditionalFormatting>
  <conditionalFormatting sqref="F120:F124">
    <cfRule type="expression" dxfId="1453" priority="50">
      <formula>F120="Pass"</formula>
    </cfRule>
    <cfRule type="expression" dxfId="1452" priority="51">
      <formula>F120="Fail"</formula>
    </cfRule>
    <cfRule type="expression" dxfId="1451"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C31:I34 H21:I30 H35: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topLeftCell="A234" workbookViewId="0">
      <selection activeCell="A248" sqref="A248"/>
    </sheetView>
  </sheetViews>
  <sheetFormatPr defaultColWidth="8.85546875" defaultRowHeight="12.75"/>
  <cols>
    <col min="1" max="1" width="13.28515625" style="192" customWidth="1"/>
    <col min="2" max="2" width="20" style="192" customWidth="1"/>
    <col min="3" max="3" width="31.140625" style="192" customWidth="1"/>
    <col min="4" max="4" width="15.5703125" style="192" customWidth="1"/>
    <col min="5" max="5" width="16.7109375" style="192" customWidth="1"/>
    <col min="6" max="6" width="13.28515625" style="192" customWidth="1"/>
    <col min="7" max="9" width="15.5703125" style="192" customWidth="1"/>
    <col min="10" max="10" width="17.7109375" style="192" customWidth="1"/>
    <col min="11" max="11" width="15.5703125" style="192" customWidth="1"/>
    <col min="12" max="12" width="20" style="192" customWidth="1"/>
    <col min="13" max="13" width="37.7109375" style="192" customWidth="1"/>
    <col min="14" max="14" width="44.42578125" style="192" customWidth="1"/>
    <col min="15" max="15" width="28.85546875" style="192" customWidth="1"/>
    <col min="16" max="16" width="33.28515625" style="192" customWidth="1"/>
    <col min="17" max="16384" width="8.85546875" style="192"/>
  </cols>
  <sheetData>
    <row r="1" spans="1:16">
      <c r="A1" s="912" t="s">
        <v>5825</v>
      </c>
      <c r="B1" s="912"/>
      <c r="C1" s="912"/>
      <c r="D1" s="912"/>
      <c r="E1" s="912"/>
      <c r="F1" s="912"/>
      <c r="G1" s="912"/>
      <c r="H1" s="912"/>
      <c r="I1" s="912"/>
      <c r="J1" s="912"/>
      <c r="K1" s="912"/>
      <c r="L1" s="912"/>
      <c r="M1" s="912"/>
      <c r="N1" s="912"/>
      <c r="O1" s="912"/>
      <c r="P1" s="912"/>
    </row>
    <row r="2" spans="1:16">
      <c r="A2" s="912"/>
      <c r="B2" s="912"/>
      <c r="C2" s="912"/>
      <c r="D2" s="912"/>
      <c r="E2" s="912"/>
      <c r="F2" s="912"/>
      <c r="G2" s="912"/>
      <c r="H2" s="912"/>
      <c r="I2" s="912"/>
      <c r="J2" s="912"/>
      <c r="K2" s="912"/>
      <c r="L2" s="912"/>
      <c r="M2" s="912"/>
      <c r="N2" s="912"/>
      <c r="O2" s="912"/>
      <c r="P2" s="912"/>
    </row>
    <row r="3" spans="1:16">
      <c r="A3" s="913" t="s">
        <v>5826</v>
      </c>
      <c r="B3" s="913"/>
      <c r="C3" s="913"/>
      <c r="D3" s="913"/>
      <c r="E3" s="913"/>
      <c r="F3" s="913"/>
      <c r="G3" s="913"/>
      <c r="H3" s="913"/>
      <c r="I3" s="913"/>
      <c r="J3" s="913"/>
      <c r="K3" s="913"/>
      <c r="L3" s="913"/>
      <c r="M3" s="913"/>
      <c r="N3" s="913"/>
      <c r="O3" s="913"/>
      <c r="P3" s="913"/>
    </row>
    <row r="4" spans="1:16">
      <c r="A4" s="335"/>
      <c r="B4" s="335"/>
      <c r="C4" s="335"/>
      <c r="D4" s="335"/>
      <c r="E4" s="335"/>
      <c r="F4" s="335"/>
      <c r="G4" s="335"/>
      <c r="H4" s="335"/>
      <c r="I4" s="335"/>
      <c r="J4" s="335"/>
      <c r="K4" s="335"/>
      <c r="L4" s="335"/>
      <c r="M4" s="335"/>
      <c r="N4" s="335"/>
      <c r="O4" s="335"/>
      <c r="P4" s="335"/>
    </row>
    <row r="5" spans="1:16" ht="15">
      <c r="A5" s="910" t="s">
        <v>5827</v>
      </c>
      <c r="B5" s="910"/>
      <c r="C5" s="910"/>
      <c r="D5" s="910"/>
      <c r="E5" s="335"/>
      <c r="F5" s="335"/>
      <c r="G5" s="335"/>
      <c r="H5" s="335"/>
      <c r="I5" s="335"/>
      <c r="J5" s="335"/>
      <c r="K5" s="335"/>
      <c r="L5" s="335"/>
      <c r="M5" s="335"/>
      <c r="N5" s="335"/>
      <c r="O5" s="335"/>
      <c r="P5" s="335"/>
    </row>
    <row r="6" spans="1:16" ht="24">
      <c r="A6" s="526" t="s">
        <v>5715</v>
      </c>
      <c r="B6" s="335" t="s">
        <v>374</v>
      </c>
      <c r="C6" s="526" t="s">
        <v>5767</v>
      </c>
      <c r="D6" s="335" t="s">
        <v>5775</v>
      </c>
      <c r="E6" s="335"/>
      <c r="F6" s="335"/>
      <c r="G6" s="335"/>
      <c r="H6" s="335"/>
      <c r="I6" s="335"/>
      <c r="J6" s="335"/>
      <c r="K6" s="335"/>
      <c r="L6" s="335"/>
      <c r="M6" s="335"/>
      <c r="N6" s="335"/>
      <c r="O6" s="335"/>
      <c r="P6" s="335"/>
    </row>
    <row r="7" spans="1:16">
      <c r="A7" s="526" t="s">
        <v>5828</v>
      </c>
      <c r="B7" s="525">
        <v>46216</v>
      </c>
      <c r="C7" s="526" t="s">
        <v>5829</v>
      </c>
      <c r="D7" s="525">
        <v>46220</v>
      </c>
      <c r="E7" s="335"/>
      <c r="F7" s="335"/>
      <c r="G7" s="335"/>
      <c r="H7" s="335"/>
      <c r="I7" s="335"/>
      <c r="J7" s="335"/>
      <c r="K7" s="335"/>
      <c r="L7" s="335"/>
      <c r="M7" s="335"/>
      <c r="N7" s="335"/>
      <c r="O7" s="335"/>
      <c r="P7" s="335"/>
    </row>
    <row r="8" spans="1:16">
      <c r="A8" s="526" t="s">
        <v>5798</v>
      </c>
      <c r="B8" s="335" t="s">
        <v>229</v>
      </c>
      <c r="C8" s="526" t="s">
        <v>5799</v>
      </c>
      <c r="D8" s="335" t="s">
        <v>5774</v>
      </c>
      <c r="E8" s="335"/>
      <c r="F8" s="335"/>
      <c r="G8" s="335"/>
      <c r="H8" s="335"/>
      <c r="I8" s="335"/>
      <c r="J8" s="335"/>
      <c r="K8" s="335"/>
      <c r="L8" s="335"/>
      <c r="M8" s="335"/>
      <c r="N8" s="335"/>
      <c r="O8" s="335"/>
      <c r="P8" s="335"/>
    </row>
    <row r="9" spans="1:16">
      <c r="A9" s="335"/>
      <c r="B9" s="335"/>
      <c r="C9" s="335"/>
      <c r="D9" s="335"/>
      <c r="E9" s="335"/>
      <c r="F9" s="335"/>
      <c r="G9" s="335"/>
      <c r="H9" s="335"/>
      <c r="I9" s="335"/>
      <c r="J9" s="335"/>
      <c r="K9" s="335"/>
      <c r="L9" s="335"/>
      <c r="M9" s="335"/>
      <c r="N9" s="335"/>
      <c r="O9" s="335"/>
      <c r="P9" s="335"/>
    </row>
    <row r="10" spans="1:16" ht="15">
      <c r="A10" s="910" t="s">
        <v>358</v>
      </c>
      <c r="B10" s="910"/>
      <c r="C10" s="910" t="s">
        <v>538</v>
      </c>
      <c r="D10" s="910"/>
      <c r="E10" s="910" t="s">
        <v>145</v>
      </c>
      <c r="F10" s="910"/>
      <c r="G10" s="910" t="s">
        <v>161</v>
      </c>
      <c r="H10" s="910"/>
      <c r="I10" s="910" t="s">
        <v>199</v>
      </c>
      <c r="J10" s="910"/>
      <c r="K10" s="910" t="s">
        <v>5465</v>
      </c>
      <c r="L10" s="910"/>
      <c r="M10" s="910" t="s">
        <v>171</v>
      </c>
      <c r="N10" s="910"/>
      <c r="O10" s="910" t="s">
        <v>5760</v>
      </c>
      <c r="P10" s="910"/>
    </row>
    <row r="11" spans="1:16">
      <c r="A11" s="909">
        <f>COUNTIF(PMIS_Data!$A$3:$A$40,"&lt;&gt;")</f>
        <v>30</v>
      </c>
      <c r="B11" s="909"/>
      <c r="C11" s="916">
        <f>IFERROR(AVERAGEIF(PMIS_Data!$E$3:$E$40,"&gt;0"),0)</f>
        <v>0.5</v>
      </c>
      <c r="D11" s="909"/>
      <c r="E11" s="909">
        <f>SUM(PMIS_Data!$G$3:$G$40)</f>
        <v>814</v>
      </c>
      <c r="F11" s="909"/>
      <c r="G11" s="909">
        <f>SUM(PMIS_Data!$H$3:$H$40)</f>
        <v>0</v>
      </c>
      <c r="H11" s="909"/>
      <c r="I11" s="909">
        <f>SUM(PMIS_Data!$I$3:$I$40)</f>
        <v>0</v>
      </c>
      <c r="J11" s="909"/>
      <c r="K11" s="909">
        <f>COUNTIFS(Shutdown_Tracker!$I$5:$I$100,"&lt;&gt;Closed",Shutdown_Tracker!$A$5:$A$100,"&lt;&gt;")</f>
        <v>1</v>
      </c>
      <c r="L11" s="909"/>
      <c r="M11" s="909">
        <f>COUNTIF(PMIS_Data!$F$3:$F$40,"No")</f>
        <v>29</v>
      </c>
      <c r="N11" s="909"/>
      <c r="O11" s="909">
        <f>COUNTIFS($J$241:$J$320,"Yes",$G$241:$G$320,"&lt;&gt;Closed",$A$241:$A$320,"&lt;&gt;")</f>
        <v>6</v>
      </c>
      <c r="P11" s="909"/>
    </row>
    <row r="12" spans="1:16">
      <c r="A12" s="909"/>
      <c r="B12" s="909"/>
      <c r="C12" s="909"/>
      <c r="D12" s="909"/>
      <c r="E12" s="909"/>
      <c r="F12" s="909"/>
      <c r="G12" s="909"/>
      <c r="H12" s="909"/>
      <c r="I12" s="909"/>
      <c r="J12" s="909"/>
      <c r="K12" s="909"/>
      <c r="L12" s="909"/>
      <c r="M12" s="909"/>
      <c r="N12" s="909"/>
      <c r="O12" s="909"/>
      <c r="P12" s="909"/>
    </row>
    <row r="13" spans="1:16">
      <c r="A13" s="909"/>
      <c r="B13" s="909"/>
      <c r="C13" s="909"/>
      <c r="D13" s="909"/>
      <c r="E13" s="909"/>
      <c r="F13" s="909"/>
      <c r="G13" s="909"/>
      <c r="H13" s="909"/>
      <c r="I13" s="909"/>
      <c r="J13" s="909"/>
      <c r="K13" s="909"/>
      <c r="L13" s="909"/>
      <c r="M13" s="909"/>
      <c r="N13" s="909"/>
      <c r="O13" s="909"/>
      <c r="P13" s="909"/>
    </row>
    <row r="14" spans="1:16">
      <c r="A14" s="335"/>
      <c r="B14" s="335"/>
      <c r="C14" s="335"/>
      <c r="D14" s="335"/>
      <c r="E14" s="335"/>
      <c r="F14" s="335"/>
      <c r="G14" s="335"/>
      <c r="H14" s="335"/>
      <c r="I14" s="335"/>
      <c r="J14" s="335"/>
      <c r="K14" s="335"/>
      <c r="L14" s="335"/>
      <c r="M14" s="335"/>
      <c r="N14" s="335"/>
      <c r="O14" s="335"/>
      <c r="P14" s="335"/>
    </row>
    <row r="15" spans="1:16" ht="15">
      <c r="A15" s="910" t="s">
        <v>5830</v>
      </c>
      <c r="B15" s="910"/>
      <c r="C15" s="910"/>
      <c r="D15" s="910"/>
      <c r="E15" s="910"/>
      <c r="F15" s="910"/>
      <c r="G15" s="910"/>
      <c r="H15" s="910"/>
      <c r="I15" s="910"/>
      <c r="J15" s="910"/>
      <c r="K15" s="910"/>
      <c r="L15" s="910"/>
      <c r="M15" s="910"/>
      <c r="N15" s="910"/>
      <c r="O15" s="910"/>
      <c r="P15" s="910"/>
    </row>
    <row r="16" spans="1:16" ht="24">
      <c r="A16" s="532" t="s">
        <v>142</v>
      </c>
      <c r="B16" s="532" t="s">
        <v>5</v>
      </c>
      <c r="C16" s="532" t="s">
        <v>77</v>
      </c>
      <c r="D16" s="532" t="s">
        <v>174</v>
      </c>
      <c r="E16" s="532" t="s">
        <v>154</v>
      </c>
      <c r="F16" s="532" t="s">
        <v>145</v>
      </c>
      <c r="G16" s="532" t="s">
        <v>161</v>
      </c>
      <c r="H16" s="532" t="s">
        <v>199</v>
      </c>
      <c r="I16" s="532" t="s">
        <v>869</v>
      </c>
      <c r="J16" s="532" t="s">
        <v>870</v>
      </c>
      <c r="K16" s="532" t="s">
        <v>5699</v>
      </c>
      <c r="L16" s="532" t="s">
        <v>5705</v>
      </c>
      <c r="M16" s="335"/>
      <c r="N16" s="335"/>
      <c r="O16" s="335"/>
      <c r="P16" s="335"/>
    </row>
    <row r="17" spans="1:16" ht="27.6" customHeight="1">
      <c r="A17" s="335" t="str">
        <f>IFERROR(INDEX(PMIS_Data!$A$3:$A$40,1),"")</f>
        <v>01</v>
      </c>
      <c r="B17" s="335" t="str">
        <f>IF($A17="","",IFERROR(INDEX(PMIS_Data!$B$3:$B$40,1),""))</f>
        <v>B01_Assessment</v>
      </c>
      <c r="C17" s="335" t="str">
        <f>IF($A17="","",IFERROR(INDEX(PMIS_Data!$C$3:$C$40,1),""))</f>
        <v>Yellow</v>
      </c>
      <c r="D17" s="531">
        <f>IF($A17="","",IFERROR(INDEX(PMIS_Data!$E$3:$E$40,1),""))</f>
        <v>0.5</v>
      </c>
      <c r="E17" s="335" t="str">
        <f>IF($A17="","",IFERROR(INDEX(PMIS_Data!$F$3:$F$40,1),""))</f>
        <v>No</v>
      </c>
      <c r="F17" s="335">
        <f>IF($A17="","",IFERROR(INDEX(PMIS_Data!$G$3:$G$40,1),""))</f>
        <v>29</v>
      </c>
      <c r="G17" s="335">
        <f>IF($A17="","",IFERROR(INDEX(PMIS_Data!$H$3:$H$40,1),""))</f>
        <v>0</v>
      </c>
      <c r="H17" s="335">
        <f>IF($A17="","",IFERROR(INDEX(PMIS_Data!$I$3:$I$40,1),""))</f>
        <v>0</v>
      </c>
      <c r="I17" s="335"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5"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5" t="str">
        <f ca="1">IF($A17="","",IFERROR(INDEX(PMIS_Data!$AC$3:$AC$40,1),""))</f>
        <v>Blocked</v>
      </c>
      <c r="L17" s="335" t="str">
        <f ca="1">IF($A17="","",IFERROR(INDEX(PMIS_Data!$AJ$3:$AJ$40,1),""))</f>
        <v>Not Ready</v>
      </c>
      <c r="M17" s="335"/>
      <c r="N17" s="335"/>
      <c r="O17" s="335"/>
      <c r="P17" s="335"/>
    </row>
    <row r="18" spans="1:16" ht="27.6" customHeight="1">
      <c r="A18" s="335" t="str">
        <f>IFERROR(INDEX(PMIS_Data!$A$3:$A$40,2),"")</f>
        <v>02</v>
      </c>
      <c r="B18" s="335" t="str">
        <f>IF($A18="","",IFERROR(INDEX(PMIS_Data!$B$3:$B$40,2),""))</f>
        <v>B02_Assessment</v>
      </c>
      <c r="C18" s="335" t="str">
        <f>IF($A18="","",IFERROR(INDEX(PMIS_Data!$C$3:$C$40,2),""))</f>
        <v>Yellow</v>
      </c>
      <c r="D18" s="531">
        <f>IF($A18="","",IFERROR(INDEX(PMIS_Data!$E$3:$E$40,2),""))</f>
        <v>0.5</v>
      </c>
      <c r="E18" s="335" t="str">
        <f>IF($A18="","",IFERROR(INDEX(PMIS_Data!$F$3:$F$40,2),""))</f>
        <v>No</v>
      </c>
      <c r="F18" s="335">
        <f>IF($A18="","",IFERROR(INDEX(PMIS_Data!$G$3:$G$40,2),""))</f>
        <v>30</v>
      </c>
      <c r="G18" s="335">
        <f>IF($A18="","",IFERROR(INDEX(PMIS_Data!$H$3:$H$40,2),""))</f>
        <v>0</v>
      </c>
      <c r="H18" s="335">
        <f>IF($A18="","",IFERROR(INDEX(PMIS_Data!$I$3:$I$40,2),""))</f>
        <v>0</v>
      </c>
      <c r="I18" s="335"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5"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5" t="str">
        <f ca="1">IF($A18="","",IFERROR(INDEX(PMIS_Data!$AC$3:$AC$40,2),""))</f>
        <v>Blocked</v>
      </c>
      <c r="L18" s="335" t="str">
        <f ca="1">IF($A18="","",IFERROR(INDEX(PMIS_Data!$AJ$3:$AJ$40,2),""))</f>
        <v>Not Ready</v>
      </c>
      <c r="M18" s="335"/>
      <c r="N18" s="335"/>
      <c r="O18" s="335"/>
      <c r="P18" s="335"/>
    </row>
    <row r="19" spans="1:16" ht="27.6" customHeight="1">
      <c r="A19" s="335" t="str">
        <f>IFERROR(INDEX(PMIS_Data!$A$3:$A$40,3),"")</f>
        <v>03</v>
      </c>
      <c r="B19" s="335" t="str">
        <f>IF($A19="","",IFERROR(INDEX(PMIS_Data!$B$3:$B$40,3),""))</f>
        <v>B03_Assessment</v>
      </c>
      <c r="C19" s="335" t="str">
        <f>IF($A19="","",IFERROR(INDEX(PMIS_Data!$C$3:$C$40,3),""))</f>
        <v>Yellow</v>
      </c>
      <c r="D19" s="531">
        <f>IF($A19="","",IFERROR(INDEX(PMIS_Data!$E$3:$E$40,3),""))</f>
        <v>0.5</v>
      </c>
      <c r="E19" s="335" t="str">
        <f>IF($A19="","",IFERROR(INDEX(PMIS_Data!$F$3:$F$40,3),""))</f>
        <v>No</v>
      </c>
      <c r="F19" s="335">
        <f>IF($A19="","",IFERROR(INDEX(PMIS_Data!$G$3:$G$40,3),""))</f>
        <v>29</v>
      </c>
      <c r="G19" s="335">
        <f>IF($A19="","",IFERROR(INDEX(PMIS_Data!$H$3:$H$40,3),""))</f>
        <v>0</v>
      </c>
      <c r="H19" s="335">
        <f>IF($A19="","",IFERROR(INDEX(PMIS_Data!$I$3:$I$40,3),""))</f>
        <v>0</v>
      </c>
      <c r="I19" s="335"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5"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5" t="str">
        <f ca="1">IF($A19="","",IFERROR(INDEX(PMIS_Data!$AC$3:$AC$40,3),""))</f>
        <v>Blocked</v>
      </c>
      <c r="L19" s="335" t="str">
        <f ca="1">IF($A19="","",IFERROR(INDEX(PMIS_Data!$AJ$3:$AJ$40,3),""))</f>
        <v>Not Ready</v>
      </c>
      <c r="M19" s="335"/>
      <c r="N19" s="335"/>
      <c r="O19" s="335"/>
      <c r="P19" s="335"/>
    </row>
    <row r="20" spans="1:16" ht="27.6" customHeight="1">
      <c r="A20" s="335" t="str">
        <f>IFERROR(INDEX(PMIS_Data!$A$3:$A$40,4),"")</f>
        <v>04</v>
      </c>
      <c r="B20" s="335" t="str">
        <f>IF($A20="","",IFERROR(INDEX(PMIS_Data!$B$3:$B$40,4),""))</f>
        <v>B04_Assessment</v>
      </c>
      <c r="C20" s="335" t="str">
        <f>IF($A20="","",IFERROR(INDEX(PMIS_Data!$C$3:$C$40,4),""))</f>
        <v>Yellow</v>
      </c>
      <c r="D20" s="531">
        <f>IF($A20="","",IFERROR(INDEX(PMIS_Data!$E$3:$E$40,4),""))</f>
        <v>0.5</v>
      </c>
      <c r="E20" s="335" t="str">
        <f>IF($A20="","",IFERROR(INDEX(PMIS_Data!$F$3:$F$40,4),""))</f>
        <v>No</v>
      </c>
      <c r="F20" s="335">
        <f>IF($A20="","",IFERROR(INDEX(PMIS_Data!$G$3:$G$40,4),""))</f>
        <v>27</v>
      </c>
      <c r="G20" s="335">
        <f>IF($A20="","",IFERROR(INDEX(PMIS_Data!$H$3:$H$40,4),""))</f>
        <v>0</v>
      </c>
      <c r="H20" s="335">
        <f>IF($A20="","",IFERROR(INDEX(PMIS_Data!$I$3:$I$40,4),""))</f>
        <v>0</v>
      </c>
      <c r="I20" s="335" t="str">
        <f>IF($A20="","",IFERROR(INDEX(PMIS_Data!$Q$3:$Q$40,4),""))</f>
        <v>Field verify TR rooms B05, 141, and 244A; confirm cooling, panel/circuiting, fire alarm/sprinkler impacts, FEC locations, and cutover/phasing plan.</v>
      </c>
      <c r="J20" s="335" t="str">
        <f>IF($A20="","",IFERROR(INDEX(PMIS_Data!$R$3:$R$40,4),""))</f>
        <v>B04 has multiple TRs across basement/first/second levels; field verification, abatement coordination, cooling power, firestopping, and cutover phasing remain open.</v>
      </c>
      <c r="K20" s="335" t="str">
        <f ca="1">IF($A20="","",IFERROR(INDEX(PMIS_Data!$AC$3:$AC$40,4),""))</f>
        <v>Blocked</v>
      </c>
      <c r="L20" s="335" t="str">
        <f ca="1">IF($A20="","",IFERROR(INDEX(PMIS_Data!$AJ$3:$AJ$40,4),""))</f>
        <v>Not Ready</v>
      </c>
      <c r="M20" s="335"/>
      <c r="N20" s="335"/>
      <c r="O20" s="335"/>
      <c r="P20" s="335"/>
    </row>
    <row r="21" spans="1:16" ht="27.6" customHeight="1">
      <c r="A21" s="335" t="str">
        <f>IFERROR(INDEX(PMIS_Data!$A$3:$A$40,5),"")</f>
        <v>05</v>
      </c>
      <c r="B21" s="335" t="str">
        <f>IF($A21="","",IFERROR(INDEX(PMIS_Data!$B$3:$B$40,5),""))</f>
        <v>B05_Assessment</v>
      </c>
      <c r="C21" s="335" t="str">
        <f>IF($A21="","",IFERROR(INDEX(PMIS_Data!$C$3:$C$40,5),""))</f>
        <v>Yellow</v>
      </c>
      <c r="D21" s="531">
        <f>IF($A21="","",IFERROR(INDEX(PMIS_Data!$E$3:$E$40,5),""))</f>
        <v>0.5</v>
      </c>
      <c r="E21" s="335" t="str">
        <f>IF($A21="","",IFERROR(INDEX(PMIS_Data!$F$3:$F$40,5),""))</f>
        <v>No</v>
      </c>
      <c r="F21" s="335">
        <f>IF($A21="","",IFERROR(INDEX(PMIS_Data!$G$3:$G$40,5),""))</f>
        <v>26</v>
      </c>
      <c r="G21" s="335">
        <f>IF($A21="","",IFERROR(INDEX(PMIS_Data!$H$3:$H$40,5),""))</f>
        <v>0</v>
      </c>
      <c r="H21" s="335">
        <f>IF($A21="","",IFERROR(INDEX(PMIS_Data!$I$3:$I$40,5),""))</f>
        <v>0</v>
      </c>
      <c r="I21" s="335" t="str">
        <f>IF($A21="","",IFERROR(INDEX(PMIS_Data!$Q$3:$Q$40,5),""))</f>
        <v>Field verify Room 150 TE location, existing 153-A equipment to remain/transition, electrical source, UPS/PDU receptacles, PACS/CCTV requirements, firestopping, and cutover sequence.</v>
      </c>
      <c r="J21" s="335" t="str">
        <f>IF($A21="","",IFERROR(INDEX(PMIS_Data!$R$3:$R$40,5),""))</f>
        <v>Building 05 receives a Telecom Enclosure only; mechanical and fire protection scope is excluded, so TE power, telecom cutover, existing room conditions, and fire/life-safety interfaces must be verified.</v>
      </c>
      <c r="K21" s="335" t="str">
        <f ca="1">IF($A21="","",IFERROR(INDEX(PMIS_Data!$AC$3:$AC$40,5),""))</f>
        <v>Blocked</v>
      </c>
      <c r="L21" s="335" t="str">
        <f ca="1">IF($A21="","",IFERROR(INDEX(PMIS_Data!$AJ$3:$AJ$40,5),""))</f>
        <v>Not Ready</v>
      </c>
      <c r="M21" s="335"/>
      <c r="N21" s="335"/>
      <c r="O21" s="335"/>
      <c r="P21" s="335"/>
    </row>
    <row r="22" spans="1:16" ht="27.6" customHeight="1">
      <c r="A22" s="335" t="str">
        <f>IFERROR(INDEX(PMIS_Data!$A$3:$A$40,6),"")</f>
        <v>06</v>
      </c>
      <c r="B22" s="335" t="str">
        <f>IF($A22="","",IFERROR(INDEX(PMIS_Data!$B$3:$B$40,6),""))</f>
        <v>B06_Assessment</v>
      </c>
      <c r="C22" s="335" t="str">
        <f>IF($A22="","",IFERROR(INDEX(PMIS_Data!$C$3:$C$40,6),""))</f>
        <v>Yellow</v>
      </c>
      <c r="D22" s="531">
        <f>IF($A22="","",IFERROR(INDEX(PMIS_Data!$E$3:$E$40,6),""))</f>
        <v>0.5</v>
      </c>
      <c r="E22" s="335" t="str">
        <f>IF($A22="","",IFERROR(INDEX(PMIS_Data!$F$3:$F$40,6),""))</f>
        <v>No</v>
      </c>
      <c r="F22" s="335">
        <f>IF($A22="","",IFERROR(INDEX(PMIS_Data!$G$3:$G$40,6),""))</f>
        <v>27</v>
      </c>
      <c r="G22" s="335">
        <f>IF($A22="","",IFERROR(INDEX(PMIS_Data!$H$3:$H$40,6),""))</f>
        <v>0</v>
      </c>
      <c r="H22" s="335">
        <f>IF($A22="","",IFERROR(INDEX(PMIS_Data!$I$3:$I$40,6),""))</f>
        <v>0</v>
      </c>
      <c r="I22" s="335" t="str">
        <f>IF($A22="","",IFERROR(INDEX(PMIS_Data!$Q$3:$Q$40,6),""))</f>
        <v>Field verify existing B-01 equipment, Rooms 178 and 233, panel sources, IU/CU cooling, fire alarm/sprinkler impacts, FEC locations, and telecom cutover sequence.</v>
      </c>
      <c r="J22" s="335" t="str">
        <f>IF($A22="","",IFERROR(INDEX(PMIS_Data!$R$3:$R$40,6),""))</f>
        <v>Building 06 has active existing telecom equipment plus new TR work in Rooms 178 and 233; field verification, cutover phasing, cooling, firestopping, and emergency power remain open.</v>
      </c>
      <c r="K22" s="335" t="str">
        <f ca="1">IF($A22="","",IFERROR(INDEX(PMIS_Data!$AC$3:$AC$40,6),""))</f>
        <v>Blocked</v>
      </c>
      <c r="L22" s="335" t="str">
        <f ca="1">IF($A22="","",IFERROR(INDEX(PMIS_Data!$AJ$3:$AJ$40,6),""))</f>
        <v>Not Ready</v>
      </c>
      <c r="M22" s="335"/>
      <c r="N22" s="335"/>
      <c r="O22" s="335"/>
      <c r="P22" s="335"/>
    </row>
    <row r="23" spans="1:16" ht="27.6" customHeight="1">
      <c r="A23" s="335" t="str">
        <f>IFERROR(INDEX(PMIS_Data!$A$3:$A$40,7),"")</f>
        <v>07</v>
      </c>
      <c r="B23" s="335" t="str">
        <f>IF($A23="","",IFERROR(INDEX(PMIS_Data!$B$3:$B$40,7),""))</f>
        <v>B07_Assessment</v>
      </c>
      <c r="C23" s="335" t="str">
        <f>IF($A23="","",IFERROR(INDEX(PMIS_Data!$C$3:$C$40,7),""))</f>
        <v>Yellow</v>
      </c>
      <c r="D23" s="531">
        <f>IF($A23="","",IFERROR(INDEX(PMIS_Data!$E$3:$E$40,7),""))</f>
        <v>0.5</v>
      </c>
      <c r="E23" s="335" t="str">
        <f>IF($A23="","",IFERROR(INDEX(PMIS_Data!$F$3:$F$40,7),""))</f>
        <v>No</v>
      </c>
      <c r="F23" s="335">
        <f>IF($A23="","",IFERROR(INDEX(PMIS_Data!$G$3:$G$40,7),""))</f>
        <v>26</v>
      </c>
      <c r="G23" s="335">
        <f>IF($A23="","",IFERROR(INDEX(PMIS_Data!$H$3:$H$40,7),""))</f>
        <v>0</v>
      </c>
      <c r="H23" s="335">
        <f>IF($A23="","",IFERROR(INDEX(PMIS_Data!$I$3:$I$40,7),""))</f>
        <v>0</v>
      </c>
      <c r="I23" s="335" t="str">
        <f>IF($A23="","",IFERROR(INDEX(PMIS_Data!$Q$3:$Q$40,7),""))</f>
        <v>Field verify TR B-18 and 228A; confirm rack/equipment layout, panel sources, IU/CU cooling, fire alarm/sprinkler impacts, FEC locations, PACS/CCTV scope, and telecom cutover sequence.</v>
      </c>
      <c r="J23" s="335" t="str">
        <f>IF($A23="","",IFERROR(INDEX(PMIS_Data!$R$3:$R$40,7),""))</f>
        <v>Building 07 includes basement TR B-18 and second-level TR 228A; field verification, active-service cutover, cooling, firestopping, rated construction, and power source confirmation remain open.</v>
      </c>
      <c r="K23" s="335" t="str">
        <f ca="1">IF($A23="","",IFERROR(INDEX(PMIS_Data!$AC$3:$AC$40,7),""))</f>
        <v>Blocked</v>
      </c>
      <c r="L23" s="335" t="str">
        <f ca="1">IF($A23="","",IFERROR(INDEX(PMIS_Data!$AJ$3:$AJ$40,7),""))</f>
        <v>Not Ready</v>
      </c>
      <c r="M23" s="335"/>
      <c r="N23" s="335"/>
      <c r="O23" s="335"/>
      <c r="P23" s="335"/>
    </row>
    <row r="24" spans="1:16" ht="27.6" customHeight="1">
      <c r="A24" s="335" t="str">
        <f>IFERROR(INDEX(PMIS_Data!$A$3:$A$40,8),"")</f>
        <v>08</v>
      </c>
      <c r="B24" s="335" t="str">
        <f>IF($A24="","",IFERROR(INDEX(PMIS_Data!$B$3:$B$40,8),""))</f>
        <v>B08_Assessment</v>
      </c>
      <c r="C24" s="335" t="str">
        <f>IF($A24="","",IFERROR(INDEX(PMIS_Data!$C$3:$C$40,8),""))</f>
        <v>Yellow</v>
      </c>
      <c r="D24" s="531">
        <f>IF($A24="","",IFERROR(INDEX(PMIS_Data!$E$3:$E$40,8),""))</f>
        <v>0.5</v>
      </c>
      <c r="E24" s="335" t="str">
        <f>IF($A24="","",IFERROR(INDEX(PMIS_Data!$F$3:$F$40,8),""))</f>
        <v>No</v>
      </c>
      <c r="F24" s="335">
        <f>IF($A24="","",IFERROR(INDEX(PMIS_Data!$G$3:$G$40,8),""))</f>
        <v>27</v>
      </c>
      <c r="G24" s="335">
        <f>IF($A24="","",IFERROR(INDEX(PMIS_Data!$H$3:$H$40,8),""))</f>
        <v>0</v>
      </c>
      <c r="H24" s="335">
        <f>IF($A24="","",IFERROR(INDEX(PMIS_Data!$I$3:$I$40,8),""))</f>
        <v>0</v>
      </c>
      <c r="I24" s="335" t="str">
        <f>IF($A24="","",IFERROR(INDEX(PMIS_Data!$Q$3:$Q$40,8),""))</f>
        <v>Field verify B-15, B12B, and 2065A; confirm active services, 2065A rack layout, panel/power source, IU/CU cooling, hazardous material/abatement impacts, FEC locations, PACS/CCTV, and telecom cutover sequence.</v>
      </c>
      <c r="J24" s="335"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5" t="str">
        <f ca="1">IF($A24="","",IFERROR(INDEX(PMIS_Data!$AC$3:$AC$40,8),""))</f>
        <v>Blocked</v>
      </c>
      <c r="L24" s="335" t="str">
        <f ca="1">IF($A24="","",IFERROR(INDEX(PMIS_Data!$AJ$3:$AJ$40,8),""))</f>
        <v>Not Ready</v>
      </c>
      <c r="M24" s="335"/>
      <c r="N24" s="335"/>
      <c r="O24" s="335"/>
      <c r="P24" s="335"/>
    </row>
    <row r="25" spans="1:16" ht="27.6" customHeight="1">
      <c r="A25" s="335" t="str">
        <f>IFERROR(INDEX(PMIS_Data!$A$3:$A$40,9),"")</f>
        <v>09</v>
      </c>
      <c r="B25" s="335" t="str">
        <f>IF($A25="","",IFERROR(INDEX(PMIS_Data!$B$3:$B$40,9),""))</f>
        <v>B09_Assessment</v>
      </c>
      <c r="C25" s="335" t="str">
        <f>IF($A25="","",IFERROR(INDEX(PMIS_Data!$C$3:$C$40,9),""))</f>
        <v>Yellow</v>
      </c>
      <c r="D25" s="531">
        <f>IF($A25="","",IFERROR(INDEX(PMIS_Data!$E$3:$E$40,9),""))</f>
        <v>0.5</v>
      </c>
      <c r="E25" s="335" t="str">
        <f>IF($A25="","",IFERROR(INDEX(PMIS_Data!$F$3:$F$40,9),""))</f>
        <v>No</v>
      </c>
      <c r="F25" s="335">
        <f>IF($A25="","",IFERROR(INDEX(PMIS_Data!$G$3:$G$40,9),""))</f>
        <v>27</v>
      </c>
      <c r="G25" s="335">
        <f>IF($A25="","",IFERROR(INDEX(PMIS_Data!$H$3:$H$40,9),""))</f>
        <v>0</v>
      </c>
      <c r="H25" s="335">
        <f>IF($A25="","",IFERROR(INDEX(PMIS_Data!$I$3:$I$40,9),""))</f>
        <v>0</v>
      </c>
      <c r="I25" s="335" t="str">
        <f>IF($A25="","",IFERROR(INDEX(PMIS_Data!$Q$3:$Q$40,9),""))</f>
        <v>Field verify B01, 104B, and 206A; confirm existing equipment and active services, panel sources, IU/CU cooling, fire alarm/sprinkler impacts, FEC locations, PACS/CCTV scope, hazardous/abatement impacts, and telecom cutover sequence.</v>
      </c>
      <c r="J25" s="335"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5" t="str">
        <f ca="1">IF($A25="","",IFERROR(INDEX(PMIS_Data!$AC$3:$AC$40,9),""))</f>
        <v>Blocked</v>
      </c>
      <c r="L25" s="335" t="str">
        <f ca="1">IF($A25="","",IFERROR(INDEX(PMIS_Data!$AJ$3:$AJ$40,9),""))</f>
        <v>Not Ready</v>
      </c>
      <c r="M25" s="335"/>
      <c r="N25" s="335"/>
      <c r="O25" s="335"/>
      <c r="P25" s="335"/>
    </row>
    <row r="26" spans="1:16" ht="27.6" customHeight="1">
      <c r="A26" s="335" t="str">
        <f>IFERROR(INDEX(PMIS_Data!$A$3:$A$40,10),"")</f>
        <v>10</v>
      </c>
      <c r="B26" s="335" t="str">
        <f>IF($A26="","",IFERROR(INDEX(PMIS_Data!$B$3:$B$40,10),""))</f>
        <v>B10_Assessment</v>
      </c>
      <c r="C26" s="335" t="str">
        <f>IF($A26="","",IFERROR(INDEX(PMIS_Data!$C$3:$C$40,10),""))</f>
        <v>Yellow</v>
      </c>
      <c r="D26" s="531">
        <f>IF($A26="","",IFERROR(INDEX(PMIS_Data!$E$3:$E$40,10),""))</f>
        <v>0.5</v>
      </c>
      <c r="E26" s="335" t="str">
        <f>IF($A26="","",IFERROR(INDEX(PMIS_Data!$F$3:$F$40,10),""))</f>
        <v>No</v>
      </c>
      <c r="F26" s="335">
        <f>IF($A26="","",IFERROR(INDEX(PMIS_Data!$G$3:$G$40,10),""))</f>
        <v>27</v>
      </c>
      <c r="G26" s="335">
        <f>IF($A26="","",IFERROR(INDEX(PMIS_Data!$H$3:$H$40,10),""))</f>
        <v>0</v>
      </c>
      <c r="H26" s="335">
        <f>IF($A26="","",IFERROR(INDEX(PMIS_Data!$I$3:$I$40,10),""))</f>
        <v>0</v>
      </c>
      <c r="I26" s="335"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5"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5" t="str">
        <f ca="1">IF($A26="","",IFERROR(INDEX(PMIS_Data!$AC$3:$AC$40,10),""))</f>
        <v>Blocked</v>
      </c>
      <c r="L26" s="335" t="str">
        <f ca="1">IF($A26="","",IFERROR(INDEX(PMIS_Data!$AJ$3:$AJ$40,10),""))</f>
        <v>Not Ready</v>
      </c>
      <c r="M26" s="335"/>
      <c r="N26" s="335"/>
      <c r="O26" s="335"/>
      <c r="P26" s="335"/>
    </row>
    <row r="27" spans="1:16" ht="27.6" customHeight="1">
      <c r="A27" s="335" t="str">
        <f>IFERROR(INDEX(PMIS_Data!$A$3:$A$40,11),"")</f>
        <v>12</v>
      </c>
      <c r="B27" s="335" t="str">
        <f>IF($A27="","",IFERROR(INDEX(PMIS_Data!$B$3:$B$40,11),""))</f>
        <v>B12_Assessment</v>
      </c>
      <c r="C27" s="335" t="str">
        <f>IF($A27="","",IFERROR(INDEX(PMIS_Data!$C$3:$C$40,11),""))</f>
        <v>Yellow</v>
      </c>
      <c r="D27" s="531">
        <f>IF($A27="","",IFERROR(INDEX(PMIS_Data!$E$3:$E$40,11),""))</f>
        <v>0.5</v>
      </c>
      <c r="E27" s="335" t="str">
        <f>IF($A27="","",IFERROR(INDEX(PMIS_Data!$F$3:$F$40,11),""))</f>
        <v>No</v>
      </c>
      <c r="F27" s="335">
        <f>IF($A27="","",IFERROR(INDEX(PMIS_Data!$G$3:$G$40,11),""))</f>
        <v>26</v>
      </c>
      <c r="G27" s="335">
        <f>IF($A27="","",IFERROR(INDEX(PMIS_Data!$H$3:$H$40,11),""))</f>
        <v>0</v>
      </c>
      <c r="H27" s="335">
        <f>IF($A27="","",IFERROR(INDEX(PMIS_Data!$I$3:$I$40,11),""))</f>
        <v>0</v>
      </c>
      <c r="I27" s="335"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5"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5" t="str">
        <f ca="1">IF($A27="","",IFERROR(INDEX(PMIS_Data!$AC$3:$AC$40,11),""))</f>
        <v>Blocked</v>
      </c>
      <c r="L27" s="335" t="str">
        <f ca="1">IF($A27="","",IFERROR(INDEX(PMIS_Data!$AJ$3:$AJ$40,11),""))</f>
        <v>Not Ready</v>
      </c>
      <c r="M27" s="335"/>
      <c r="N27" s="335"/>
      <c r="O27" s="335"/>
      <c r="P27" s="335"/>
    </row>
    <row r="28" spans="1:16" ht="27.6" customHeight="1">
      <c r="A28" s="335" t="str">
        <f>IFERROR(INDEX(PMIS_Data!$A$3:$A$40,12),"")</f>
        <v>13</v>
      </c>
      <c r="B28" s="335" t="str">
        <f>IF($A28="","",IFERROR(INDEX(PMIS_Data!$B$3:$B$40,12),""))</f>
        <v>B13_Assessment</v>
      </c>
      <c r="C28" s="335" t="str">
        <f>IF($A28="","",IFERROR(INDEX(PMIS_Data!$C$3:$C$40,12),""))</f>
        <v>Yellow</v>
      </c>
      <c r="D28" s="531">
        <f>IF($A28="","",IFERROR(INDEX(PMIS_Data!$E$3:$E$40,12),""))</f>
        <v>0.5</v>
      </c>
      <c r="E28" s="335" t="str">
        <f>IF($A28="","",IFERROR(INDEX(PMIS_Data!$F$3:$F$40,12),""))</f>
        <v>No</v>
      </c>
      <c r="F28" s="335">
        <f>IF($A28="","",IFERROR(INDEX(PMIS_Data!$G$3:$G$40,12),""))</f>
        <v>26</v>
      </c>
      <c r="G28" s="335">
        <f>IF($A28="","",IFERROR(INDEX(PMIS_Data!$H$3:$H$40,12),""))</f>
        <v>0</v>
      </c>
      <c r="H28" s="335">
        <f>IF($A28="","",IFERROR(INDEX(PMIS_Data!$I$3:$I$40,12),""))</f>
        <v>0</v>
      </c>
      <c r="I28" s="335"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5"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5" t="str">
        <f ca="1">IF($A28="","",IFERROR(INDEX(PMIS_Data!$AC$3:$AC$40,12),""))</f>
        <v>Blocked</v>
      </c>
      <c r="L28" s="335" t="str">
        <f ca="1">IF($A28="","",IFERROR(INDEX(PMIS_Data!$AJ$3:$AJ$40,12),""))</f>
        <v>Not Ready</v>
      </c>
      <c r="M28" s="335"/>
      <c r="N28" s="335"/>
      <c r="O28" s="335"/>
      <c r="P28" s="335"/>
    </row>
    <row r="29" spans="1:16" ht="27.6" customHeight="1">
      <c r="A29" s="335" t="str">
        <f>IFERROR(INDEX(PMIS_Data!$A$3:$A$40,13),"")</f>
        <v>14</v>
      </c>
      <c r="B29" s="335" t="str">
        <f>IF($A29="","",IFERROR(INDEX(PMIS_Data!$B$3:$B$40,13),""))</f>
        <v>B14_Assessment</v>
      </c>
      <c r="C29" s="335" t="str">
        <f>IF($A29="","",IFERROR(INDEX(PMIS_Data!$C$3:$C$40,13),""))</f>
        <v>Yellow</v>
      </c>
      <c r="D29" s="531">
        <f>IF($A29="","",IFERROR(INDEX(PMIS_Data!$E$3:$E$40,13),""))</f>
        <v>0.5</v>
      </c>
      <c r="E29" s="335" t="str">
        <f>IF($A29="","",IFERROR(INDEX(PMIS_Data!$F$3:$F$40,13),""))</f>
        <v>No</v>
      </c>
      <c r="F29" s="335">
        <f>IF($A29="","",IFERROR(INDEX(PMIS_Data!$G$3:$G$40,13),""))</f>
        <v>27</v>
      </c>
      <c r="G29" s="335">
        <f>IF($A29="","",IFERROR(INDEX(PMIS_Data!$H$3:$H$40,13),""))</f>
        <v>0</v>
      </c>
      <c r="H29" s="335">
        <f>IF($A29="","",IFERROR(INDEX(PMIS_Data!$I$3:$I$40,13),""))</f>
        <v>0</v>
      </c>
      <c r="I29" s="335"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5"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5" t="str">
        <f ca="1">IF($A29="","",IFERROR(INDEX(PMIS_Data!$AC$3:$AC$40,13),""))</f>
        <v>Blocked</v>
      </c>
      <c r="L29" s="335" t="str">
        <f ca="1">IF($A29="","",IFERROR(INDEX(PMIS_Data!$AJ$3:$AJ$40,13),""))</f>
        <v>Not Ready</v>
      </c>
      <c r="M29" s="335"/>
      <c r="N29" s="335"/>
      <c r="O29" s="335"/>
      <c r="P29" s="335"/>
    </row>
    <row r="30" spans="1:16" ht="27.6" customHeight="1">
      <c r="A30" s="335" t="str">
        <f>IFERROR(INDEX(PMIS_Data!$A$3:$A$40,14),"")</f>
        <v>15</v>
      </c>
      <c r="B30" s="335" t="str">
        <f>IF($A30="","",IFERROR(INDEX(PMIS_Data!$B$3:$B$40,14),""))</f>
        <v>B15_Assessment</v>
      </c>
      <c r="C30" s="335" t="str">
        <f>IF($A30="","",IFERROR(INDEX(PMIS_Data!$C$3:$C$40,14),""))</f>
        <v>Yellow</v>
      </c>
      <c r="D30" s="531">
        <f>IF($A30="","",IFERROR(INDEX(PMIS_Data!$E$3:$E$40,14),""))</f>
        <v>0.5</v>
      </c>
      <c r="E30" s="335" t="str">
        <f>IF($A30="","",IFERROR(INDEX(PMIS_Data!$F$3:$F$40,14),""))</f>
        <v>No</v>
      </c>
      <c r="F30" s="335">
        <f>IF($A30="","",IFERROR(INDEX(PMIS_Data!$G$3:$G$40,14),""))</f>
        <v>27</v>
      </c>
      <c r="G30" s="335">
        <f>IF($A30="","",IFERROR(INDEX(PMIS_Data!$H$3:$H$40,14),""))</f>
        <v>0</v>
      </c>
      <c r="H30" s="335">
        <f>IF($A30="","",IFERROR(INDEX(PMIS_Data!$I$3:$I$40,14),""))</f>
        <v>0</v>
      </c>
      <c r="I30" s="335"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5"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5" t="str">
        <f ca="1">IF($A30="","",IFERROR(INDEX(PMIS_Data!$AC$3:$AC$40,14),""))</f>
        <v>Blocked</v>
      </c>
      <c r="L30" s="335" t="str">
        <f ca="1">IF($A30="","",IFERROR(INDEX(PMIS_Data!$AJ$3:$AJ$40,14),""))</f>
        <v>Not Ready</v>
      </c>
      <c r="M30" s="335"/>
      <c r="N30" s="335"/>
      <c r="O30" s="335"/>
      <c r="P30" s="335"/>
    </row>
    <row r="31" spans="1:16" ht="27.6" customHeight="1">
      <c r="A31" s="335" t="str">
        <f>IFERROR(INDEX(PMIS_Data!$A$3:$A$40,15),"")</f>
        <v>16</v>
      </c>
      <c r="B31" s="335" t="str">
        <f>IF($A31="","",IFERROR(INDEX(PMIS_Data!$B$3:$B$40,15),""))</f>
        <v>B16_Assessment</v>
      </c>
      <c r="C31" s="335" t="str">
        <f>IF($A31="","",IFERROR(INDEX(PMIS_Data!$C$3:$C$40,15),""))</f>
        <v>Yellow</v>
      </c>
      <c r="D31" s="531">
        <f>IF($A31="","",IFERROR(INDEX(PMIS_Data!$E$3:$E$40,15),""))</f>
        <v>0.5</v>
      </c>
      <c r="E31" s="335" t="str">
        <f>IF($A31="","",IFERROR(INDEX(PMIS_Data!$F$3:$F$40,15),""))</f>
        <v>No</v>
      </c>
      <c r="F31" s="335">
        <f>IF($A31="","",IFERROR(INDEX(PMIS_Data!$G$3:$G$40,15),""))</f>
        <v>26</v>
      </c>
      <c r="G31" s="335">
        <f>IF($A31="","",IFERROR(INDEX(PMIS_Data!$H$3:$H$40,15),""))</f>
        <v>0</v>
      </c>
      <c r="H31" s="335">
        <f>IF($A31="","",IFERROR(INDEX(PMIS_Data!$I$3:$I$40,15),""))</f>
        <v>0</v>
      </c>
      <c r="I31" s="335"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5"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5" t="str">
        <f ca="1">IF($A31="","",IFERROR(INDEX(PMIS_Data!$AC$3:$AC$40,15),""))</f>
        <v>Blocked</v>
      </c>
      <c r="L31" s="335" t="str">
        <f ca="1">IF($A31="","",IFERROR(INDEX(PMIS_Data!$AJ$3:$AJ$40,15),""))</f>
        <v>Not Ready</v>
      </c>
      <c r="M31" s="335"/>
      <c r="N31" s="335"/>
      <c r="O31" s="335"/>
      <c r="P31" s="335"/>
    </row>
    <row r="32" spans="1:16" ht="27.6" customHeight="1">
      <c r="A32" s="335" t="str">
        <f>IFERROR(INDEX(PMIS_Data!$A$3:$A$40,16),"")</f>
        <v>17</v>
      </c>
      <c r="B32" s="335" t="str">
        <f>IF($A32="","",IFERROR(INDEX(PMIS_Data!$B$3:$B$40,16),""))</f>
        <v>B17_Assessment</v>
      </c>
      <c r="C32" s="335" t="str">
        <f>IF($A32="","",IFERROR(INDEX(PMIS_Data!$C$3:$C$40,16),""))</f>
        <v>Yellow</v>
      </c>
      <c r="D32" s="531">
        <f>IF($A32="","",IFERROR(INDEX(PMIS_Data!$E$3:$E$40,16),""))</f>
        <v>0.5</v>
      </c>
      <c r="E32" s="335" t="str">
        <f>IF($A32="","",IFERROR(INDEX(PMIS_Data!$F$3:$F$40,16),""))</f>
        <v>No</v>
      </c>
      <c r="F32" s="335">
        <f>IF($A32="","",IFERROR(INDEX(PMIS_Data!$G$3:$G$40,16),""))</f>
        <v>27</v>
      </c>
      <c r="G32" s="335">
        <f>IF($A32="","",IFERROR(INDEX(PMIS_Data!$H$3:$H$40,16),""))</f>
        <v>0</v>
      </c>
      <c r="H32" s="335">
        <f>IF($A32="","",IFERROR(INDEX(PMIS_Data!$I$3:$I$40,16),""))</f>
        <v>0</v>
      </c>
      <c r="I32" s="335"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5"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5" t="str">
        <f ca="1">IF($A32="","",IFERROR(INDEX(PMIS_Data!$AC$3:$AC$40,16),""))</f>
        <v>Blocked</v>
      </c>
      <c r="L32" s="335" t="str">
        <f ca="1">IF($A32="","",IFERROR(INDEX(PMIS_Data!$AJ$3:$AJ$40,16),""))</f>
        <v>Not Ready</v>
      </c>
      <c r="M32" s="335"/>
      <c r="N32" s="335"/>
      <c r="O32" s="335"/>
      <c r="P32" s="335"/>
    </row>
    <row r="33" spans="1:16" ht="27.6" customHeight="1">
      <c r="A33" s="335" t="str">
        <f>IFERROR(INDEX(PMIS_Data!$A$3:$A$40,17),"")</f>
        <v>18</v>
      </c>
      <c r="B33" s="335" t="str">
        <f>IF($A33="","",IFERROR(INDEX(PMIS_Data!$B$3:$B$40,17),""))</f>
        <v>B18_Assessment</v>
      </c>
      <c r="C33" s="335" t="str">
        <f>IF($A33="","",IFERROR(INDEX(PMIS_Data!$C$3:$C$40,17),""))</f>
        <v>Yellow</v>
      </c>
      <c r="D33" s="531">
        <f>IF($A33="","",IFERROR(INDEX(PMIS_Data!$E$3:$E$40,17),""))</f>
        <v>0.5</v>
      </c>
      <c r="E33" s="335" t="str">
        <f>IF($A33="","",IFERROR(INDEX(PMIS_Data!$F$3:$F$40,17),""))</f>
        <v>No</v>
      </c>
      <c r="F33" s="335">
        <f>IF($A33="","",IFERROR(INDEX(PMIS_Data!$G$3:$G$40,17),""))</f>
        <v>27</v>
      </c>
      <c r="G33" s="335">
        <f>IF($A33="","",IFERROR(INDEX(PMIS_Data!$H$3:$H$40,17),""))</f>
        <v>0</v>
      </c>
      <c r="H33" s="335">
        <f>IF($A33="","",IFERROR(INDEX(PMIS_Data!$I$3:$I$40,17),""))</f>
        <v>0</v>
      </c>
      <c r="I33" s="335"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5"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5" t="str">
        <f ca="1">IF($A33="","",IFERROR(INDEX(PMIS_Data!$AC$3:$AC$40,17),""))</f>
        <v>Blocked</v>
      </c>
      <c r="L33" s="335" t="str">
        <f ca="1">IF($A33="","",IFERROR(INDEX(PMIS_Data!$AJ$3:$AJ$40,17),""))</f>
        <v>Not Ready</v>
      </c>
      <c r="M33" s="335"/>
      <c r="N33" s="335"/>
      <c r="O33" s="335"/>
      <c r="P33" s="335"/>
    </row>
    <row r="34" spans="1:16" ht="27.6" customHeight="1">
      <c r="A34" s="335" t="str">
        <f>IFERROR(INDEX(PMIS_Data!$A$3:$A$40,18),"")</f>
        <v>20</v>
      </c>
      <c r="B34" s="335" t="str">
        <f>IF($A34="","",IFERROR(INDEX(PMIS_Data!$B$3:$B$40,18),""))</f>
        <v>B20_Assessment</v>
      </c>
      <c r="C34" s="335" t="str">
        <f>IF($A34="","",IFERROR(INDEX(PMIS_Data!$C$3:$C$40,18),""))</f>
        <v>Yellow</v>
      </c>
      <c r="D34" s="531">
        <f>IF($A34="","",IFERROR(INDEX(PMIS_Data!$E$3:$E$40,18),""))</f>
        <v>0.5</v>
      </c>
      <c r="E34" s="335" t="str">
        <f>IF($A34="","",IFERROR(INDEX(PMIS_Data!$F$3:$F$40,18),""))</f>
        <v>No</v>
      </c>
      <c r="F34" s="335">
        <f>IF($A34="","",IFERROR(INDEX(PMIS_Data!$G$3:$G$40,18),""))</f>
        <v>26</v>
      </c>
      <c r="G34" s="335">
        <f>IF($A34="","",IFERROR(INDEX(PMIS_Data!$H$3:$H$40,18),""))</f>
        <v>0</v>
      </c>
      <c r="H34" s="335">
        <f>IF($A34="","",IFERROR(INDEX(PMIS_Data!$I$3:$I$40,18),""))</f>
        <v>0</v>
      </c>
      <c r="I34" s="335"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5"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5" t="str">
        <f ca="1">IF($A34="","",IFERROR(INDEX(PMIS_Data!$AC$3:$AC$40,18),""))</f>
        <v>Blocked</v>
      </c>
      <c r="L34" s="335" t="str">
        <f ca="1">IF($A34="","",IFERROR(INDEX(PMIS_Data!$AJ$3:$AJ$40,18),""))</f>
        <v>Not Ready</v>
      </c>
      <c r="M34" s="335"/>
      <c r="N34" s="335"/>
      <c r="O34" s="335"/>
      <c r="P34" s="335"/>
    </row>
    <row r="35" spans="1:16" ht="27.6" customHeight="1">
      <c r="A35" s="335" t="str">
        <f>IFERROR(INDEX(PMIS_Data!$A$3:$A$40,19),"")</f>
        <v>21</v>
      </c>
      <c r="B35" s="335" t="str">
        <f>IF($A35="","",IFERROR(INDEX(PMIS_Data!$B$3:$B$40,19),""))</f>
        <v>B21_Assessment</v>
      </c>
      <c r="C35" s="335" t="str">
        <f>IF($A35="","",IFERROR(INDEX(PMIS_Data!$C$3:$C$40,19),""))</f>
        <v>Yellow</v>
      </c>
      <c r="D35" s="531">
        <f>IF($A35="","",IFERROR(INDEX(PMIS_Data!$E$3:$E$40,19),""))</f>
        <v>0.5</v>
      </c>
      <c r="E35" s="335" t="str">
        <f>IF($A35="","",IFERROR(INDEX(PMIS_Data!$F$3:$F$40,19),""))</f>
        <v>No</v>
      </c>
      <c r="F35" s="335">
        <f>IF($A35="","",IFERROR(INDEX(PMIS_Data!$G$3:$G$40,19),""))</f>
        <v>27</v>
      </c>
      <c r="G35" s="335">
        <f>IF($A35="","",IFERROR(INDEX(PMIS_Data!$H$3:$H$40,19),""))</f>
        <v>0</v>
      </c>
      <c r="H35" s="335">
        <f>IF($A35="","",IFERROR(INDEX(PMIS_Data!$I$3:$I$40,19),""))</f>
        <v>0</v>
      </c>
      <c r="I35" s="335"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5"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5" t="str">
        <f ca="1">IF($A35="","",IFERROR(INDEX(PMIS_Data!$AC$3:$AC$40,19),""))</f>
        <v>Blocked</v>
      </c>
      <c r="L35" s="335" t="str">
        <f ca="1">IF($A35="","",IFERROR(INDEX(PMIS_Data!$AJ$3:$AJ$40,19),""))</f>
        <v>Not Ready</v>
      </c>
      <c r="M35" s="335"/>
      <c r="N35" s="335"/>
      <c r="O35" s="335"/>
      <c r="P35" s="335"/>
    </row>
    <row r="36" spans="1:16" ht="27.6" customHeight="1">
      <c r="A36" s="335" t="str">
        <f>IFERROR(INDEX(PMIS_Data!$A$3:$A$40,20),"")</f>
        <v>22</v>
      </c>
      <c r="B36" s="335" t="str">
        <f>IF($A36="","",IFERROR(INDEX(PMIS_Data!$B$3:$B$40,20),""))</f>
        <v>B22_Assessment</v>
      </c>
      <c r="C36" s="335" t="str">
        <f>IF($A36="","",IFERROR(INDEX(PMIS_Data!$C$3:$C$40,20),""))</f>
        <v>Yellow</v>
      </c>
      <c r="D36" s="531">
        <f>IF($A36="","",IFERROR(INDEX(PMIS_Data!$E$3:$E$40,20),""))</f>
        <v>0.5</v>
      </c>
      <c r="E36" s="335" t="str">
        <f>IF($A36="","",IFERROR(INDEX(PMIS_Data!$F$3:$F$40,20),""))</f>
        <v>No</v>
      </c>
      <c r="F36" s="335">
        <f>IF($A36="","",IFERROR(INDEX(PMIS_Data!$G$3:$G$40,20),""))</f>
        <v>26</v>
      </c>
      <c r="G36" s="335">
        <f>IF($A36="","",IFERROR(INDEX(PMIS_Data!$H$3:$H$40,20),""))</f>
        <v>0</v>
      </c>
      <c r="H36" s="335">
        <f>IF($A36="","",IFERROR(INDEX(PMIS_Data!$I$3:$I$40,20),""))</f>
        <v>0</v>
      </c>
      <c r="I36" s="335"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5"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5" t="str">
        <f ca="1">IF($A36="","",IFERROR(INDEX(PMIS_Data!$AC$3:$AC$40,20),""))</f>
        <v>Blocked</v>
      </c>
      <c r="L36" s="335" t="str">
        <f ca="1">IF($A36="","",IFERROR(INDEX(PMIS_Data!$AJ$3:$AJ$40,20),""))</f>
        <v>Not Ready</v>
      </c>
      <c r="M36" s="335"/>
      <c r="N36" s="335"/>
      <c r="O36" s="335"/>
      <c r="P36" s="335"/>
    </row>
    <row r="37" spans="1:16" ht="27.6" customHeight="1">
      <c r="A37" s="335" t="str">
        <f>IFERROR(INDEX(PMIS_Data!$A$3:$A$40,21),"")</f>
        <v>33</v>
      </c>
      <c r="B37" s="335" t="str">
        <f>IF($A37="","",IFERROR(INDEX(PMIS_Data!$B$3:$B$40,21),""))</f>
        <v>B33_Assessment</v>
      </c>
      <c r="C37" s="335" t="str">
        <f>IF($A37="","",IFERROR(INDEX(PMIS_Data!$C$3:$C$40,21),""))</f>
        <v>Yellow</v>
      </c>
      <c r="D37" s="531">
        <f>IF($A37="","",IFERROR(INDEX(PMIS_Data!$E$3:$E$40,21),""))</f>
        <v>0.5</v>
      </c>
      <c r="E37" s="335" t="str">
        <f>IF($A37="","",IFERROR(INDEX(PMIS_Data!$F$3:$F$40,21),""))</f>
        <v>No</v>
      </c>
      <c r="F37" s="335">
        <f>IF($A37="","",IFERROR(INDEX(PMIS_Data!$G$3:$G$40,21),""))</f>
        <v>26</v>
      </c>
      <c r="G37" s="335">
        <f>IF($A37="","",IFERROR(INDEX(PMIS_Data!$H$3:$H$40,21),""))</f>
        <v>0</v>
      </c>
      <c r="H37" s="335">
        <f>IF($A37="","",IFERROR(INDEX(PMIS_Data!$I$3:$I$40,21),""))</f>
        <v>0</v>
      </c>
      <c r="I37" s="335"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5"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5" t="str">
        <f ca="1">IF($A37="","",IFERROR(INDEX(PMIS_Data!$AC$3:$AC$40,21),""))</f>
        <v>Blocked</v>
      </c>
      <c r="L37" s="335" t="str">
        <f ca="1">IF($A37="","",IFERROR(INDEX(PMIS_Data!$AJ$3:$AJ$40,21),""))</f>
        <v>Not Ready</v>
      </c>
      <c r="M37" s="335"/>
      <c r="N37" s="335"/>
      <c r="O37" s="335"/>
      <c r="P37" s="335"/>
    </row>
    <row r="38" spans="1:16" ht="27.6" customHeight="1">
      <c r="A38" s="335" t="str">
        <f>IFERROR(INDEX(PMIS_Data!$A$3:$A$40,22),"")</f>
        <v>61</v>
      </c>
      <c r="B38" s="335" t="str">
        <f>IF($A38="","",IFERROR(INDEX(PMIS_Data!$B$3:$B$40,22),""))</f>
        <v>B61_Assessment</v>
      </c>
      <c r="C38" s="335" t="str">
        <f>IF($A38="","",IFERROR(INDEX(PMIS_Data!$C$3:$C$40,22),""))</f>
        <v>PILOT PHASE</v>
      </c>
      <c r="D38" s="531">
        <f>IF($A38="","",IFERROR(INDEX(PMIS_Data!$E$3:$E$40,22),""))</f>
        <v>0</v>
      </c>
      <c r="E38" s="335" t="str">
        <f>IF($A38="","",IFERROR(INDEX(PMIS_Data!$F$3:$F$40,22),""))</f>
        <v>YES</v>
      </c>
      <c r="F38" s="335">
        <f>IF($A38="","",IFERROR(INDEX(PMIS_Data!$G$3:$G$40,22),""))</f>
        <v>29</v>
      </c>
      <c r="G38" s="335">
        <f>IF($A38="","",IFERROR(INDEX(PMIS_Data!$H$3:$H$40,22),""))</f>
        <v>0</v>
      </c>
      <c r="H38" s="335">
        <f>IF($A38="","",IFERROR(INDEX(PMIS_Data!$I$3:$I$40,22),""))</f>
        <v>0</v>
      </c>
      <c r="I38" s="335"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5"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5" t="str">
        <f ca="1">IF($A38="","",IFERROR(INDEX(PMIS_Data!$AC$3:$AC$40,22),""))</f>
        <v>Blocked</v>
      </c>
      <c r="L38" s="335" t="str">
        <f ca="1">IF($A38="","",IFERROR(INDEX(PMIS_Data!$AJ$3:$AJ$40,22),""))</f>
        <v>Not Ready</v>
      </c>
      <c r="M38" s="335"/>
      <c r="N38" s="335"/>
      <c r="O38" s="335"/>
      <c r="P38" s="335"/>
    </row>
    <row r="39" spans="1:16" ht="27.6" customHeight="1">
      <c r="A39" s="335" t="str">
        <f>IFERROR(INDEX(PMIS_Data!$A$3:$A$40,23),"")</f>
        <v>62</v>
      </c>
      <c r="B39" s="335" t="str">
        <f>IF($A39="","",IFERROR(INDEX(PMIS_Data!$B$3:$B$40,23),""))</f>
        <v>B62_TR_Assessment</v>
      </c>
      <c r="C39" s="335" t="str">
        <f>IF($A39="","",IFERROR(INDEX(PMIS_Data!$C$3:$C$40,23),""))</f>
        <v>Yellow</v>
      </c>
      <c r="D39" s="531">
        <f>IF($A39="","",IFERROR(INDEX(PMIS_Data!$E$3:$E$40,23),""))</f>
        <v>0.5</v>
      </c>
      <c r="E39" s="335" t="str">
        <f>IF($A39="","",IFERROR(INDEX(PMIS_Data!$F$3:$F$40,23),""))</f>
        <v>No</v>
      </c>
      <c r="F39" s="335">
        <f>IF($A39="","",IFERROR(INDEX(PMIS_Data!$G$3:$G$40,23),""))</f>
        <v>23</v>
      </c>
      <c r="G39" s="335">
        <f>IF($A39="","",IFERROR(INDEX(PMIS_Data!$H$3:$H$40,23),""))</f>
        <v>0</v>
      </c>
      <c r="H39" s="335">
        <f>IF($A39="","",IFERROR(INDEX(PMIS_Data!$I$3:$I$40,23),""))</f>
        <v>0</v>
      </c>
      <c r="I39" s="335" t="str">
        <f>IF($A39="","",IFERROR(INDEX(PMIS_Data!$Q$3:$Q$40,23),""))</f>
        <v>Verify cooling power path, firestopping, extinguisher location, and existing conditions</v>
      </c>
      <c r="J39" s="335" t="str">
        <f>IF($A39="","",IFERROR(INDEX(PMIS_Data!$R$3:$R$40,23),""))</f>
        <v>Cooling / emergency power not verified</v>
      </c>
      <c r="K39" s="335" t="str">
        <f ca="1">IF($A39="","",IFERROR(INDEX(PMIS_Data!$AC$3:$AC$40,23),""))</f>
        <v>Blocked</v>
      </c>
      <c r="L39" s="335" t="str">
        <f ca="1">IF($A39="","",IFERROR(INDEX(PMIS_Data!$AJ$3:$AJ$40,23),""))</f>
        <v>Not Ready</v>
      </c>
      <c r="M39" s="335"/>
      <c r="N39" s="335"/>
      <c r="O39" s="335"/>
      <c r="P39" s="335"/>
    </row>
    <row r="40" spans="1:16" ht="27.6" customHeight="1">
      <c r="A40" s="335" t="str">
        <f>IFERROR(INDEX(PMIS_Data!$A$3:$A$40,24),"")</f>
        <v>70</v>
      </c>
      <c r="B40" s="335" t="str">
        <f>IF($A40="","",IFERROR(INDEX(PMIS_Data!$B$3:$B$40,24),""))</f>
        <v>B70_TR_Assessment</v>
      </c>
      <c r="C40" s="335" t="str">
        <f>IF($A40="","",IFERROR(INDEX(PMIS_Data!$C$3:$C$40,24),""))</f>
        <v>Yellow</v>
      </c>
      <c r="D40" s="531">
        <f>IF($A40="","",IFERROR(INDEX(PMIS_Data!$E$3:$E$40,24),""))</f>
        <v>0.5</v>
      </c>
      <c r="E40" s="335" t="str">
        <f>IF($A40="","",IFERROR(INDEX(PMIS_Data!$F$3:$F$40,24),""))</f>
        <v>No</v>
      </c>
      <c r="F40" s="335">
        <f>IF($A40="","",IFERROR(INDEX(PMIS_Data!$G$3:$G$40,24),""))</f>
        <v>23</v>
      </c>
      <c r="G40" s="335">
        <f>IF($A40="","",IFERROR(INDEX(PMIS_Data!$H$3:$H$40,24),""))</f>
        <v>0</v>
      </c>
      <c r="H40" s="335">
        <f>IF($A40="","",IFERROR(INDEX(PMIS_Data!$I$3:$I$40,24),""))</f>
        <v>0</v>
      </c>
      <c r="I40" s="335" t="str">
        <f>IF($A40="","",IFERROR(INDEX(PMIS_Data!$Q$3:$Q$40,24),""))</f>
        <v>Verify cooling power path, firestopping, extinguisher locations, and migration phasing</v>
      </c>
      <c r="J40" s="335" t="str">
        <f>IF($A40="","",IFERROR(INDEX(PMIS_Data!$R$3:$R$40,24),""))</f>
        <v>Cooling / emergency power and existing TR phasing not verified</v>
      </c>
      <c r="K40" s="335" t="str">
        <f ca="1">IF($A40="","",IFERROR(INDEX(PMIS_Data!$AC$3:$AC$40,24),""))</f>
        <v>Blocked</v>
      </c>
      <c r="L40" s="335" t="str">
        <f ca="1">IF($A40="","",IFERROR(INDEX(PMIS_Data!$AJ$3:$AJ$40,24),""))</f>
        <v>Not Ready</v>
      </c>
      <c r="M40" s="335"/>
      <c r="N40" s="335"/>
      <c r="O40" s="335"/>
      <c r="P40" s="335"/>
    </row>
    <row r="41" spans="1:16" ht="27.6" customHeight="1">
      <c r="A41" s="335" t="str">
        <f>IFERROR(INDEX(PMIS_Data!$A$3:$A$40,25),"")</f>
        <v>78</v>
      </c>
      <c r="B41" s="335" t="str">
        <f>IF($A41="","",IFERROR(INDEX(PMIS_Data!$B$3:$B$40,25),""))</f>
        <v>B78_Assessment</v>
      </c>
      <c r="C41" s="335" t="str">
        <f>IF($A41="","",IFERROR(INDEX(PMIS_Data!$C$3:$C$40,25),""))</f>
        <v>Yellow</v>
      </c>
      <c r="D41" s="531">
        <f>IF($A41="","",IFERROR(INDEX(PMIS_Data!$E$3:$E$40,25),""))</f>
        <v>0.5</v>
      </c>
      <c r="E41" s="335" t="str">
        <f>IF($A41="","",IFERROR(INDEX(PMIS_Data!$F$3:$F$40,25),""))</f>
        <v>No</v>
      </c>
      <c r="F41" s="335">
        <f>IF($A41="","",IFERROR(INDEX(PMIS_Data!$G$3:$G$40,25),""))</f>
        <v>32</v>
      </c>
      <c r="G41" s="335">
        <f>IF($A41="","",IFERROR(INDEX(PMIS_Data!$H$3:$H$40,25),""))</f>
        <v>0</v>
      </c>
      <c r="H41" s="335">
        <f>IF($A41="","",IFERROR(INDEX(PMIS_Data!$I$3:$I$40,25),""))</f>
        <v>0</v>
      </c>
      <c r="I41" s="335"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5"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5" t="str">
        <f ca="1">IF($A41="","",IFERROR(INDEX(PMIS_Data!$AC$3:$AC$40,25),""))</f>
        <v>Blocked</v>
      </c>
      <c r="L41" s="335" t="str">
        <f ca="1">IF($A41="","",IFERROR(INDEX(PMIS_Data!$AJ$3:$AJ$40,25),""))</f>
        <v>Not Ready</v>
      </c>
      <c r="M41" s="335"/>
      <c r="N41" s="335"/>
      <c r="O41" s="335"/>
      <c r="P41" s="335"/>
    </row>
    <row r="42" spans="1:16" ht="27.6" customHeight="1">
      <c r="A42" s="335" t="str">
        <f>IFERROR(INDEX(PMIS_Data!$A$3:$A$40,26),"")</f>
        <v>80</v>
      </c>
      <c r="B42" s="335" t="str">
        <f>IF($A42="","",IFERROR(INDEX(PMIS_Data!$B$3:$B$40,26),""))</f>
        <v>B80_Assessment</v>
      </c>
      <c r="C42" s="335" t="str">
        <f>IF($A42="","",IFERROR(INDEX(PMIS_Data!$C$3:$C$40,26),""))</f>
        <v>Yellow</v>
      </c>
      <c r="D42" s="531">
        <f>IF($A42="","",IFERROR(INDEX(PMIS_Data!$E$3:$E$40,26),""))</f>
        <v>0.5</v>
      </c>
      <c r="E42" s="335" t="str">
        <f>IF($A42="","",IFERROR(INDEX(PMIS_Data!$F$3:$F$40,26),""))</f>
        <v>No</v>
      </c>
      <c r="F42" s="335">
        <f>IF($A42="","",IFERROR(INDEX(PMIS_Data!$G$3:$G$40,26),""))</f>
        <v>26</v>
      </c>
      <c r="G42" s="335">
        <f>IF($A42="","",IFERROR(INDEX(PMIS_Data!$H$3:$H$40,26),""))</f>
        <v>0</v>
      </c>
      <c r="H42" s="335">
        <f>IF($A42="","",IFERROR(INDEX(PMIS_Data!$I$3:$I$40,26),""))</f>
        <v>0</v>
      </c>
      <c r="I42" s="335"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5"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5" t="str">
        <f ca="1">IF($A42="","",IFERROR(INDEX(PMIS_Data!$AC$3:$AC$40,26),""))</f>
        <v>Blocked</v>
      </c>
      <c r="L42" s="335" t="str">
        <f ca="1">IF($A42="","",IFERROR(INDEX(PMIS_Data!$AJ$3:$AJ$40,26),""))</f>
        <v>Not Ready</v>
      </c>
      <c r="M42" s="335"/>
      <c r="N42" s="335"/>
      <c r="O42" s="335"/>
      <c r="P42" s="335"/>
    </row>
    <row r="43" spans="1:16" ht="27.6" customHeight="1">
      <c r="A43" s="335" t="str">
        <f>IFERROR(INDEX(PMIS_Data!$A$3:$A$40,27),"")</f>
        <v>82</v>
      </c>
      <c r="B43" s="335" t="str">
        <f>IF($A43="","",IFERROR(INDEX(PMIS_Data!$B$3:$B$40,27),""))</f>
        <v>B82_Assessment</v>
      </c>
      <c r="C43" s="335" t="str">
        <f>IF($A43="","",IFERROR(INDEX(PMIS_Data!$C$3:$C$40,27),""))</f>
        <v>Yellow</v>
      </c>
      <c r="D43" s="531">
        <f>IF($A43="","",IFERROR(INDEX(PMIS_Data!$E$3:$E$40,27),""))</f>
        <v>0.5</v>
      </c>
      <c r="E43" s="335" t="str">
        <f>IF($A43="","",IFERROR(INDEX(PMIS_Data!$F$3:$F$40,27),""))</f>
        <v>No</v>
      </c>
      <c r="F43" s="335">
        <f>IF($A43="","",IFERROR(INDEX(PMIS_Data!$G$3:$G$40,27),""))</f>
        <v>26</v>
      </c>
      <c r="G43" s="335">
        <f>IF($A43="","",IFERROR(INDEX(PMIS_Data!$H$3:$H$40,27),""))</f>
        <v>0</v>
      </c>
      <c r="H43" s="335">
        <f>IF($A43="","",IFERROR(INDEX(PMIS_Data!$I$3:$I$40,27),""))</f>
        <v>0</v>
      </c>
      <c r="I43" s="335"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5"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5" t="str">
        <f ca="1">IF($A43="","",IFERROR(INDEX(PMIS_Data!$AC$3:$AC$40,27),""))</f>
        <v>Blocked</v>
      </c>
      <c r="L43" s="335" t="str">
        <f ca="1">IF($A43="","",IFERROR(INDEX(PMIS_Data!$AJ$3:$AJ$40,27),""))</f>
        <v>Not Ready</v>
      </c>
      <c r="M43" s="335"/>
      <c r="N43" s="335"/>
      <c r="O43" s="335"/>
      <c r="P43" s="335"/>
    </row>
    <row r="44" spans="1:16" ht="27.6" customHeight="1">
      <c r="A44" s="335" t="str">
        <f>IFERROR(INDEX(PMIS_Data!$A$3:$A$40,28),"")</f>
        <v>BCH</v>
      </c>
      <c r="B44" s="335" t="str">
        <f>IF($A44="","",IFERROR(INDEX(PMIS_Data!$B$3:$B$40,28),""))</f>
        <v>BCH_Assessment</v>
      </c>
      <c r="C44" s="335" t="str">
        <f>IF($A44="","",IFERROR(INDEX(PMIS_Data!$C$3:$C$40,28),""))</f>
        <v>Yellow</v>
      </c>
      <c r="D44" s="531">
        <f>IF($A44="","",IFERROR(INDEX(PMIS_Data!$E$3:$E$40,28),""))</f>
        <v>0.5</v>
      </c>
      <c r="E44" s="335" t="str">
        <f>IF($A44="","",IFERROR(INDEX(PMIS_Data!$F$3:$F$40,28),""))</f>
        <v>No</v>
      </c>
      <c r="F44" s="335">
        <f>IF($A44="","",IFERROR(INDEX(PMIS_Data!$G$3:$G$40,28),""))</f>
        <v>26</v>
      </c>
      <c r="G44" s="335">
        <f>IF($A44="","",IFERROR(INDEX(PMIS_Data!$H$3:$H$40,28),""))</f>
        <v>0</v>
      </c>
      <c r="H44" s="335">
        <f>IF($A44="","",IFERROR(INDEX(PMIS_Data!$I$3:$I$40,28),""))</f>
        <v>0</v>
      </c>
      <c r="I44" s="335"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5"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5" t="str">
        <f ca="1">IF($A44="","",IFERROR(INDEX(PMIS_Data!$AC$3:$AC$40,28),""))</f>
        <v>Blocked</v>
      </c>
      <c r="L44" s="335" t="str">
        <f ca="1">IF($A44="","",IFERROR(INDEX(PMIS_Data!$AJ$3:$AJ$40,28),""))</f>
        <v>Not Ready</v>
      </c>
      <c r="M44" s="335"/>
      <c r="N44" s="335"/>
      <c r="O44" s="335"/>
      <c r="P44" s="335"/>
    </row>
    <row r="45" spans="1:16" ht="27.6" customHeight="1">
      <c r="A45" s="335" t="str">
        <f>IFERROR(INDEX(PMIS_Data!$A$3:$A$40,29),"")</f>
        <v>MCR</v>
      </c>
      <c r="B45" s="335" t="str">
        <f>IF($A45="","",IFERROR(INDEX(PMIS_Data!$B$3:$B$40,29),""))</f>
        <v>MCR_Assessment</v>
      </c>
      <c r="C45" s="335" t="str">
        <f>IF($A45="","",IFERROR(INDEX(PMIS_Data!$C$3:$C$40,29),""))</f>
        <v>Yellow</v>
      </c>
      <c r="D45" s="531">
        <f>IF($A45="","",IFERROR(INDEX(PMIS_Data!$E$3:$E$40,29),""))</f>
        <v>0.5</v>
      </c>
      <c r="E45" s="335" t="str">
        <f>IF($A45="","",IFERROR(INDEX(PMIS_Data!$F$3:$F$40,29),""))</f>
        <v>No</v>
      </c>
      <c r="F45" s="335">
        <f>IF($A45="","",IFERROR(INDEX(PMIS_Data!$G$3:$G$40,29),""))</f>
        <v>31</v>
      </c>
      <c r="G45" s="335">
        <f>IF($A45="","",IFERROR(INDEX(PMIS_Data!$H$3:$H$40,29),""))</f>
        <v>0</v>
      </c>
      <c r="H45" s="335">
        <f>IF($A45="","",IFERROR(INDEX(PMIS_Data!$I$3:$I$40,29),""))</f>
        <v>0</v>
      </c>
      <c r="I45" s="335"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5"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5" t="str">
        <f ca="1">IF($A45="","",IFERROR(INDEX(PMIS_Data!$AC$3:$AC$40,29),""))</f>
        <v>Blocked</v>
      </c>
      <c r="L45" s="335" t="str">
        <f ca="1">IF($A45="","",IFERROR(INDEX(PMIS_Data!$AJ$3:$AJ$40,29),""))</f>
        <v>Not Ready</v>
      </c>
      <c r="M45" s="335"/>
      <c r="N45" s="335"/>
      <c r="O45" s="335"/>
      <c r="P45" s="335"/>
    </row>
    <row r="46" spans="1:16" ht="27.6" customHeight="1">
      <c r="A46" s="335" t="str">
        <f>IFERROR(INDEX(PMIS_Data!$A$3:$A$40,30),"")</f>
        <v>SITE</v>
      </c>
      <c r="B46" s="335" t="str">
        <f>IF($A46="","",IFERROR(INDEX(PMIS_Data!$B$3:$B$40,30),""))</f>
        <v>SITE_Assesment</v>
      </c>
      <c r="C46" s="335" t="str">
        <f>IF($A46="","",IFERROR(INDEX(PMIS_Data!$C$3:$C$40,30),""))</f>
        <v>Yellow</v>
      </c>
      <c r="D46" s="531">
        <f>IF($A46="","",IFERROR(INDEX(PMIS_Data!$E$3:$E$40,30),""))</f>
        <v>0.5</v>
      </c>
      <c r="E46" s="335" t="str">
        <f>IF($A46="","",IFERROR(INDEX(PMIS_Data!$F$3:$F$40,30),""))</f>
        <v>No</v>
      </c>
      <c r="F46" s="335">
        <f>IF($A46="","",IFERROR(INDEX(PMIS_Data!$G$3:$G$40,30),""))</f>
        <v>32</v>
      </c>
      <c r="G46" s="335">
        <f>IF($A46="","",IFERROR(INDEX(PMIS_Data!$H$3:$H$40,30),""))</f>
        <v>0</v>
      </c>
      <c r="H46" s="335">
        <f>IF($A46="","",IFERROR(INDEX(PMIS_Data!$I$3:$I$40,30),""))</f>
        <v>0</v>
      </c>
      <c r="I46" s="335"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5"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5" t="str">
        <f ca="1">IF($A46="","",IFERROR(INDEX(PMIS_Data!$AC$3:$AC$40,30),""))</f>
        <v>Blocked</v>
      </c>
      <c r="L46" s="335" t="str">
        <f ca="1">IF($A46="","",IFERROR(INDEX(PMIS_Data!$AJ$3:$AJ$40,30),""))</f>
        <v>Not Ready</v>
      </c>
      <c r="M46" s="335"/>
      <c r="N46" s="335"/>
      <c r="O46" s="335"/>
      <c r="P46" s="335"/>
    </row>
    <row r="47" spans="1:16" ht="27.6" customHeight="1">
      <c r="A47" s="335"/>
      <c r="B47" s="335"/>
      <c r="C47" s="335"/>
      <c r="D47" s="335"/>
      <c r="E47" s="335"/>
      <c r="F47" s="335"/>
      <c r="G47" s="335"/>
      <c r="H47" s="335"/>
      <c r="I47" s="335"/>
      <c r="J47" s="335"/>
      <c r="K47" s="335"/>
      <c r="L47" s="335"/>
      <c r="M47" s="335"/>
      <c r="N47" s="335"/>
      <c r="O47" s="335"/>
      <c r="P47" s="335"/>
    </row>
    <row r="48" spans="1:16">
      <c r="A48" s="335"/>
      <c r="B48" s="335"/>
      <c r="C48" s="335"/>
      <c r="D48" s="335"/>
      <c r="E48" s="335"/>
      <c r="F48" s="335"/>
      <c r="G48" s="335"/>
      <c r="H48" s="335"/>
      <c r="I48" s="335"/>
      <c r="J48" s="335"/>
      <c r="K48" s="335"/>
      <c r="L48" s="335"/>
      <c r="M48" s="335"/>
      <c r="N48" s="335"/>
      <c r="O48" s="335"/>
      <c r="P48" s="335"/>
    </row>
    <row r="49" spans="1:16" ht="15">
      <c r="A49" s="910" t="s">
        <v>5831</v>
      </c>
      <c r="B49" s="910"/>
      <c r="C49" s="910"/>
      <c r="D49" s="910"/>
      <c r="E49" s="910"/>
      <c r="F49" s="910"/>
      <c r="G49" s="910"/>
      <c r="H49" s="910"/>
      <c r="I49" s="910"/>
      <c r="J49" s="910"/>
      <c r="K49" s="910"/>
      <c r="L49" s="910"/>
      <c r="M49" s="910"/>
      <c r="N49" s="910"/>
      <c r="O49" s="910"/>
      <c r="P49" s="910"/>
    </row>
    <row r="50" spans="1:16" ht="24">
      <c r="A50" s="532" t="s">
        <v>142</v>
      </c>
      <c r="B50" s="532" t="s">
        <v>5455</v>
      </c>
      <c r="C50" s="532" t="s">
        <v>3348</v>
      </c>
      <c r="D50" s="532" t="s">
        <v>3349</v>
      </c>
      <c r="E50" s="532" t="s">
        <v>5456</v>
      </c>
      <c r="F50" s="532" t="s">
        <v>5457</v>
      </c>
      <c r="G50" s="532" t="s">
        <v>4526</v>
      </c>
      <c r="H50" s="532" t="s">
        <v>199</v>
      </c>
      <c r="I50" s="335"/>
      <c r="J50" s="335"/>
      <c r="K50" s="335"/>
      <c r="L50" s="335"/>
      <c r="M50" s="335"/>
      <c r="N50" s="335"/>
      <c r="O50" s="335"/>
      <c r="P50" s="335"/>
    </row>
    <row r="51" spans="1:16" ht="26.45" customHeight="1">
      <c r="A51" s="335" t="str">
        <f>IFERROR(INDEX(PMIS_Trade_Notes!$A$2:$A$40,1),"")</f>
        <v>01</v>
      </c>
      <c r="B51" s="335"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5"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5"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5"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5"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5" t="str">
        <f>IF($A51="","",IFERROR(INDEX(PMIS_Trade_Notes!$I$2:$I$40,1),""))</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51" s="335"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I51" s="335"/>
      <c r="J51" s="335"/>
      <c r="K51" s="335"/>
      <c r="L51" s="335"/>
      <c r="M51" s="335"/>
      <c r="N51" s="335"/>
      <c r="O51" s="335"/>
      <c r="P51" s="335"/>
    </row>
    <row r="52" spans="1:16" ht="26.45" customHeight="1">
      <c r="A52" s="335" t="str">
        <f>IFERROR(INDEX(PMIS_Trade_Notes!$A$2:$A$40,2),"")</f>
        <v>02</v>
      </c>
      <c r="B52" s="335"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5"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5"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5"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5"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5" t="str">
        <f>IF($A52="","",IFERROR(INDEX(PMIS_Trade_Notes!$I$2:$I$40,2),""))</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52" s="335" t="str">
        <f>IF($A52="","",IFERROR(INDEX(PMIS_Trade_Notes!$J$2:$J$40,2),""))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I52" s="335"/>
      <c r="J52" s="335"/>
      <c r="K52" s="335"/>
      <c r="L52" s="335"/>
      <c r="M52" s="335"/>
      <c r="N52" s="335"/>
      <c r="O52" s="335"/>
      <c r="P52" s="335"/>
    </row>
    <row r="53" spans="1:16" ht="26.45" customHeight="1">
      <c r="A53" s="335" t="str">
        <f>IFERROR(INDEX(PMIS_Trade_Notes!$A$2:$A$40,3),"")</f>
        <v>03</v>
      </c>
      <c r="B53" s="335"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5"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5"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5"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5"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5" t="str">
        <f>IF($A53="","",IFERROR(INDEX(PMIS_Trade_Notes!$I$2:$I$40,3),""))</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53" s="335" t="str">
        <f>IF($A53="","",IFERROR(INDEX(PMIS_Trade_Notes!$J$2:$J$40,3),""))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I53" s="335"/>
      <c r="J53" s="335"/>
      <c r="K53" s="335"/>
      <c r="L53" s="335"/>
      <c r="M53" s="335"/>
      <c r="N53" s="335"/>
      <c r="O53" s="335"/>
      <c r="P53" s="335"/>
    </row>
    <row r="54" spans="1:16" ht="26.45" customHeight="1">
      <c r="A54" s="335" t="str">
        <f>IFERROR(INDEX(PMIS_Trade_Notes!$A$2:$A$40,4),"")</f>
        <v>04</v>
      </c>
      <c r="B54" s="335"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5"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5"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5"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5"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5" t="str">
        <f>IF($A54="","",IFERROR(INDEX(PMIS_Trade_Notes!$I$2:$I$40,4),""))</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4" s="335" t="str">
        <f>IF($A54="","",IFERROR(INDEX(PMIS_Trade_Notes!$J$2:$J$40,4),""))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I54" s="335"/>
      <c r="J54" s="335"/>
      <c r="K54" s="335"/>
      <c r="L54" s="335"/>
      <c r="M54" s="335"/>
      <c r="N54" s="335"/>
      <c r="O54" s="335"/>
      <c r="P54" s="335"/>
    </row>
    <row r="55" spans="1:16" ht="26.45" customHeight="1">
      <c r="A55" s="335" t="str">
        <f>IFERROR(INDEX(PMIS_Trade_Notes!$A$2:$A$40,5),"")</f>
        <v>05</v>
      </c>
      <c r="B55" s="335"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5"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5"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5"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5"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5" t="str">
        <f>IF($A55="","",IFERROR(INDEX(PMIS_Trade_Notes!$I$2:$I$40,5),""))</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55" s="335" t="str">
        <f>IF($A55="","",IFERROR(INDEX(PMIS_Trade_Notes!$J$2:$J$40,5),""))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I55" s="335"/>
      <c r="J55" s="335"/>
      <c r="K55" s="335"/>
      <c r="L55" s="335"/>
      <c r="M55" s="335"/>
      <c r="N55" s="335"/>
      <c r="O55" s="335"/>
      <c r="P55" s="335"/>
    </row>
    <row r="56" spans="1:16" ht="26.45" customHeight="1">
      <c r="A56" s="335" t="str">
        <f>IFERROR(INDEX(PMIS_Trade_Notes!$A$2:$A$40,6),"")</f>
        <v>06</v>
      </c>
      <c r="B56" s="335"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5"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5"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5"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5"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5" t="str">
        <f>IF($A56="","",IFERROR(INDEX(PMIS_Trade_Notes!$I$2:$I$40,6),""))</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56" s="335" t="str">
        <f>IF($A56="","",IFERROR(INDEX(PMIS_Trade_Notes!$J$2:$J$40,6),""))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I56" s="335"/>
      <c r="J56" s="335"/>
      <c r="K56" s="335"/>
      <c r="L56" s="335"/>
      <c r="M56" s="335"/>
      <c r="N56" s="335"/>
      <c r="O56" s="335"/>
      <c r="P56" s="335"/>
    </row>
    <row r="57" spans="1:16" ht="26.45" customHeight="1">
      <c r="A57" s="335" t="str">
        <f>IFERROR(INDEX(PMIS_Trade_Notes!$A$2:$A$40,7),"")</f>
        <v>07</v>
      </c>
      <c r="B57" s="335"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5"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5"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5"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5"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5" t="str">
        <f>IF($A57="","",IFERROR(INDEX(PMIS_Trade_Notes!$I$2:$I$40,7),""))</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57" s="335" t="str">
        <f>IF($A57="","",IFERROR(INDEX(PMIS_Trade_Notes!$J$2:$J$40,7),""))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I57" s="335"/>
      <c r="J57" s="335"/>
      <c r="K57" s="335"/>
      <c r="L57" s="335"/>
      <c r="M57" s="335"/>
      <c r="N57" s="335"/>
      <c r="O57" s="335"/>
      <c r="P57" s="335"/>
    </row>
    <row r="58" spans="1:16" ht="26.45" customHeight="1">
      <c r="A58" s="335" t="str">
        <f>IFERROR(INDEX(PMIS_Trade_Notes!$A$2:$A$40,8),"")</f>
        <v>08</v>
      </c>
      <c r="B58" s="335"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5"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5"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5"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5"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5" t="str">
        <f>IF($A58="","",IFERROR(INDEX(PMIS_Trade_Notes!$I$2:$I$40,8),""))</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58" s="335" t="str">
        <f>IF($A58="","",IFERROR(INDEX(PMIS_Trade_Notes!$J$2:$J$40,8),""))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I58" s="335"/>
      <c r="J58" s="335"/>
      <c r="K58" s="335"/>
      <c r="L58" s="335"/>
      <c r="M58" s="335"/>
      <c r="N58" s="335"/>
      <c r="O58" s="335"/>
      <c r="P58" s="335"/>
    </row>
    <row r="59" spans="1:16" ht="26.45" customHeight="1">
      <c r="A59" s="335" t="str">
        <f>IFERROR(INDEX(PMIS_Trade_Notes!$A$2:$A$40,9),"")</f>
        <v>09</v>
      </c>
      <c r="B59" s="335"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5"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5"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5"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5"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5" t="str">
        <f>IF($A59="","",IFERROR(INDEX(PMIS_Trade_Notes!$I$2:$I$40,9),""))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59" s="335" t="str">
        <f>IF($A59="","",IFERROR(INDEX(PMIS_Trade_Notes!$J$2:$J$40,9),""))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I59" s="335"/>
      <c r="J59" s="335"/>
      <c r="K59" s="335"/>
      <c r="L59" s="335"/>
      <c r="M59" s="335"/>
      <c r="N59" s="335"/>
      <c r="O59" s="335"/>
      <c r="P59" s="335"/>
    </row>
    <row r="60" spans="1:16" ht="26.45" customHeight="1">
      <c r="A60" s="335" t="str">
        <f>IFERROR(INDEX(PMIS_Trade_Notes!$A$2:$A$40,10),"")</f>
        <v>10</v>
      </c>
      <c r="B60" s="335"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5"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5"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5"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5"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5" t="str">
        <f>IF($A60="","",IFERROR(INDEX(PMIS_Trade_Notes!$I$2:$I$40,10),""))</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60" s="335" t="str">
        <f>IF($A60="","",IFERROR(INDEX(PMIS_Trade_Notes!$J$2:$J$40,10),""))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I60" s="335"/>
      <c r="J60" s="335"/>
      <c r="K60" s="335"/>
      <c r="L60" s="335"/>
      <c r="M60" s="335"/>
      <c r="N60" s="335"/>
      <c r="O60" s="335"/>
      <c r="P60" s="335"/>
    </row>
    <row r="61" spans="1:16" ht="26.45" customHeight="1">
      <c r="A61" s="335" t="str">
        <f>IFERROR(INDEX(PMIS_Trade_Notes!$A$2:$A$40,11),"")</f>
        <v>12</v>
      </c>
      <c r="B61" s="335" t="str">
        <f>IF($A61="","",IFERROR(INDEX(PMIS_Trade_Notes!$D$2:$D$40,11),""))</f>
        <v>• No fire protection drawing package beyond general notes; verify penetrations/firestopping for fiber pull-through route.
• No new TR/FEC shown; verify no rated assemblies are compromised by fiber pathway work.</v>
      </c>
      <c r="C61" s="335" t="str">
        <f>IF($A61="","",IFERROR(INDEX(PMIS_Trade_Notes!$E$2:$E$40,11),""))</f>
        <v>• No HVAC drawing package for Building 12; fiber-only scope does not indicate new cooling equipment.
• Field verify existing environmental conditions only if existing service point/equipment is accessed.</v>
      </c>
      <c r="D61" s="335" t="str">
        <f>IF($A61="","",IFERROR(INDEX(PMIS_Trade_Notes!$F$2:$F$40,11),""))</f>
        <v>• No electrical drawing package for Building 12; no new panel/UPS/PDU/rack receptacle scope shown.
• Confirm whether any existing equipment is touched. Scope appears limited to fiber pull-through and testing/labeling.</v>
      </c>
      <c r="E61" s="335"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5"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5" t="str">
        <f>IF($A61="","",IFERROR(INDEX(PMIS_Trade_Notes!$I$2:$I$40,11),""))</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61" s="335" t="str">
        <f>IF($A61="","",IFERROR(INDEX(PMIS_Trade_Notes!$J$2:$J$40,11),""))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I61" s="335"/>
      <c r="J61" s="335"/>
      <c r="K61" s="335"/>
      <c r="L61" s="335"/>
      <c r="M61" s="335"/>
      <c r="N61" s="335"/>
      <c r="O61" s="335"/>
      <c r="P61" s="335"/>
    </row>
    <row r="62" spans="1:16" ht="26.45" customHeight="1">
      <c r="A62" s="335" t="str">
        <f>IFERROR(INDEX(PMIS_Trade_Notes!$A$2:$A$40,12),"")</f>
        <v>13</v>
      </c>
      <c r="B62" s="335"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5"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5"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5"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5"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5" t="str">
        <f>IF($A62="","",IFERROR(INDEX(PMIS_Trade_Notes!$I$2:$I$40,12),""))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62" s="335" t="str">
        <f>IF($A62="","",IFERROR(INDEX(PMIS_Trade_Notes!$J$2:$J$40,12),""))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I62" s="335"/>
      <c r="J62" s="335"/>
      <c r="K62" s="335"/>
      <c r="L62" s="335"/>
      <c r="M62" s="335"/>
      <c r="N62" s="335"/>
      <c r="O62" s="335"/>
      <c r="P62" s="335"/>
    </row>
    <row r="63" spans="1:16" ht="26.45" customHeight="1">
      <c r="A63" s="335" t="str">
        <f>IFERROR(INDEX(PMIS_Trade_Notes!$A$2:$A$40,13),"")</f>
        <v>14</v>
      </c>
      <c r="B63" s="335"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5"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5"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5"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5"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5" t="str">
        <f>IF($A63="","",IFERROR(INDEX(PMIS_Trade_Notes!$I$2:$I$40,13),""))</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63" s="335" t="str">
        <f>IF($A63="","",IFERROR(INDEX(PMIS_Trade_Notes!$J$2:$J$40,13),""))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I63" s="335"/>
      <c r="J63" s="335"/>
      <c r="K63" s="335"/>
      <c r="L63" s="335"/>
      <c r="M63" s="335"/>
      <c r="N63" s="335"/>
      <c r="O63" s="335"/>
      <c r="P63" s="335"/>
    </row>
    <row r="64" spans="1:16" ht="26.45" customHeight="1">
      <c r="A64" s="335" t="str">
        <f>IFERROR(INDEX(PMIS_Trade_Notes!$A$2:$A$40,14),"")</f>
        <v>15</v>
      </c>
      <c r="B64" s="335"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5"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5"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5"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5"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5" t="str">
        <f>IF($A64="","",IFERROR(INDEX(PMIS_Trade_Notes!$I$2:$I$40,14),""))</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64" s="335" t="str">
        <f>IF($A64="","",IFERROR(INDEX(PMIS_Trade_Notes!$J$2:$J$40,14),""))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I64" s="335"/>
      <c r="J64" s="335"/>
      <c r="K64" s="335"/>
      <c r="L64" s="335"/>
      <c r="M64" s="335"/>
      <c r="N64" s="335"/>
      <c r="O64" s="335"/>
      <c r="P64" s="335"/>
    </row>
    <row r="65" spans="1:16" ht="26.45" customHeight="1">
      <c r="A65" s="335" t="str">
        <f>IFERROR(INDEX(PMIS_Trade_Notes!$A$2:$A$40,15),"")</f>
        <v>16</v>
      </c>
      <c r="B65" s="335"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5"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5"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5"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5"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5" t="str">
        <f>IF($A65="","",IFERROR(INDEX(PMIS_Trade_Notes!$I$2:$I$40,15),""))</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65" s="335" t="str">
        <f>IF($A65="","",IFERROR(INDEX(PMIS_Trade_Notes!$J$2:$J$40,15),""))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I65" s="335"/>
      <c r="J65" s="335"/>
      <c r="K65" s="335"/>
      <c r="L65" s="335"/>
      <c r="M65" s="335"/>
      <c r="N65" s="335"/>
      <c r="O65" s="335"/>
      <c r="P65" s="335"/>
    </row>
    <row r="66" spans="1:16" ht="26.45" customHeight="1">
      <c r="A66" s="335" t="str">
        <f>IFERROR(INDEX(PMIS_Trade_Notes!$A$2:$A$40,16),"")</f>
        <v>17</v>
      </c>
      <c r="B66" s="335"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5"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5"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5"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5"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5" t="str">
        <f>IF($A66="","",IFERROR(INDEX(PMIS_Trade_Notes!$I$2:$I$40,16),""))</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66" s="335" t="str">
        <f>IF($A66="","",IFERROR(INDEX(PMIS_Trade_Notes!$J$2:$J$40,16),""))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I66" s="335"/>
      <c r="J66" s="335"/>
      <c r="K66" s="335"/>
      <c r="L66" s="335"/>
      <c r="M66" s="335"/>
      <c r="N66" s="335"/>
      <c r="O66" s="335"/>
      <c r="P66" s="335"/>
    </row>
    <row r="67" spans="1:16" ht="26.45" customHeight="1">
      <c r="A67" s="335" t="str">
        <f>IFERROR(INDEX(PMIS_Trade_Notes!$A$2:$A$40,17),"")</f>
        <v>18</v>
      </c>
      <c r="B67" s="335"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5"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5"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5"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5"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5" t="str">
        <f>IF($A67="","",IFERROR(INDEX(PMIS_Trade_Notes!$I$2:$I$40,17),""))</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67" s="335" t="str">
        <f>IF($A67="","",IFERROR(INDEX(PMIS_Trade_Notes!$J$2:$J$40,17),""))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I67" s="335"/>
      <c r="J67" s="335"/>
      <c r="K67" s="335"/>
      <c r="L67" s="335"/>
      <c r="M67" s="335"/>
      <c r="N67" s="335"/>
      <c r="O67" s="335"/>
      <c r="P67" s="335"/>
    </row>
    <row r="68" spans="1:16" ht="26.45" customHeight="1">
      <c r="A68" s="335" t="str">
        <f>IFERROR(INDEX(PMIS_Trade_Notes!$A$2:$A$40,18),"")</f>
        <v>20</v>
      </c>
      <c r="B68" s="335"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5"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5"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5"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5"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5" t="str">
        <f>IF($A68="","",IFERROR(INDEX(PMIS_Trade_Notes!$I$2:$I$40,18),""))</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68" s="335" t="str">
        <f>IF($A68="","",IFERROR(INDEX(PMIS_Trade_Notes!$J$2:$J$40,18),""))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I68" s="335"/>
      <c r="J68" s="335"/>
      <c r="K68" s="335"/>
      <c r="L68" s="335"/>
      <c r="M68" s="335"/>
      <c r="N68" s="335"/>
      <c r="O68" s="335"/>
      <c r="P68" s="335"/>
    </row>
    <row r="69" spans="1:16" ht="26.45" customHeight="1">
      <c r="A69" s="335" t="str">
        <f>IFERROR(INDEX(PMIS_Trade_Notes!$A$2:$A$40,19),"")</f>
        <v>21</v>
      </c>
      <c r="B69" s="335"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5"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5"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5"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5"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5" t="str">
        <f>IF($A69="","",IFERROR(INDEX(PMIS_Trade_Notes!$I$2:$I$40,19),""))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69" s="335" t="str">
        <f>IF($A69="","",IFERROR(INDEX(PMIS_Trade_Notes!$J$2:$J$40,19),""))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I69" s="335"/>
      <c r="J69" s="335"/>
      <c r="K69" s="335"/>
      <c r="L69" s="335"/>
      <c r="M69" s="335"/>
      <c r="N69" s="335"/>
      <c r="O69" s="335"/>
      <c r="P69" s="335"/>
    </row>
    <row r="70" spans="1:16" ht="26.45" customHeight="1">
      <c r="A70" s="335" t="str">
        <f>IFERROR(INDEX(PMIS_Trade_Notes!$A$2:$A$40,20),"")</f>
        <v>22</v>
      </c>
      <c r="B70" s="335"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5"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5"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5"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5"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5" t="str">
        <f>IF($A70="","",IFERROR(INDEX(PMIS_Trade_Notes!$I$2:$I$40,20),""))</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70" s="335" t="str">
        <f>IF($A70="","",IFERROR(INDEX(PMIS_Trade_Notes!$J$2:$J$40,20),""))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I70" s="335"/>
      <c r="J70" s="335"/>
      <c r="K70" s="335"/>
      <c r="L70" s="335"/>
      <c r="M70" s="335"/>
      <c r="N70" s="335"/>
      <c r="O70" s="335"/>
      <c r="P70" s="335"/>
    </row>
    <row r="71" spans="1:16" ht="26.45" customHeight="1">
      <c r="A71" s="335" t="str">
        <f>IFERROR(INDEX(PMIS_Trade_Notes!$A$2:$A$40,21),"")</f>
        <v>33</v>
      </c>
      <c r="B71" s="335"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5"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5"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5"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5"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5" t="str">
        <f>IF($A71="","",IFERROR(INDEX(PMIS_Trade_Notes!$I$2:$I$40,21),""))</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71" s="335" t="str">
        <f>IF($A71="","",IFERROR(INDEX(PMIS_Trade_Notes!$J$2:$J$40,21),""))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I71" s="335"/>
      <c r="J71" s="335"/>
      <c r="K71" s="335"/>
      <c r="L71" s="335"/>
      <c r="M71" s="335"/>
      <c r="N71" s="335"/>
      <c r="O71" s="335"/>
      <c r="P71" s="335"/>
    </row>
    <row r="72" spans="1:16" ht="26.45" customHeight="1">
      <c r="A72" s="335" t="str">
        <f>IFERROR(INDEX(PMIS_Trade_Notes!$A$2:$A$40,22),"")</f>
        <v>61</v>
      </c>
      <c r="B72" s="335"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5"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5"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5"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5"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5" t="str">
        <f>IF($A72="","",IFERROR(INDEX(PMIS_Trade_Notes!$I$2:$I$40,22),""))</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72" s="335" t="str">
        <f>IF($A72="","",IFERROR(INDEX(PMIS_Trade_Notes!$J$2:$J$40,22),""))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I72" s="335"/>
      <c r="J72" s="335"/>
      <c r="K72" s="335"/>
      <c r="L72" s="335"/>
      <c r="M72" s="335"/>
      <c r="N72" s="335"/>
      <c r="O72" s="335"/>
      <c r="P72" s="335"/>
    </row>
    <row r="73" spans="1:16" ht="26.45" customHeight="1">
      <c r="A73" s="335" t="str">
        <f>IFERROR(INDEX(PMIS_Trade_Notes!$A$2:$A$40,23),"")</f>
        <v>62</v>
      </c>
      <c r="B73" s="335" t="str">
        <f>IF($A73="","",IFERROR(INDEX(PMIS_Trade_Notes!$D$2:$D$40,23),""))</f>
        <v>• No fire / life safety items captured for this building.</v>
      </c>
      <c r="C73" s="335" t="str">
        <f>IF($A73="","",IFERROR(INDEX(PMIS_Trade_Notes!$E$2:$E$40,23),""))</f>
        <v>• No hvac / cooling items captured for this building.</v>
      </c>
      <c r="D73" s="335" t="str">
        <f>IF($A73="","",IFERROR(INDEX(PMIS_Trade_Notes!$F$2:$F$40,23),""))</f>
        <v>• No electrical / ups items captured for this building.</v>
      </c>
      <c r="E73" s="335" t="str">
        <f>IF($A73="","",IFERROR(INDEX(PMIS_Trade_Notes!$G$2:$G$40,23),""))</f>
        <v>• No telecom / fiber items captured for this building.</v>
      </c>
      <c r="F73" s="335" t="str">
        <f>IF($A73="","",IFERROR(INDEX(PMIS_Trade_Notes!$H$2:$H$40,23),""))</f>
        <v>• No security / pacs / cctv items captured for this building.</v>
      </c>
      <c r="G73" s="335" t="str">
        <f>IF($A73="","",IFERROR(INDEX(PMIS_Trade_Notes!$I$2:$I$40,23),""))</f>
        <v>• B62-R1 — Cooling redundancy / emergency power not verified [Closed]
• B62-R2 — Firestopping condition unknown [Closed]
• B62-R3 — Existing room conditions undocumented [Closed]
• B62-R4 — Condensate leak risk near IT equipment [Closed]</v>
      </c>
      <c r="H73" s="335" t="str">
        <f>IF($A73="","",IFERROR(INDEX(PMIS_Trade_Notes!$J$2:$J$40,23),""))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I73" s="335"/>
      <c r="J73" s="335"/>
      <c r="K73" s="335"/>
      <c r="L73" s="335"/>
      <c r="M73" s="335"/>
      <c r="N73" s="335"/>
      <c r="O73" s="335"/>
      <c r="P73" s="335"/>
    </row>
    <row r="74" spans="1:16" ht="26.45" customHeight="1">
      <c r="A74" s="335" t="str">
        <f>IFERROR(INDEX(PMIS_Trade_Notes!$A$2:$A$40,24),"")</f>
        <v>70</v>
      </c>
      <c r="B74" s="335" t="str">
        <f>IF($A74="","",IFERROR(INDEX(PMIS_Trade_Notes!$D$2:$D$40,24),""))</f>
        <v>• No fire / life safety items captured for this building.</v>
      </c>
      <c r="C74" s="335" t="str">
        <f>IF($A74="","",IFERROR(INDEX(PMIS_Trade_Notes!$E$2:$E$40,24),""))</f>
        <v>• No hvac / cooling items captured for this building.</v>
      </c>
      <c r="D74" s="335" t="str">
        <f>IF($A74="","",IFERROR(INDEX(PMIS_Trade_Notes!$F$2:$F$40,24),""))</f>
        <v>• No electrical / ups items captured for this building.</v>
      </c>
      <c r="E74" s="335" t="str">
        <f>IF($A74="","",IFERROR(INDEX(PMIS_Trade_Notes!$G$2:$G$40,24),""))</f>
        <v>• No telecom / fiber items captured for this building.</v>
      </c>
      <c r="F74" s="335" t="str">
        <f>IF($A74="","",IFERROR(INDEX(PMIS_Trade_Notes!$H$2:$H$40,24),""))</f>
        <v>• No security / pacs / cctv items captured for this building.</v>
      </c>
      <c r="G74" s="335" t="str">
        <f>IF($A74="","",IFERROR(INDEX(PMIS_Trade_Notes!$I$2:$I$40,24),""))</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74" s="335" t="str">
        <f>IF($A74="","",IFERROR(INDEX(PMIS_Trade_Notes!$J$2:$J$40,24),""))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I74" s="335"/>
      <c r="J74" s="335"/>
      <c r="K74" s="335"/>
      <c r="L74" s="335"/>
      <c r="M74" s="335"/>
      <c r="N74" s="335"/>
      <c r="O74" s="335"/>
      <c r="P74" s="335"/>
    </row>
    <row r="75" spans="1:16" ht="26.45" customHeight="1">
      <c r="A75" s="335" t="str">
        <f>IFERROR(INDEX(PMIS_Trade_Notes!$A$2:$A$40,25),"")</f>
        <v>78</v>
      </c>
      <c r="B75" s="335"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75" s="335"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75" s="335"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75" s="335"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75" s="335"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75" s="335" t="str">
        <f>IF($A75="","",IFERROR(INDEX(PMIS_Trade_Notes!$I$2:$I$40,25),""))</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75" s="335" t="str">
        <f>IF($A75="","",IFERROR(INDEX(PMIS_Trade_Notes!$J$2:$J$40,25),""))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I75" s="335"/>
      <c r="J75" s="335"/>
      <c r="K75" s="335"/>
      <c r="L75" s="335"/>
      <c r="M75" s="335"/>
      <c r="N75" s="335"/>
      <c r="O75" s="335"/>
      <c r="P75" s="335"/>
    </row>
    <row r="76" spans="1:16" ht="26.45" customHeight="1">
      <c r="A76" s="335" t="str">
        <f>IFERROR(INDEX(PMIS_Trade_Notes!$A$2:$A$40,26),"")</f>
        <v>80</v>
      </c>
      <c r="B76" s="335"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5"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5"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5"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5"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5" t="str">
        <f>IF($A76="","",IFERROR(INDEX(PMIS_Trade_Notes!$I$2:$I$40,26),""))</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76" s="335" t="str">
        <f>IF($A76="","",IFERROR(INDEX(PMIS_Trade_Notes!$J$2:$J$40,26),""))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I76" s="335"/>
      <c r="J76" s="335"/>
      <c r="K76" s="335"/>
      <c r="L76" s="335"/>
      <c r="M76" s="335"/>
      <c r="N76" s="335"/>
      <c r="O76" s="335"/>
      <c r="P76" s="335"/>
    </row>
    <row r="77" spans="1:16" ht="26.45" customHeight="1">
      <c r="A77" s="335" t="str">
        <f>IFERROR(INDEX(PMIS_Trade_Notes!$A$2:$A$40,27),"")</f>
        <v>82</v>
      </c>
      <c r="B77" s="335"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5"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5"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5"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5"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5" t="str">
        <f>IF($A77="","",IFERROR(INDEX(PMIS_Trade_Notes!$I$2:$I$40,27),""))</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77" s="335" t="str">
        <f>IF($A77="","",IFERROR(INDEX(PMIS_Trade_Notes!$J$2:$J$40,27),""))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I77" s="335"/>
      <c r="J77" s="335"/>
      <c r="K77" s="335"/>
      <c r="L77" s="335"/>
      <c r="M77" s="335"/>
      <c r="N77" s="335"/>
      <c r="O77" s="335"/>
      <c r="P77" s="335"/>
    </row>
    <row r="78" spans="1:16" ht="26.45" customHeight="1">
      <c r="A78" s="335" t="str">
        <f>IFERROR(INDEX(PMIS_Trade_Notes!$A$2:$A$40,28),"")</f>
        <v>BCH</v>
      </c>
      <c r="B78" s="335"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5"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5"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5"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5"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5" t="str">
        <f>IF($A78="","",IFERROR(INDEX(PMIS_Trade_Notes!$I$2:$I$40,28),""))</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78" s="335" t="str">
        <f>IF($A78="","",IFERROR(INDEX(PMIS_Trade_Notes!$J$2:$J$40,28),""))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I78" s="335"/>
      <c r="J78" s="335"/>
      <c r="K78" s="335"/>
      <c r="L78" s="335"/>
      <c r="M78" s="335"/>
      <c r="N78" s="335"/>
      <c r="O78" s="335"/>
      <c r="P78" s="335"/>
    </row>
    <row r="79" spans="1:16" ht="26.45" customHeight="1">
      <c r="A79" s="335" t="str">
        <f>IFERROR(INDEX(PMIS_Trade_Notes!$A$2:$A$40,29),"")</f>
        <v>MCR</v>
      </c>
      <c r="B79" s="335"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5"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5"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5"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5"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5" t="str">
        <f>IF($A79="","",IFERROR(INDEX(PMIS_Trade_Notes!$I$2:$I$40,29),""))</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79" s="335" t="str">
        <f>IF($A79="","",IFERROR(INDEX(PMIS_Trade_Notes!$J$2:$J$40,29),""))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I79" s="335"/>
      <c r="J79" s="335"/>
      <c r="K79" s="335"/>
      <c r="L79" s="335"/>
      <c r="M79" s="335"/>
      <c r="N79" s="335"/>
      <c r="O79" s="335"/>
      <c r="P79" s="335"/>
    </row>
    <row r="80" spans="1:16" ht="26.45" customHeight="1">
      <c r="A80" s="335" t="str">
        <f>IFERROR(INDEX(PMIS_Trade_Notes!$A$2:$A$40,30),"")</f>
        <v>SPEC</v>
      </c>
      <c r="B80" s="335" t="str">
        <f>IF($A80="","",IFERROR(INDEX(PMIS_Trade_Notes!$D$2:$D$40,30),""))</f>
        <v>• No fire / life safety items captured for this building.</v>
      </c>
      <c r="C80" s="335" t="str">
        <f>IF($A80="","",IFERROR(INDEX(PMIS_Trade_Notes!$E$2:$E$40,30),""))</f>
        <v>• No hvac / cooling items captured for this building.</v>
      </c>
      <c r="D80" s="335" t="str">
        <f>IF($A80="","",IFERROR(INDEX(PMIS_Trade_Notes!$F$2:$F$40,30),""))</f>
        <v>• No electrical / ups items captured for this building.</v>
      </c>
      <c r="E80" s="335" t="str">
        <f>IF($A80="","",IFERROR(INDEX(PMIS_Trade_Notes!$G$2:$G$40,30),""))</f>
        <v>• No telecom / fiber items captured for this building.</v>
      </c>
      <c r="F80" s="335" t="str">
        <f>IF($A80="","",IFERROR(INDEX(PMIS_Trade_Notes!$H$2:$H$40,30),""))</f>
        <v>• No security / pacs / cctv items captured for this building.</v>
      </c>
      <c r="G80" s="335" t="str">
        <f>IF($A80="","",IFERROR(INDEX(PMIS_Trade_Notes!$I$2:$I$40,30),""))</f>
        <v>• No owner risks items captured for this building.</v>
      </c>
      <c r="H80" s="335" t="str">
        <f>IF($A80="","",IFERROR(INDEX(PMIS_Trade_Notes!$J$2:$J$40,30),""))</f>
        <v>• No open questions items captured for this building.</v>
      </c>
      <c r="I80" s="335"/>
      <c r="J80" s="335"/>
      <c r="K80" s="335"/>
      <c r="L80" s="335"/>
      <c r="M80" s="335"/>
      <c r="N80" s="335"/>
      <c r="O80" s="335"/>
      <c r="P80" s="335"/>
    </row>
    <row r="81" spans="1:16">
      <c r="A81" s="335"/>
      <c r="B81" s="335"/>
      <c r="C81" s="335"/>
      <c r="D81" s="335"/>
      <c r="E81" s="335"/>
      <c r="F81" s="335"/>
      <c r="G81" s="335"/>
      <c r="H81" s="335"/>
      <c r="I81" s="335"/>
      <c r="J81" s="335"/>
      <c r="K81" s="335"/>
      <c r="L81" s="335"/>
      <c r="M81" s="335"/>
      <c r="N81" s="335"/>
      <c r="O81" s="335"/>
      <c r="P81" s="335"/>
    </row>
    <row r="82" spans="1:16">
      <c r="A82" s="335"/>
      <c r="B82" s="335"/>
      <c r="C82" s="335"/>
      <c r="D82" s="335"/>
      <c r="E82" s="335"/>
      <c r="F82" s="335"/>
      <c r="G82" s="335"/>
      <c r="H82" s="335"/>
      <c r="I82" s="335"/>
      <c r="J82" s="335"/>
      <c r="K82" s="335"/>
      <c r="L82" s="335"/>
      <c r="M82" s="335"/>
      <c r="N82" s="335"/>
      <c r="O82" s="335"/>
      <c r="P82" s="335"/>
    </row>
    <row r="83" spans="1:16" ht="15">
      <c r="A83" s="910" t="s">
        <v>5812</v>
      </c>
      <c r="B83" s="910"/>
      <c r="C83" s="910"/>
      <c r="D83" s="910"/>
      <c r="E83" s="910"/>
      <c r="F83" s="910"/>
      <c r="G83" s="910"/>
      <c r="H83" s="910"/>
      <c r="I83" s="910"/>
      <c r="J83" s="910"/>
      <c r="K83" s="910"/>
      <c r="L83" s="910"/>
      <c r="M83" s="910"/>
      <c r="N83" s="910"/>
      <c r="O83" s="910"/>
      <c r="P83" s="910"/>
    </row>
    <row r="84" spans="1:16">
      <c r="A84" s="532" t="s">
        <v>142</v>
      </c>
      <c r="B84" s="532" t="s">
        <v>161</v>
      </c>
      <c r="C84" s="532" t="s">
        <v>199</v>
      </c>
      <c r="D84" s="532" t="s">
        <v>871</v>
      </c>
      <c r="E84" s="532" t="s">
        <v>872</v>
      </c>
      <c r="F84" s="532" t="s">
        <v>874</v>
      </c>
      <c r="G84" s="532" t="s">
        <v>875</v>
      </c>
      <c r="H84" s="532" t="s">
        <v>5569</v>
      </c>
      <c r="I84" s="532"/>
      <c r="J84" s="532"/>
      <c r="K84" s="335"/>
      <c r="L84" s="335"/>
      <c r="M84" s="335"/>
      <c r="N84" s="335"/>
      <c r="O84" s="335"/>
      <c r="P84" s="335"/>
    </row>
    <row r="85" spans="1:16">
      <c r="A85" s="335" t="str">
        <f>IFERROR(INDEX(PMIS_Data!$A$3:$A$40,1),"")</f>
        <v>01</v>
      </c>
      <c r="B85" s="335">
        <f>IF($A85="","",IFERROR(INDEX(PMIS_Data!$H$3:$H$40,1),""))</f>
        <v>0</v>
      </c>
      <c r="C85" s="335">
        <f>IF($A85="","",IFERROR(INDEX(PMIS_Data!$I$3:$I$40,1),""))</f>
        <v>0</v>
      </c>
      <c r="D85" s="525">
        <f>IF($A85="","",IFERROR(INDEX(PMIS_Data!$S$3:$S$40,1),""))</f>
        <v>0</v>
      </c>
      <c r="E85" s="525">
        <f>IF($A85="","",IFERROR(INDEX(PMIS_Data!$T$3:$T$40,1),""))</f>
        <v>0</v>
      </c>
      <c r="F85" s="525" t="str">
        <f>IF($A85="","",IFERROR(INDEX(PMIS_Data!$V$3:$V$40,1),""))</f>
        <v>Monitor</v>
      </c>
      <c r="G85" s="335" t="str">
        <f>IF($A85="","",IFERROR(INDEX(PMIS_Data!$W$3:$W$40,1),""))</f>
        <v>Review</v>
      </c>
      <c r="H85" s="335" t="str">
        <f ca="1">IF($A85="","",IFERROR(INDEX(PMIS_Data!$AN$3:$AN$40,1),""))</f>
        <v>🔴 ATTENTION</v>
      </c>
      <c r="I85" s="335"/>
      <c r="J85" s="335"/>
      <c r="K85" s="335"/>
      <c r="L85" s="335"/>
      <c r="M85" s="335"/>
      <c r="N85" s="335"/>
      <c r="O85" s="335"/>
      <c r="P85" s="335"/>
    </row>
    <row r="86" spans="1:16">
      <c r="A86" s="335" t="str">
        <f>IFERROR(INDEX(PMIS_Data!$A$3:$A$40,2),"")</f>
        <v>02</v>
      </c>
      <c r="B86" s="335">
        <f>IF($A86="","",IFERROR(INDEX(PMIS_Data!$H$3:$H$40,2),""))</f>
        <v>0</v>
      </c>
      <c r="C86" s="335">
        <f>IF($A86="","",IFERROR(INDEX(PMIS_Data!$I$3:$I$40,2),""))</f>
        <v>0</v>
      </c>
      <c r="D86" s="525">
        <f>IF($A86="","",IFERROR(INDEX(PMIS_Data!$S$3:$S$40,2),""))</f>
        <v>0</v>
      </c>
      <c r="E86" s="525">
        <f>IF($A86="","",IFERROR(INDEX(PMIS_Data!$T$3:$T$40,2),""))</f>
        <v>0</v>
      </c>
      <c r="F86" s="525" t="str">
        <f>IF($A86="","",IFERROR(INDEX(PMIS_Data!$V$3:$V$40,2),""))</f>
        <v>Monitor</v>
      </c>
      <c r="G86" s="335" t="str">
        <f>IF($A86="","",IFERROR(INDEX(PMIS_Data!$W$3:$W$40,2),""))</f>
        <v>Review</v>
      </c>
      <c r="H86" s="335" t="str">
        <f ca="1">IF($A86="","",IFERROR(INDEX(PMIS_Data!$AN$3:$AN$40,2),""))</f>
        <v>🔴 ATTENTION</v>
      </c>
      <c r="I86" s="335"/>
      <c r="J86" s="335"/>
      <c r="K86" s="335"/>
      <c r="L86" s="335"/>
      <c r="M86" s="335"/>
      <c r="N86" s="335"/>
      <c r="O86" s="335"/>
      <c r="P86" s="335"/>
    </row>
    <row r="87" spans="1:16">
      <c r="A87" s="335" t="str">
        <f>IFERROR(INDEX(PMIS_Data!$A$3:$A$40,3),"")</f>
        <v>03</v>
      </c>
      <c r="B87" s="335">
        <f>IF($A87="","",IFERROR(INDEX(PMIS_Data!$H$3:$H$40,3),""))</f>
        <v>0</v>
      </c>
      <c r="C87" s="335">
        <f>IF($A87="","",IFERROR(INDEX(PMIS_Data!$I$3:$I$40,3),""))</f>
        <v>0</v>
      </c>
      <c r="D87" s="525">
        <f>IF($A87="","",IFERROR(INDEX(PMIS_Data!$S$3:$S$40,3),""))</f>
        <v>0</v>
      </c>
      <c r="E87" s="525">
        <f>IF($A87="","",IFERROR(INDEX(PMIS_Data!$T$3:$T$40,3),""))</f>
        <v>0</v>
      </c>
      <c r="F87" s="525" t="str">
        <f>IF($A87="","",IFERROR(INDEX(PMIS_Data!$V$3:$V$40,3),""))</f>
        <v>Monitor</v>
      </c>
      <c r="G87" s="335" t="str">
        <f>IF($A87="","",IFERROR(INDEX(PMIS_Data!$W$3:$W$40,3),""))</f>
        <v>Review</v>
      </c>
      <c r="H87" s="335" t="str">
        <f ca="1">IF($A87="","",IFERROR(INDEX(PMIS_Data!$AN$3:$AN$40,3),""))</f>
        <v>🔴 ATTENTION</v>
      </c>
      <c r="I87" s="335"/>
      <c r="J87" s="335"/>
      <c r="K87" s="335"/>
      <c r="L87" s="335"/>
      <c r="M87" s="335"/>
      <c r="N87" s="335"/>
      <c r="O87" s="335"/>
      <c r="P87" s="335"/>
    </row>
    <row r="88" spans="1:16">
      <c r="A88" s="335" t="str">
        <f>IFERROR(INDEX(PMIS_Data!$A$3:$A$40,4),"")</f>
        <v>04</v>
      </c>
      <c r="B88" s="335">
        <f>IF($A88="","",IFERROR(INDEX(PMIS_Data!$H$3:$H$40,4),""))</f>
        <v>0</v>
      </c>
      <c r="C88" s="335">
        <f>IF($A88="","",IFERROR(INDEX(PMIS_Data!$I$3:$I$40,4),""))</f>
        <v>0</v>
      </c>
      <c r="D88" s="525">
        <f>IF($A88="","",IFERROR(INDEX(PMIS_Data!$S$3:$S$40,4),""))</f>
        <v>0</v>
      </c>
      <c r="E88" s="525">
        <f>IF($A88="","",IFERROR(INDEX(PMIS_Data!$T$3:$T$40,4),""))</f>
        <v>0</v>
      </c>
      <c r="F88" s="525" t="str">
        <f>IF($A88="","",IFERROR(INDEX(PMIS_Data!$V$3:$V$40,4),""))</f>
        <v>Monitor</v>
      </c>
      <c r="G88" s="335" t="str">
        <f>IF($A88="","",IFERROR(INDEX(PMIS_Data!$W$3:$W$40,4),""))</f>
        <v>Review</v>
      </c>
      <c r="H88" s="335" t="str">
        <f ca="1">IF($A88="","",IFERROR(INDEX(PMIS_Data!$AN$3:$AN$40,4),""))</f>
        <v>🔴 ATTENTION</v>
      </c>
      <c r="I88" s="335"/>
      <c r="J88" s="335"/>
      <c r="K88" s="335"/>
      <c r="L88" s="335"/>
      <c r="M88" s="335"/>
      <c r="N88" s="335"/>
      <c r="O88" s="335"/>
      <c r="P88" s="335"/>
    </row>
    <row r="89" spans="1:16">
      <c r="A89" s="335" t="str">
        <f>IFERROR(INDEX(PMIS_Data!$A$3:$A$40,5),"")</f>
        <v>05</v>
      </c>
      <c r="B89" s="335">
        <f>IF($A89="","",IFERROR(INDEX(PMIS_Data!$H$3:$H$40,5),""))</f>
        <v>0</v>
      </c>
      <c r="C89" s="335">
        <f>IF($A89="","",IFERROR(INDEX(PMIS_Data!$I$3:$I$40,5),""))</f>
        <v>0</v>
      </c>
      <c r="D89" s="525">
        <f>IF($A89="","",IFERROR(INDEX(PMIS_Data!$S$3:$S$40,5),""))</f>
        <v>0</v>
      </c>
      <c r="E89" s="525">
        <f>IF($A89="","",IFERROR(INDEX(PMIS_Data!$T$3:$T$40,5),""))</f>
        <v>0</v>
      </c>
      <c r="F89" s="525" t="str">
        <f>IF($A89="","",IFERROR(INDEX(PMIS_Data!$V$3:$V$40,5),""))</f>
        <v>Monitor</v>
      </c>
      <c r="G89" s="335" t="str">
        <f>IF($A89="","",IFERROR(INDEX(PMIS_Data!$W$3:$W$40,5),""))</f>
        <v>Review</v>
      </c>
      <c r="H89" s="335" t="str">
        <f ca="1">IF($A89="","",IFERROR(INDEX(PMIS_Data!$AN$3:$AN$40,5),""))</f>
        <v>🔴 ATTENTION</v>
      </c>
      <c r="I89" s="335"/>
      <c r="J89" s="335"/>
      <c r="K89" s="335"/>
      <c r="L89" s="335"/>
      <c r="M89" s="335"/>
      <c r="N89" s="335"/>
      <c r="O89" s="335"/>
      <c r="P89" s="335"/>
    </row>
    <row r="90" spans="1:16">
      <c r="A90" s="335" t="str">
        <f>IFERROR(INDEX(PMIS_Data!$A$3:$A$40,6),"")</f>
        <v>06</v>
      </c>
      <c r="B90" s="335">
        <f>IF($A90="","",IFERROR(INDEX(PMIS_Data!$H$3:$H$40,6),""))</f>
        <v>0</v>
      </c>
      <c r="C90" s="335">
        <f>IF($A90="","",IFERROR(INDEX(PMIS_Data!$I$3:$I$40,6),""))</f>
        <v>0</v>
      </c>
      <c r="D90" s="525">
        <f>IF($A90="","",IFERROR(INDEX(PMIS_Data!$S$3:$S$40,6),""))</f>
        <v>0</v>
      </c>
      <c r="E90" s="525">
        <f>IF($A90="","",IFERROR(INDEX(PMIS_Data!$T$3:$T$40,6),""))</f>
        <v>0</v>
      </c>
      <c r="F90" s="525" t="str">
        <f>IF($A90="","",IFERROR(INDEX(PMIS_Data!$V$3:$V$40,6),""))</f>
        <v>Monitor</v>
      </c>
      <c r="G90" s="335" t="str">
        <f>IF($A90="","",IFERROR(INDEX(PMIS_Data!$W$3:$W$40,6),""))</f>
        <v>Review</v>
      </c>
      <c r="H90" s="335" t="str">
        <f ca="1">IF($A90="","",IFERROR(INDEX(PMIS_Data!$AN$3:$AN$40,6),""))</f>
        <v>🔴 ATTENTION</v>
      </c>
      <c r="I90" s="335"/>
      <c r="J90" s="335"/>
      <c r="K90" s="335"/>
      <c r="L90" s="335"/>
      <c r="M90" s="335"/>
      <c r="N90" s="335"/>
      <c r="O90" s="335"/>
      <c r="P90" s="335"/>
    </row>
    <row r="91" spans="1:16">
      <c r="A91" s="335" t="str">
        <f>IFERROR(INDEX(PMIS_Data!$A$3:$A$40,7),"")</f>
        <v>07</v>
      </c>
      <c r="B91" s="335">
        <f>IF($A91="","",IFERROR(INDEX(PMIS_Data!$H$3:$H$40,7),""))</f>
        <v>0</v>
      </c>
      <c r="C91" s="335">
        <f>IF($A91="","",IFERROR(INDEX(PMIS_Data!$I$3:$I$40,7),""))</f>
        <v>0</v>
      </c>
      <c r="D91" s="525">
        <f>IF($A91="","",IFERROR(INDEX(PMIS_Data!$S$3:$S$40,7),""))</f>
        <v>0</v>
      </c>
      <c r="E91" s="525">
        <f>IF($A91="","",IFERROR(INDEX(PMIS_Data!$T$3:$T$40,7),""))</f>
        <v>0</v>
      </c>
      <c r="F91" s="525" t="str">
        <f>IF($A91="","",IFERROR(INDEX(PMIS_Data!$V$3:$V$40,7),""))</f>
        <v>Monitor</v>
      </c>
      <c r="G91" s="335" t="str">
        <f>IF($A91="","",IFERROR(INDEX(PMIS_Data!$W$3:$W$40,7),""))</f>
        <v>Review</v>
      </c>
      <c r="H91" s="335" t="str">
        <f ca="1">IF($A91="","",IFERROR(INDEX(PMIS_Data!$AN$3:$AN$40,7),""))</f>
        <v>🔴 ATTENTION</v>
      </c>
      <c r="I91" s="335"/>
      <c r="J91" s="335"/>
      <c r="K91" s="335"/>
      <c r="L91" s="335"/>
      <c r="M91" s="335"/>
      <c r="N91" s="335"/>
      <c r="O91" s="335"/>
      <c r="P91" s="335"/>
    </row>
    <row r="92" spans="1:16">
      <c r="A92" s="335" t="str">
        <f>IFERROR(INDEX(PMIS_Data!$A$3:$A$40,8),"")</f>
        <v>08</v>
      </c>
      <c r="B92" s="335">
        <f>IF($A92="","",IFERROR(INDEX(PMIS_Data!$H$3:$H$40,8),""))</f>
        <v>0</v>
      </c>
      <c r="C92" s="335">
        <f>IF($A92="","",IFERROR(INDEX(PMIS_Data!$I$3:$I$40,8),""))</f>
        <v>0</v>
      </c>
      <c r="D92" s="525">
        <f>IF($A92="","",IFERROR(INDEX(PMIS_Data!$S$3:$S$40,8),""))</f>
        <v>0</v>
      </c>
      <c r="E92" s="525">
        <f>IF($A92="","",IFERROR(INDEX(PMIS_Data!$T$3:$T$40,8),""))</f>
        <v>0</v>
      </c>
      <c r="F92" s="525" t="str">
        <f>IF($A92="","",IFERROR(INDEX(PMIS_Data!$V$3:$V$40,8),""))</f>
        <v>Monitor</v>
      </c>
      <c r="G92" s="335" t="str">
        <f>IF($A92="","",IFERROR(INDEX(PMIS_Data!$W$3:$W$40,8),""))</f>
        <v>Review</v>
      </c>
      <c r="H92" s="335" t="str">
        <f ca="1">IF($A92="","",IFERROR(INDEX(PMIS_Data!$AN$3:$AN$40,8),""))</f>
        <v>🔴 ATTENTION</v>
      </c>
      <c r="I92" s="335"/>
      <c r="J92" s="335"/>
      <c r="K92" s="335"/>
      <c r="L92" s="335"/>
      <c r="M92" s="335"/>
      <c r="N92" s="335"/>
      <c r="O92" s="335"/>
      <c r="P92" s="335"/>
    </row>
    <row r="93" spans="1:16">
      <c r="A93" s="335" t="str">
        <f>IFERROR(INDEX(PMIS_Data!$A$3:$A$40,9),"")</f>
        <v>09</v>
      </c>
      <c r="B93" s="335">
        <f>IF($A93="","",IFERROR(INDEX(PMIS_Data!$H$3:$H$40,9),""))</f>
        <v>0</v>
      </c>
      <c r="C93" s="335">
        <f>IF($A93="","",IFERROR(INDEX(PMIS_Data!$I$3:$I$40,9),""))</f>
        <v>0</v>
      </c>
      <c r="D93" s="525">
        <f>IF($A93="","",IFERROR(INDEX(PMIS_Data!$S$3:$S$40,9),""))</f>
        <v>0</v>
      </c>
      <c r="E93" s="525">
        <f>IF($A93="","",IFERROR(INDEX(PMIS_Data!$T$3:$T$40,9),""))</f>
        <v>0</v>
      </c>
      <c r="F93" s="525" t="str">
        <f>IF($A93="","",IFERROR(INDEX(PMIS_Data!$V$3:$V$40,9),""))</f>
        <v>Monitor</v>
      </c>
      <c r="G93" s="335" t="str">
        <f>IF($A93="","",IFERROR(INDEX(PMIS_Data!$W$3:$W$40,9),""))</f>
        <v>Review</v>
      </c>
      <c r="H93" s="335" t="str">
        <f ca="1">IF($A93="","",IFERROR(INDEX(PMIS_Data!$AN$3:$AN$40,9),""))</f>
        <v>🔴 ATTENTION</v>
      </c>
      <c r="I93" s="335"/>
      <c r="J93" s="335"/>
      <c r="K93" s="335"/>
      <c r="L93" s="335"/>
      <c r="M93" s="335"/>
      <c r="N93" s="335"/>
      <c r="O93" s="335"/>
      <c r="P93" s="335"/>
    </row>
    <row r="94" spans="1:16">
      <c r="A94" s="335" t="str">
        <f>IFERROR(INDEX(PMIS_Data!$A$3:$A$40,10),"")</f>
        <v>10</v>
      </c>
      <c r="B94" s="335">
        <f>IF($A94="","",IFERROR(INDEX(PMIS_Data!$H$3:$H$40,10),""))</f>
        <v>0</v>
      </c>
      <c r="C94" s="335">
        <f>IF($A94="","",IFERROR(INDEX(PMIS_Data!$I$3:$I$40,10),""))</f>
        <v>0</v>
      </c>
      <c r="D94" s="525">
        <f>IF($A94="","",IFERROR(INDEX(PMIS_Data!$S$3:$S$40,10),""))</f>
        <v>0</v>
      </c>
      <c r="E94" s="525">
        <f>IF($A94="","",IFERROR(INDEX(PMIS_Data!$T$3:$T$40,10),""))</f>
        <v>0</v>
      </c>
      <c r="F94" s="525" t="str">
        <f>IF($A94="","",IFERROR(INDEX(PMIS_Data!$V$3:$V$40,10),""))</f>
        <v>Monitor</v>
      </c>
      <c r="G94" s="335" t="str">
        <f>IF($A94="","",IFERROR(INDEX(PMIS_Data!$W$3:$W$40,10),""))</f>
        <v>Review</v>
      </c>
      <c r="H94" s="335" t="str">
        <f ca="1">IF($A94="","",IFERROR(INDEX(PMIS_Data!$AN$3:$AN$40,10),""))</f>
        <v>🔴 ATTENTION</v>
      </c>
      <c r="I94" s="335"/>
      <c r="J94" s="335"/>
      <c r="K94" s="335"/>
      <c r="L94" s="335"/>
      <c r="M94" s="335"/>
      <c r="N94" s="335"/>
      <c r="O94" s="335"/>
      <c r="P94" s="335"/>
    </row>
    <row r="95" spans="1:16">
      <c r="A95" s="335" t="str">
        <f>IFERROR(INDEX(PMIS_Data!$A$3:$A$40,11),"")</f>
        <v>12</v>
      </c>
      <c r="B95" s="335">
        <f>IF($A95="","",IFERROR(INDEX(PMIS_Data!$H$3:$H$40,11),""))</f>
        <v>0</v>
      </c>
      <c r="C95" s="335">
        <f>IF($A95="","",IFERROR(INDEX(PMIS_Data!$I$3:$I$40,11),""))</f>
        <v>0</v>
      </c>
      <c r="D95" s="335">
        <f>IF($A95="","",IFERROR(INDEX(PMIS_Data!$S$3:$S$40,11),""))</f>
        <v>0</v>
      </c>
      <c r="E95" s="335">
        <f>IF($A95="","",IFERROR(INDEX(PMIS_Data!$T$3:$T$40,11),""))</f>
        <v>0</v>
      </c>
      <c r="F95" s="335" t="str">
        <f>IF($A95="","",IFERROR(INDEX(PMIS_Data!$V$3:$V$40,11),""))</f>
        <v>Monitor</v>
      </c>
      <c r="G95" s="335" t="str">
        <f>IF($A95="","",IFERROR(INDEX(PMIS_Data!$W$3:$W$40,11),""))</f>
        <v>Review</v>
      </c>
      <c r="H95" s="335" t="str">
        <f ca="1">IF($A95="","",IFERROR(INDEX(PMIS_Data!$AN$3:$AN$40,11),""))</f>
        <v>🔴 ATTENTION</v>
      </c>
      <c r="I95" s="335"/>
      <c r="J95" s="335"/>
      <c r="K95" s="335"/>
      <c r="L95" s="335"/>
      <c r="M95" s="335"/>
      <c r="N95" s="335"/>
      <c r="O95" s="335"/>
      <c r="P95" s="335"/>
    </row>
    <row r="96" spans="1:16">
      <c r="A96" s="335" t="str">
        <f>IFERROR(INDEX(PMIS_Data!$A$3:$A$40,12),"")</f>
        <v>13</v>
      </c>
      <c r="B96" s="335">
        <f>IF($A96="","",IFERROR(INDEX(PMIS_Data!$H$3:$H$40,12),""))</f>
        <v>0</v>
      </c>
      <c r="C96" s="335">
        <f>IF($A96="","",IFERROR(INDEX(PMIS_Data!$I$3:$I$40,12),""))</f>
        <v>0</v>
      </c>
      <c r="D96" s="335">
        <f>IF($A96="","",IFERROR(INDEX(PMIS_Data!$S$3:$S$40,12),""))</f>
        <v>0</v>
      </c>
      <c r="E96" s="335">
        <f>IF($A96="","",IFERROR(INDEX(PMIS_Data!$T$3:$T$40,12),""))</f>
        <v>0</v>
      </c>
      <c r="F96" s="335" t="str">
        <f>IF($A96="","",IFERROR(INDEX(PMIS_Data!$V$3:$V$40,12),""))</f>
        <v>Monitor</v>
      </c>
      <c r="G96" s="335" t="str">
        <f>IF($A96="","",IFERROR(INDEX(PMIS_Data!$W$3:$W$40,12),""))</f>
        <v>Review</v>
      </c>
      <c r="H96" s="335" t="str">
        <f ca="1">IF($A96="","",IFERROR(INDEX(PMIS_Data!$AN$3:$AN$40,12),""))</f>
        <v>🔴 ATTENTION</v>
      </c>
      <c r="I96" s="335"/>
      <c r="J96" s="335"/>
      <c r="K96" s="335"/>
      <c r="L96" s="335"/>
      <c r="M96" s="335"/>
      <c r="N96" s="335"/>
      <c r="O96" s="335"/>
      <c r="P96" s="335"/>
    </row>
    <row r="97" spans="1:16">
      <c r="A97" s="335" t="str">
        <f>IFERROR(INDEX(PMIS_Data!$A$3:$A$40,13),"")</f>
        <v>14</v>
      </c>
      <c r="B97" s="335">
        <f>IF($A97="","",IFERROR(INDEX(PMIS_Data!$H$3:$H$40,13),""))</f>
        <v>0</v>
      </c>
      <c r="C97" s="335">
        <f>IF($A97="","",IFERROR(INDEX(PMIS_Data!$I$3:$I$40,13),""))</f>
        <v>0</v>
      </c>
      <c r="D97" s="335">
        <f>IF($A97="","",IFERROR(INDEX(PMIS_Data!$S$3:$S$40,13),""))</f>
        <v>0</v>
      </c>
      <c r="E97" s="335">
        <f>IF($A97="","",IFERROR(INDEX(PMIS_Data!$T$3:$T$40,13),""))</f>
        <v>0</v>
      </c>
      <c r="F97" s="335" t="str">
        <f>IF($A97="","",IFERROR(INDEX(PMIS_Data!$V$3:$V$40,13),""))</f>
        <v>Monitor</v>
      </c>
      <c r="G97" s="335" t="str">
        <f>IF($A97="","",IFERROR(INDEX(PMIS_Data!$W$3:$W$40,13),""))</f>
        <v>Review</v>
      </c>
      <c r="H97" s="335" t="str">
        <f ca="1">IF($A97="","",IFERROR(INDEX(PMIS_Data!$AN$3:$AN$40,13),""))</f>
        <v>🔴 ATTENTION</v>
      </c>
      <c r="I97" s="335"/>
      <c r="J97" s="335"/>
      <c r="K97" s="335"/>
      <c r="L97" s="335"/>
      <c r="M97" s="335"/>
      <c r="N97" s="335"/>
      <c r="O97" s="335"/>
      <c r="P97" s="335"/>
    </row>
    <row r="98" spans="1:16">
      <c r="A98" s="335" t="str">
        <f>IFERROR(INDEX(PMIS_Data!$A$3:$A$40,14),"")</f>
        <v>15</v>
      </c>
      <c r="B98" s="335">
        <f>IF($A98="","",IFERROR(INDEX(PMIS_Data!$H$3:$H$40,14),""))</f>
        <v>0</v>
      </c>
      <c r="C98" s="335">
        <f>IF($A98="","",IFERROR(INDEX(PMIS_Data!$I$3:$I$40,14),""))</f>
        <v>0</v>
      </c>
      <c r="D98" s="335">
        <f>IF($A98="","",IFERROR(INDEX(PMIS_Data!$S$3:$S$40,14),""))</f>
        <v>0</v>
      </c>
      <c r="E98" s="335">
        <f>IF($A98="","",IFERROR(INDEX(PMIS_Data!$T$3:$T$40,14),""))</f>
        <v>0</v>
      </c>
      <c r="F98" s="335" t="str">
        <f>IF($A98="","",IFERROR(INDEX(PMIS_Data!$V$3:$V$40,14),""))</f>
        <v>Monitor</v>
      </c>
      <c r="G98" s="335" t="str">
        <f>IF($A98="","",IFERROR(INDEX(PMIS_Data!$W$3:$W$40,14),""))</f>
        <v>Review</v>
      </c>
      <c r="H98" s="335" t="str">
        <f ca="1">IF($A98="","",IFERROR(INDEX(PMIS_Data!$AN$3:$AN$40,14),""))</f>
        <v>🔴 ATTENTION</v>
      </c>
      <c r="I98" s="335"/>
      <c r="J98" s="335"/>
      <c r="K98" s="335"/>
      <c r="L98" s="335"/>
      <c r="M98" s="335"/>
      <c r="N98" s="335"/>
      <c r="O98" s="335"/>
      <c r="P98" s="335"/>
    </row>
    <row r="99" spans="1:16">
      <c r="A99" s="335" t="str">
        <f>IFERROR(INDEX(PMIS_Data!$A$3:$A$40,15),"")</f>
        <v>16</v>
      </c>
      <c r="B99" s="335">
        <f>IF($A99="","",IFERROR(INDEX(PMIS_Data!$H$3:$H$40,15),""))</f>
        <v>0</v>
      </c>
      <c r="C99" s="335">
        <f>IF($A99="","",IFERROR(INDEX(PMIS_Data!$I$3:$I$40,15),""))</f>
        <v>0</v>
      </c>
      <c r="D99" s="335">
        <f>IF($A99="","",IFERROR(INDEX(PMIS_Data!$S$3:$S$40,15),""))</f>
        <v>0</v>
      </c>
      <c r="E99" s="335">
        <f>IF($A99="","",IFERROR(INDEX(PMIS_Data!$T$3:$T$40,15),""))</f>
        <v>0</v>
      </c>
      <c r="F99" s="335" t="str">
        <f>IF($A99="","",IFERROR(INDEX(PMIS_Data!$V$3:$V$40,15),""))</f>
        <v>Monitor</v>
      </c>
      <c r="G99" s="531" t="str">
        <f>IF($A99="","",IFERROR(INDEX(PMIS_Data!$W$3:$W$40,15),""))</f>
        <v>Review</v>
      </c>
      <c r="H99" s="335" t="str">
        <f ca="1">IF($A99="","",IFERROR(INDEX(PMIS_Data!$AN$3:$AN$40,15),""))</f>
        <v>🔴 ATTENTION</v>
      </c>
      <c r="I99" s="531"/>
      <c r="J99" s="335"/>
      <c r="K99" s="335"/>
      <c r="L99" s="335"/>
      <c r="M99" s="335"/>
      <c r="N99" s="335"/>
      <c r="O99" s="335"/>
      <c r="P99" s="335"/>
    </row>
    <row r="100" spans="1:16">
      <c r="A100" s="335" t="str">
        <f>IFERROR(INDEX(PMIS_Data!$A$3:$A$40,16),"")</f>
        <v>17</v>
      </c>
      <c r="B100" s="335">
        <f>IF($A100="","",IFERROR(INDEX(PMIS_Data!$H$3:$H$40,16),""))</f>
        <v>0</v>
      </c>
      <c r="C100" s="335">
        <f>IF($A100="","",IFERROR(INDEX(PMIS_Data!$I$3:$I$40,16),""))</f>
        <v>0</v>
      </c>
      <c r="D100" s="335">
        <f>IF($A100="","",IFERROR(INDEX(PMIS_Data!$S$3:$S$40,16),""))</f>
        <v>0</v>
      </c>
      <c r="E100" s="335">
        <f>IF($A100="","",IFERROR(INDEX(PMIS_Data!$T$3:$T$40,16),""))</f>
        <v>0</v>
      </c>
      <c r="F100" s="335" t="str">
        <f>IF($A100="","",IFERROR(INDEX(PMIS_Data!$V$3:$V$40,16),""))</f>
        <v>Monitor</v>
      </c>
      <c r="G100" s="531" t="str">
        <f>IF($A100="","",IFERROR(INDEX(PMIS_Data!$W$3:$W$40,16),""))</f>
        <v>Review</v>
      </c>
      <c r="H100" s="335" t="str">
        <f ca="1">IF($A100="","",IFERROR(INDEX(PMIS_Data!$AN$3:$AN$40,16),""))</f>
        <v>🔴 ATTENTION</v>
      </c>
      <c r="I100" s="531"/>
      <c r="J100" s="335"/>
      <c r="K100" s="335"/>
      <c r="L100" s="335"/>
      <c r="M100" s="335"/>
      <c r="N100" s="335"/>
      <c r="O100" s="335"/>
      <c r="P100" s="335"/>
    </row>
    <row r="101" spans="1:16">
      <c r="A101" s="335" t="str">
        <f>IFERROR(INDEX(PMIS_Data!$A$3:$A$40,17),"")</f>
        <v>18</v>
      </c>
      <c r="B101" s="335">
        <f>IF($A101="","",IFERROR(INDEX(PMIS_Data!$H$3:$H$40,17),""))</f>
        <v>0</v>
      </c>
      <c r="C101" s="335">
        <f>IF($A101="","",IFERROR(INDEX(PMIS_Data!$I$3:$I$40,17),""))</f>
        <v>0</v>
      </c>
      <c r="D101" s="335">
        <f>IF($A101="","",IFERROR(INDEX(PMIS_Data!$S$3:$S$40,17),""))</f>
        <v>0</v>
      </c>
      <c r="E101" s="335">
        <f>IF($A101="","",IFERROR(INDEX(PMIS_Data!$T$3:$T$40,17),""))</f>
        <v>0</v>
      </c>
      <c r="F101" s="335" t="str">
        <f>IF($A101="","",IFERROR(INDEX(PMIS_Data!$V$3:$V$40,17),""))</f>
        <v>Monitor</v>
      </c>
      <c r="G101" s="531" t="str">
        <f>IF($A101="","",IFERROR(INDEX(PMIS_Data!$W$3:$W$40,17),""))</f>
        <v>Review</v>
      </c>
      <c r="H101" s="335" t="str">
        <f ca="1">IF($A101="","",IFERROR(INDEX(PMIS_Data!$AN$3:$AN$40,17),""))</f>
        <v>🔴 ATTENTION</v>
      </c>
      <c r="I101" s="531"/>
      <c r="J101" s="335"/>
      <c r="K101" s="335"/>
      <c r="L101" s="335"/>
      <c r="M101" s="335"/>
      <c r="N101" s="335"/>
      <c r="O101" s="335"/>
      <c r="P101" s="335"/>
    </row>
    <row r="102" spans="1:16">
      <c r="A102" s="335" t="str">
        <f>IFERROR(INDEX(PMIS_Data!$A$3:$A$40,18),"")</f>
        <v>20</v>
      </c>
      <c r="B102" s="335">
        <f>IF($A102="","",IFERROR(INDEX(PMIS_Data!$H$3:$H$40,18),""))</f>
        <v>0</v>
      </c>
      <c r="C102" s="335">
        <f>IF($A102="","",IFERROR(INDEX(PMIS_Data!$I$3:$I$40,18),""))</f>
        <v>0</v>
      </c>
      <c r="D102" s="335">
        <f>IF($A102="","",IFERROR(INDEX(PMIS_Data!$S$3:$S$40,18),""))</f>
        <v>0</v>
      </c>
      <c r="E102" s="335">
        <f>IF($A102="","",IFERROR(INDEX(PMIS_Data!$T$3:$T$40,18),""))</f>
        <v>0</v>
      </c>
      <c r="F102" s="335" t="str">
        <f>IF($A102="","",IFERROR(INDEX(PMIS_Data!$V$3:$V$40,18),""))</f>
        <v>Monitor</v>
      </c>
      <c r="G102" s="531" t="str">
        <f>IF($A102="","",IFERROR(INDEX(PMIS_Data!$W$3:$W$40,18),""))</f>
        <v>Review</v>
      </c>
      <c r="H102" s="335" t="str">
        <f ca="1">IF($A102="","",IFERROR(INDEX(PMIS_Data!$AN$3:$AN$40,18),""))</f>
        <v>🔴 ATTENTION</v>
      </c>
      <c r="I102" s="531"/>
      <c r="J102" s="335"/>
      <c r="K102" s="335"/>
      <c r="L102" s="335"/>
      <c r="M102" s="335"/>
      <c r="N102" s="335"/>
      <c r="O102" s="335"/>
      <c r="P102" s="335"/>
    </row>
    <row r="103" spans="1:16">
      <c r="A103" s="335" t="str">
        <f>IFERROR(INDEX(PMIS_Data!$A$3:$A$40,19),"")</f>
        <v>21</v>
      </c>
      <c r="B103" s="335">
        <f>IF($A103="","",IFERROR(INDEX(PMIS_Data!$H$3:$H$40,19),""))</f>
        <v>0</v>
      </c>
      <c r="C103" s="335">
        <f>IF($A103="","",IFERROR(INDEX(PMIS_Data!$I$3:$I$40,19),""))</f>
        <v>0</v>
      </c>
      <c r="D103" s="335">
        <f>IF($A103="","",IFERROR(INDEX(PMIS_Data!$S$3:$S$40,19),""))</f>
        <v>0</v>
      </c>
      <c r="E103" s="335">
        <f>IF($A103="","",IFERROR(INDEX(PMIS_Data!$T$3:$T$40,19),""))</f>
        <v>0</v>
      </c>
      <c r="F103" s="335" t="str">
        <f>IF($A103="","",IFERROR(INDEX(PMIS_Data!$V$3:$V$40,19),""))</f>
        <v>Monitor</v>
      </c>
      <c r="G103" s="531" t="str">
        <f>IF($A103="","",IFERROR(INDEX(PMIS_Data!$W$3:$W$40,19),""))</f>
        <v>Review</v>
      </c>
      <c r="H103" s="335" t="str">
        <f ca="1">IF($A103="","",IFERROR(INDEX(PMIS_Data!$AN$3:$AN$40,19),""))</f>
        <v>🔴 ATTENTION</v>
      </c>
      <c r="I103" s="531"/>
      <c r="J103" s="335"/>
      <c r="K103" s="335"/>
      <c r="L103" s="335"/>
      <c r="M103" s="335"/>
      <c r="N103" s="335"/>
      <c r="O103" s="335"/>
      <c r="P103" s="335"/>
    </row>
    <row r="104" spans="1:16">
      <c r="A104" s="335" t="str">
        <f>IFERROR(INDEX(PMIS_Data!$A$3:$A$40,20),"")</f>
        <v>22</v>
      </c>
      <c r="B104" s="335">
        <f>IF($A104="","",IFERROR(INDEX(PMIS_Data!$H$3:$H$40,20),""))</f>
        <v>0</v>
      </c>
      <c r="C104" s="335">
        <f>IF($A104="","",IFERROR(INDEX(PMIS_Data!$I$3:$I$40,20),""))</f>
        <v>0</v>
      </c>
      <c r="D104" s="335">
        <f>IF($A104="","",IFERROR(INDEX(PMIS_Data!$S$3:$S$40,20),""))</f>
        <v>0</v>
      </c>
      <c r="E104" s="335">
        <f>IF($A104="","",IFERROR(INDEX(PMIS_Data!$T$3:$T$40,20),""))</f>
        <v>0</v>
      </c>
      <c r="F104" s="335" t="str">
        <f>IF($A104="","",IFERROR(INDEX(PMIS_Data!$V$3:$V$40,20),""))</f>
        <v>Monitor</v>
      </c>
      <c r="G104" s="531" t="str">
        <f>IF($A104="","",IFERROR(INDEX(PMIS_Data!$W$3:$W$40,20),""))</f>
        <v>Review</v>
      </c>
      <c r="H104" s="335" t="str">
        <f ca="1">IF($A104="","",IFERROR(INDEX(PMIS_Data!$AN$3:$AN$40,20),""))</f>
        <v>🔴 ATTENTION</v>
      </c>
      <c r="I104" s="531"/>
      <c r="J104" s="335"/>
      <c r="K104" s="335"/>
      <c r="L104" s="335"/>
      <c r="M104" s="335"/>
      <c r="N104" s="335"/>
      <c r="O104" s="335"/>
      <c r="P104" s="335"/>
    </row>
    <row r="105" spans="1:16">
      <c r="A105" s="335" t="str">
        <f>IFERROR(INDEX(PMIS_Data!$A$3:$A$40,21),"")</f>
        <v>33</v>
      </c>
      <c r="B105" s="335">
        <f>IF($A105="","",IFERROR(INDEX(PMIS_Data!$H$3:$H$40,21),""))</f>
        <v>0</v>
      </c>
      <c r="C105" s="335">
        <f>IF($A105="","",IFERROR(INDEX(PMIS_Data!$I$3:$I$40,21),""))</f>
        <v>0</v>
      </c>
      <c r="D105" s="335">
        <f>IF($A105="","",IFERROR(INDEX(PMIS_Data!$S$3:$S$40,21),""))</f>
        <v>0</v>
      </c>
      <c r="E105" s="335">
        <f>IF($A105="","",IFERROR(INDEX(PMIS_Data!$T$3:$T$40,21),""))</f>
        <v>0</v>
      </c>
      <c r="F105" s="335" t="str">
        <f>IF($A105="","",IFERROR(INDEX(PMIS_Data!$V$3:$V$40,21),""))</f>
        <v>Monitor</v>
      </c>
      <c r="G105" s="531" t="str">
        <f>IF($A105="","",IFERROR(INDEX(PMIS_Data!$W$3:$W$40,21),""))</f>
        <v>Review</v>
      </c>
      <c r="H105" s="335" t="str">
        <f ca="1">IF($A105="","",IFERROR(INDEX(PMIS_Data!$AN$3:$AN$40,21),""))</f>
        <v>🔴 ATTENTION</v>
      </c>
      <c r="I105" s="531"/>
      <c r="J105" s="335"/>
      <c r="K105" s="335"/>
      <c r="L105" s="335"/>
      <c r="M105" s="335"/>
      <c r="N105" s="335"/>
      <c r="O105" s="335"/>
      <c r="P105" s="335"/>
    </row>
    <row r="106" spans="1:16">
      <c r="A106" s="335" t="str">
        <f>IFERROR(INDEX(PMIS_Data!$A$3:$A$40,22),"")</f>
        <v>61</v>
      </c>
      <c r="B106" s="335">
        <f>IF($A106="","",IFERROR(INDEX(PMIS_Data!$H$3:$H$40,22),""))</f>
        <v>0</v>
      </c>
      <c r="C106" s="335">
        <f>IF($A106="","",IFERROR(INDEX(PMIS_Data!$I$3:$I$40,22),""))</f>
        <v>0</v>
      </c>
      <c r="D106" s="335">
        <f>IF($A106="","",IFERROR(INDEX(PMIS_Data!$S$3:$S$40,22),""))</f>
        <v>0</v>
      </c>
      <c r="E106" s="335">
        <f>IF($A106="","",IFERROR(INDEX(PMIS_Data!$T$3:$T$40,22),""))</f>
        <v>0</v>
      </c>
      <c r="F106" s="335" t="str">
        <f>IF($A106="","",IFERROR(INDEX(PMIS_Data!$V$3:$V$40,22),""))</f>
        <v>Monitor</v>
      </c>
      <c r="G106" s="531" t="str">
        <f>IF($A106="","",IFERROR(INDEX(PMIS_Data!$W$3:$W$40,22),""))</f>
        <v>Ready</v>
      </c>
      <c r="H106" s="335" t="str">
        <f ca="1">IF($A106="","",IFERROR(INDEX(PMIS_Data!$AN$3:$AN$40,22),""))</f>
        <v>🔴 ATTENTION</v>
      </c>
      <c r="I106" s="531"/>
      <c r="J106" s="335"/>
      <c r="K106" s="335"/>
      <c r="L106" s="335"/>
      <c r="M106" s="335"/>
      <c r="N106" s="335"/>
      <c r="O106" s="335"/>
      <c r="P106" s="335"/>
    </row>
    <row r="107" spans="1:16">
      <c r="A107" s="335" t="str">
        <f>IFERROR(INDEX(PMIS_Data!$A$3:$A$40,23),"")</f>
        <v>62</v>
      </c>
      <c r="B107" s="335">
        <f>IF($A107="","",IFERROR(INDEX(PMIS_Data!$H$3:$H$40,23),""))</f>
        <v>0</v>
      </c>
      <c r="C107" s="335">
        <f>IF($A107="","",IFERROR(INDEX(PMIS_Data!$I$3:$I$40,23),""))</f>
        <v>0</v>
      </c>
      <c r="D107" s="335">
        <f>IF($A107="","",IFERROR(INDEX(PMIS_Data!$S$3:$S$40,23),""))</f>
        <v>0</v>
      </c>
      <c r="E107" s="335">
        <f>IF($A107="","",IFERROR(INDEX(PMIS_Data!$T$3:$T$40,23),""))</f>
        <v>0</v>
      </c>
      <c r="F107" s="335" t="str">
        <f>IF($A107="","",IFERROR(INDEX(PMIS_Data!$V$3:$V$40,23),""))</f>
        <v>Monitor</v>
      </c>
      <c r="G107" s="531" t="str">
        <f>IF($A107="","",IFERROR(INDEX(PMIS_Data!$W$3:$W$40,23),""))</f>
        <v>Review</v>
      </c>
      <c r="H107" s="335" t="str">
        <f ca="1">IF($A107="","",IFERROR(INDEX(PMIS_Data!$AN$3:$AN$40,23),""))</f>
        <v>🔴 ATTENTION</v>
      </c>
      <c r="I107" s="531"/>
      <c r="J107" s="335"/>
      <c r="K107" s="335"/>
      <c r="L107" s="335"/>
      <c r="M107" s="335"/>
      <c r="N107" s="335"/>
      <c r="O107" s="335"/>
      <c r="P107" s="335"/>
    </row>
    <row r="108" spans="1:16">
      <c r="A108" s="335" t="str">
        <f>IFERROR(INDEX(PMIS_Data!$A$3:$A$40,24),"")</f>
        <v>70</v>
      </c>
      <c r="B108" s="335">
        <f>IF($A108="","",IFERROR(INDEX(PMIS_Data!$H$3:$H$40,24),""))</f>
        <v>0</v>
      </c>
      <c r="C108" s="335">
        <f>IF($A108="","",IFERROR(INDEX(PMIS_Data!$I$3:$I$40,24),""))</f>
        <v>0</v>
      </c>
      <c r="D108" s="335">
        <f>IF($A108="","",IFERROR(INDEX(PMIS_Data!$S$3:$S$40,24),""))</f>
        <v>0</v>
      </c>
      <c r="E108" s="335">
        <f>IF($A108="","",IFERROR(INDEX(PMIS_Data!$T$3:$T$40,24),""))</f>
        <v>0</v>
      </c>
      <c r="F108" s="335" t="str">
        <f>IF($A108="","",IFERROR(INDEX(PMIS_Data!$V$3:$V$40,24),""))</f>
        <v>Monitor</v>
      </c>
      <c r="G108" s="531" t="str">
        <f>IF($A108="","",IFERROR(INDEX(PMIS_Data!$W$3:$W$40,24),""))</f>
        <v>Review</v>
      </c>
      <c r="H108" s="335" t="str">
        <f ca="1">IF($A108="","",IFERROR(INDEX(PMIS_Data!$AN$3:$AN$40,24),""))</f>
        <v>🔴 ATTENTION</v>
      </c>
      <c r="I108" s="531"/>
      <c r="J108" s="335"/>
      <c r="K108" s="335"/>
      <c r="L108" s="335"/>
      <c r="M108" s="335"/>
      <c r="N108" s="335"/>
      <c r="O108" s="335"/>
      <c r="P108" s="335"/>
    </row>
    <row r="109" spans="1:16">
      <c r="A109" s="335" t="str">
        <f>IFERROR(INDEX(PMIS_Data!$A$3:$A$40,25),"")</f>
        <v>78</v>
      </c>
      <c r="B109" s="335">
        <f>IF($A109="","",IFERROR(INDEX(PMIS_Data!$H$3:$H$40,25),""))</f>
        <v>0</v>
      </c>
      <c r="C109" s="335">
        <f>IF($A109="","",IFERROR(INDEX(PMIS_Data!$I$3:$I$40,25),""))</f>
        <v>0</v>
      </c>
      <c r="D109" s="335">
        <f>IF($A109="","",IFERROR(INDEX(PMIS_Data!$S$3:$S$40,25),""))</f>
        <v>0</v>
      </c>
      <c r="E109" s="335">
        <f>IF($A109="","",IFERROR(INDEX(PMIS_Data!$T$3:$T$40,25),""))</f>
        <v>0</v>
      </c>
      <c r="F109" s="335" t="str">
        <f>IF($A109="","",IFERROR(INDEX(PMIS_Data!$V$3:$V$40,25),""))</f>
        <v>Monitor</v>
      </c>
      <c r="G109" s="531" t="str">
        <f>IF($A109="","",IFERROR(INDEX(PMIS_Data!$W$3:$W$40,25),""))</f>
        <v>Review</v>
      </c>
      <c r="H109" s="335" t="str">
        <f ca="1">IF($A109="","",IFERROR(INDEX(PMIS_Data!$AN$3:$AN$40,25),""))</f>
        <v>🔴 ATTENTION</v>
      </c>
      <c r="I109" s="531"/>
      <c r="J109" s="335"/>
      <c r="K109" s="335"/>
      <c r="L109" s="335"/>
      <c r="M109" s="335"/>
      <c r="N109" s="335"/>
      <c r="O109" s="335"/>
      <c r="P109" s="335"/>
    </row>
    <row r="110" spans="1:16">
      <c r="A110" s="335" t="str">
        <f>IFERROR(INDEX(PMIS_Data!$A$3:$A$40,26),"")</f>
        <v>80</v>
      </c>
      <c r="B110" s="335">
        <f>IF($A110="","",IFERROR(INDEX(PMIS_Data!$H$3:$H$40,26),""))</f>
        <v>0</v>
      </c>
      <c r="C110" s="335">
        <f>IF($A110="","",IFERROR(INDEX(PMIS_Data!$I$3:$I$40,26),""))</f>
        <v>0</v>
      </c>
      <c r="D110" s="335">
        <f>IF($A110="","",IFERROR(INDEX(PMIS_Data!$S$3:$S$40,26),""))</f>
        <v>0</v>
      </c>
      <c r="E110" s="335">
        <f>IF($A110="","",IFERROR(INDEX(PMIS_Data!$T$3:$T$40,26),""))</f>
        <v>0</v>
      </c>
      <c r="F110" s="335" t="str">
        <f>IF($A110="","",IFERROR(INDEX(PMIS_Data!$V$3:$V$40,26),""))</f>
        <v>Monitor</v>
      </c>
      <c r="G110" s="531" t="str">
        <f>IF($A110="","",IFERROR(INDEX(PMIS_Data!$W$3:$W$40,26),""))</f>
        <v>Review</v>
      </c>
      <c r="H110" s="335" t="str">
        <f ca="1">IF($A110="","",IFERROR(INDEX(PMIS_Data!$AN$3:$AN$40,26),""))</f>
        <v>🔴 ATTENTION</v>
      </c>
      <c r="I110" s="531"/>
      <c r="J110" s="335"/>
      <c r="K110" s="335"/>
      <c r="L110" s="335"/>
      <c r="M110" s="335"/>
      <c r="N110" s="335"/>
      <c r="O110" s="335"/>
      <c r="P110" s="335"/>
    </row>
    <row r="111" spans="1:16">
      <c r="A111" s="335" t="str">
        <f>IFERROR(INDEX(PMIS_Data!$A$3:$A$40,27),"")</f>
        <v>82</v>
      </c>
      <c r="B111" s="335">
        <f>IF($A111="","",IFERROR(INDEX(PMIS_Data!$H$3:$H$40,27),""))</f>
        <v>0</v>
      </c>
      <c r="C111" s="335">
        <f>IF($A111="","",IFERROR(INDEX(PMIS_Data!$I$3:$I$40,27),""))</f>
        <v>0</v>
      </c>
      <c r="D111" s="335">
        <f>IF($A111="","",IFERROR(INDEX(PMIS_Data!$S$3:$S$40,27),""))</f>
        <v>0</v>
      </c>
      <c r="E111" s="335">
        <f>IF($A111="","",IFERROR(INDEX(PMIS_Data!$T$3:$T$40,27),""))</f>
        <v>0</v>
      </c>
      <c r="F111" s="335" t="str">
        <f>IF($A111="","",IFERROR(INDEX(PMIS_Data!$V$3:$V$40,27),""))</f>
        <v>Monitor</v>
      </c>
      <c r="G111" s="531" t="str">
        <f>IF($A111="","",IFERROR(INDEX(PMIS_Data!$W$3:$W$40,27),""))</f>
        <v>Review</v>
      </c>
      <c r="H111" s="335" t="str">
        <f ca="1">IF($A111="","",IFERROR(INDEX(PMIS_Data!$AN$3:$AN$40,27),""))</f>
        <v>🔴 ATTENTION</v>
      </c>
      <c r="I111" s="531"/>
      <c r="J111" s="335"/>
      <c r="K111" s="335"/>
      <c r="L111" s="335"/>
      <c r="M111" s="335"/>
      <c r="N111" s="335"/>
      <c r="O111" s="335"/>
      <c r="P111" s="335"/>
    </row>
    <row r="112" spans="1:16">
      <c r="A112" s="335" t="str">
        <f>IFERROR(INDEX(PMIS_Data!$A$3:$A$40,28),"")</f>
        <v>BCH</v>
      </c>
      <c r="B112" s="335">
        <f>IF($A112="","",IFERROR(INDEX(PMIS_Data!$H$3:$H$40,28),""))</f>
        <v>0</v>
      </c>
      <c r="C112" s="335">
        <f>IF($A112="","",IFERROR(INDEX(PMIS_Data!$I$3:$I$40,28),""))</f>
        <v>0</v>
      </c>
      <c r="D112" s="335">
        <f>IF($A112="","",IFERROR(INDEX(PMIS_Data!$S$3:$S$40,28),""))</f>
        <v>0</v>
      </c>
      <c r="E112" s="335">
        <f>IF($A112="","",IFERROR(INDEX(PMIS_Data!$T$3:$T$40,28),""))</f>
        <v>0</v>
      </c>
      <c r="F112" s="335" t="str">
        <f>IF($A112="","",IFERROR(INDEX(PMIS_Data!$V$3:$V$40,28),""))</f>
        <v>Monitor</v>
      </c>
      <c r="G112" s="531" t="str">
        <f>IF($A112="","",IFERROR(INDEX(PMIS_Data!$W$3:$W$40,28),""))</f>
        <v>Review</v>
      </c>
      <c r="H112" s="335" t="str">
        <f ca="1">IF($A112="","",IFERROR(INDEX(PMIS_Data!$AN$3:$AN$40,28),""))</f>
        <v>🔴 ATTENTION</v>
      </c>
      <c r="I112" s="531"/>
      <c r="J112" s="335"/>
      <c r="K112" s="335"/>
      <c r="L112" s="335"/>
      <c r="M112" s="335"/>
      <c r="N112" s="335"/>
      <c r="O112" s="335"/>
      <c r="P112" s="335"/>
    </row>
    <row r="113" spans="1:16">
      <c r="A113" s="335" t="str">
        <f>IFERROR(INDEX(PMIS_Data!$A$3:$A$40,29),"")</f>
        <v>MCR</v>
      </c>
      <c r="B113" s="335">
        <f>IF($A113="","",IFERROR(INDEX(PMIS_Data!$H$3:$H$40,29),""))</f>
        <v>0</v>
      </c>
      <c r="C113" s="335">
        <f>IF($A113="","",IFERROR(INDEX(PMIS_Data!$I$3:$I$40,29),""))</f>
        <v>0</v>
      </c>
      <c r="D113" s="335">
        <f>IF($A113="","",IFERROR(INDEX(PMIS_Data!$S$3:$S$40,29),""))</f>
        <v>0</v>
      </c>
      <c r="E113" s="335">
        <f>IF($A113="","",IFERROR(INDEX(PMIS_Data!$T$3:$T$40,29),""))</f>
        <v>0</v>
      </c>
      <c r="F113" s="335" t="str">
        <f>IF($A113="","",IFERROR(INDEX(PMIS_Data!$V$3:$V$40,29),""))</f>
        <v>Monitor</v>
      </c>
      <c r="G113" s="531" t="str">
        <f>IF($A113="","",IFERROR(INDEX(PMIS_Data!$W$3:$W$40,29),""))</f>
        <v>Review</v>
      </c>
      <c r="H113" s="335" t="str">
        <f ca="1">IF($A113="","",IFERROR(INDEX(PMIS_Data!$AN$3:$AN$40,29),""))</f>
        <v>🔴 ATTENTION</v>
      </c>
      <c r="I113" s="531"/>
      <c r="J113" s="335"/>
      <c r="K113" s="335"/>
      <c r="L113" s="335"/>
      <c r="M113" s="335"/>
      <c r="N113" s="335"/>
      <c r="O113" s="335"/>
      <c r="P113" s="335"/>
    </row>
    <row r="114" spans="1:16">
      <c r="A114" s="335" t="str">
        <f>IFERROR(INDEX(PMIS_Data!$A$3:$A$40,30),"")</f>
        <v>SITE</v>
      </c>
      <c r="B114" s="335">
        <f>IF($A114="","",IFERROR(INDEX(PMIS_Data!$H$3:$H$40,30),""))</f>
        <v>0</v>
      </c>
      <c r="C114" s="335">
        <f>IF($A114="","",IFERROR(INDEX(PMIS_Data!$I$3:$I$40,30),""))</f>
        <v>0</v>
      </c>
      <c r="D114" s="335">
        <f>IF($A114="","",IFERROR(INDEX(PMIS_Data!$S$3:$S$40,30),""))</f>
        <v>0</v>
      </c>
      <c r="E114" s="335">
        <f>IF($A114="","",IFERROR(INDEX(PMIS_Data!$T$3:$T$40,30),""))</f>
        <v>0</v>
      </c>
      <c r="F114" s="335" t="str">
        <f>IF($A114="","",IFERROR(INDEX(PMIS_Data!$V$3:$V$40,30),""))</f>
        <v>Monitor</v>
      </c>
      <c r="G114" s="531" t="str">
        <f>IF($A114="","",IFERROR(INDEX(PMIS_Data!$W$3:$W$40,30),""))</f>
        <v>Review</v>
      </c>
      <c r="H114" s="335" t="str">
        <f ca="1">IF($A114="","",IFERROR(INDEX(PMIS_Data!$AN$3:$AN$40,30),""))</f>
        <v>🔴 ATTENTION</v>
      </c>
      <c r="I114" s="531"/>
      <c r="J114" s="335"/>
      <c r="K114" s="335"/>
      <c r="L114" s="335"/>
      <c r="M114" s="335"/>
      <c r="N114" s="335"/>
      <c r="O114" s="335"/>
      <c r="P114" s="335"/>
    </row>
    <row r="115" spans="1:16">
      <c r="A115" s="335"/>
      <c r="B115" s="335"/>
      <c r="C115" s="335"/>
      <c r="D115" s="335"/>
      <c r="E115" s="335"/>
      <c r="F115" s="335"/>
      <c r="G115" s="531"/>
      <c r="H115" s="335"/>
      <c r="I115" s="531"/>
      <c r="J115" s="335"/>
      <c r="K115" s="335"/>
      <c r="L115" s="335"/>
      <c r="M115" s="335"/>
      <c r="N115" s="335"/>
      <c r="O115" s="335"/>
      <c r="P115" s="335"/>
    </row>
    <row r="116" spans="1:16">
      <c r="A116" s="335"/>
      <c r="B116" s="335"/>
      <c r="C116" s="335"/>
      <c r="D116" s="335"/>
      <c r="E116" s="335"/>
      <c r="F116" s="335"/>
      <c r="G116" s="531"/>
      <c r="H116" s="335"/>
      <c r="I116" s="531"/>
      <c r="J116" s="335"/>
      <c r="K116" s="335"/>
      <c r="L116" s="335"/>
      <c r="M116" s="335"/>
      <c r="N116" s="335"/>
      <c r="O116" s="335"/>
      <c r="P116" s="335"/>
    </row>
    <row r="117" spans="1:16" ht="15">
      <c r="A117" s="910" t="s">
        <v>5832</v>
      </c>
      <c r="B117" s="910"/>
      <c r="C117" s="910"/>
      <c r="D117" s="910"/>
      <c r="E117" s="910"/>
      <c r="F117" s="910"/>
      <c r="G117" s="915"/>
      <c r="H117" s="910"/>
      <c r="I117" s="915"/>
      <c r="J117" s="910"/>
      <c r="K117" s="910"/>
      <c r="L117" s="910"/>
      <c r="M117" s="910"/>
      <c r="N117" s="910"/>
      <c r="O117" s="910"/>
      <c r="P117" s="910"/>
    </row>
    <row r="118" spans="1:16" ht="24">
      <c r="A118" s="532" t="s">
        <v>295</v>
      </c>
      <c r="B118" s="532" t="s">
        <v>218</v>
      </c>
      <c r="C118" s="532" t="s">
        <v>142</v>
      </c>
      <c r="D118" s="532" t="s">
        <v>5814</v>
      </c>
      <c r="E118" s="532" t="s">
        <v>5620</v>
      </c>
      <c r="F118" s="532" t="s">
        <v>219</v>
      </c>
      <c r="G118" s="535" t="s">
        <v>299</v>
      </c>
      <c r="H118" s="532" t="s">
        <v>300</v>
      </c>
      <c r="I118" s="535" t="s">
        <v>77</v>
      </c>
      <c r="J118" s="532" t="s">
        <v>11</v>
      </c>
      <c r="K118" s="335"/>
      <c r="L118" s="335"/>
      <c r="M118" s="335"/>
      <c r="N118" s="335"/>
      <c r="O118" s="335"/>
      <c r="P118" s="335"/>
    </row>
    <row r="119" spans="1:16">
      <c r="A119" s="335">
        <f>IFERROR(INDEX(Shutdown_Tracker!$A$5:$A$100,5),"")</f>
        <v>0</v>
      </c>
      <c r="B119" s="335">
        <f>IFERROR(INDEX(Shutdown_Tracker!$B$5:$B$100,5),"")</f>
        <v>0</v>
      </c>
      <c r="C119" s="335">
        <f>IFERROR(INDEX(Shutdown_Tracker!$C$5:$C$100,5),"")</f>
        <v>0</v>
      </c>
      <c r="D119" s="525">
        <f>IFERROR(INDEX(Shutdown_Tracker!$D$5:$D$100,5),"")</f>
        <v>0</v>
      </c>
      <c r="E119" s="525">
        <f>IFERROR(INDEX(Shutdown_Tracker!$E$5:$E$100,5),"")</f>
        <v>0</v>
      </c>
      <c r="F119" s="525">
        <f>IFERROR(INDEX(Shutdown_Tracker!$F$5:$F$100,5),"")</f>
        <v>0</v>
      </c>
      <c r="G119" s="531">
        <f>IFERROR(INDEX(Shutdown_Tracker!$G$5:$G$100,5),"")</f>
        <v>0</v>
      </c>
      <c r="H119" s="335">
        <f>IFERROR(INDEX(Shutdown_Tracker!$H$5:$H$100,5),"")</f>
        <v>0</v>
      </c>
      <c r="I119" s="531">
        <f>IFERROR(INDEX(Shutdown_Tracker!$I$5:$I$100,5),"")</f>
        <v>0</v>
      </c>
      <c r="J119" s="335">
        <f>IFERROR(INDEX(Shutdown_Tracker!$J$5:$J$100,5),"")</f>
        <v>0</v>
      </c>
      <c r="K119" s="335"/>
      <c r="L119" s="335"/>
      <c r="M119" s="335"/>
      <c r="N119" s="335"/>
      <c r="O119" s="335"/>
      <c r="P119" s="335"/>
    </row>
    <row r="120" spans="1:16">
      <c r="A120" s="335">
        <f>IFERROR(INDEX(Shutdown_Tracker!$A$5:$A$100,6),"")</f>
        <v>0</v>
      </c>
      <c r="B120" s="335">
        <f>IFERROR(INDEX(Shutdown_Tracker!$B$5:$B$100,6),"")</f>
        <v>0</v>
      </c>
      <c r="C120" s="335">
        <f>IFERROR(INDEX(Shutdown_Tracker!$C$5:$C$100,6),"")</f>
        <v>0</v>
      </c>
      <c r="D120" s="525">
        <f>IFERROR(INDEX(Shutdown_Tracker!$D$5:$D$100,6),"")</f>
        <v>0</v>
      </c>
      <c r="E120" s="525">
        <f>IFERROR(INDEX(Shutdown_Tracker!$E$5:$E$100,6),"")</f>
        <v>0</v>
      </c>
      <c r="F120" s="525">
        <f>IFERROR(INDEX(Shutdown_Tracker!$F$5:$F$100,6),"")</f>
        <v>0</v>
      </c>
      <c r="G120" s="531">
        <f>IFERROR(INDEX(Shutdown_Tracker!$G$5:$G$100,6),"")</f>
        <v>0</v>
      </c>
      <c r="H120" s="335">
        <f>IFERROR(INDEX(Shutdown_Tracker!$H$5:$H$100,6),"")</f>
        <v>0</v>
      </c>
      <c r="I120" s="531">
        <f>IFERROR(INDEX(Shutdown_Tracker!$I$5:$I$100,6),"")</f>
        <v>0</v>
      </c>
      <c r="J120" s="335">
        <f>IFERROR(INDEX(Shutdown_Tracker!$J$5:$J$100,6),"")</f>
        <v>0</v>
      </c>
      <c r="K120" s="335"/>
      <c r="L120" s="335"/>
      <c r="M120" s="335"/>
      <c r="N120" s="335"/>
      <c r="O120" s="335"/>
      <c r="P120" s="335"/>
    </row>
    <row r="121" spans="1:16">
      <c r="A121" s="335">
        <f>IFERROR(INDEX(Shutdown_Tracker!$A$5:$A$100,7),"")</f>
        <v>0</v>
      </c>
      <c r="B121" s="335">
        <f>IFERROR(INDEX(Shutdown_Tracker!$B$5:$B$100,7),"")</f>
        <v>0</v>
      </c>
      <c r="C121" s="335">
        <f>IFERROR(INDEX(Shutdown_Tracker!$C$5:$C$100,7),"")</f>
        <v>0</v>
      </c>
      <c r="D121" s="525">
        <f>IFERROR(INDEX(Shutdown_Tracker!$D$5:$D$100,7),"")</f>
        <v>0</v>
      </c>
      <c r="E121" s="525">
        <f>IFERROR(INDEX(Shutdown_Tracker!$E$5:$E$100,7),"")</f>
        <v>0</v>
      </c>
      <c r="F121" s="525">
        <f>IFERROR(INDEX(Shutdown_Tracker!$F$5:$F$100,7),"")</f>
        <v>0</v>
      </c>
      <c r="G121" s="531">
        <f>IFERROR(INDEX(Shutdown_Tracker!$G$5:$G$100,7),"")</f>
        <v>0</v>
      </c>
      <c r="H121" s="335">
        <f>IFERROR(INDEX(Shutdown_Tracker!$H$5:$H$100,7),"")</f>
        <v>0</v>
      </c>
      <c r="I121" s="531">
        <f>IFERROR(INDEX(Shutdown_Tracker!$I$5:$I$100,7),"")</f>
        <v>0</v>
      </c>
      <c r="J121" s="335">
        <f>IFERROR(INDEX(Shutdown_Tracker!$J$5:$J$100,7),"")</f>
        <v>0</v>
      </c>
      <c r="K121" s="335"/>
      <c r="L121" s="335"/>
      <c r="M121" s="335"/>
      <c r="N121" s="335"/>
      <c r="O121" s="335"/>
      <c r="P121" s="335"/>
    </row>
    <row r="122" spans="1:16">
      <c r="A122" s="335">
        <f>IFERROR(INDEX(Shutdown_Tracker!$A$5:$A$100,8),"")</f>
        <v>0</v>
      </c>
      <c r="B122" s="335">
        <f>IFERROR(INDEX(Shutdown_Tracker!$B$5:$B$100,8),"")</f>
        <v>0</v>
      </c>
      <c r="C122" s="335">
        <f>IFERROR(INDEX(Shutdown_Tracker!$C$5:$C$100,8),"")</f>
        <v>0</v>
      </c>
      <c r="D122" s="525">
        <f>IFERROR(INDEX(Shutdown_Tracker!$D$5:$D$100,8),"")</f>
        <v>0</v>
      </c>
      <c r="E122" s="525">
        <f>IFERROR(INDEX(Shutdown_Tracker!$E$5:$E$100,8),"")</f>
        <v>0</v>
      </c>
      <c r="F122" s="525">
        <f>IFERROR(INDEX(Shutdown_Tracker!$F$5:$F$100,8),"")</f>
        <v>0</v>
      </c>
      <c r="G122" s="531">
        <f>IFERROR(INDEX(Shutdown_Tracker!$G$5:$G$100,8),"")</f>
        <v>0</v>
      </c>
      <c r="H122" s="335">
        <f>IFERROR(INDEX(Shutdown_Tracker!$H$5:$H$100,8),"")</f>
        <v>0</v>
      </c>
      <c r="I122" s="531">
        <f>IFERROR(INDEX(Shutdown_Tracker!$I$5:$I$100,8),"")</f>
        <v>0</v>
      </c>
      <c r="J122" s="335">
        <f>IFERROR(INDEX(Shutdown_Tracker!$J$5:$J$100,8),"")</f>
        <v>0</v>
      </c>
      <c r="K122" s="335"/>
      <c r="L122" s="335"/>
      <c r="M122" s="335"/>
      <c r="N122" s="335"/>
      <c r="O122" s="335"/>
      <c r="P122" s="335"/>
    </row>
    <row r="123" spans="1:16">
      <c r="A123" s="335">
        <f>IFERROR(INDEX(Shutdown_Tracker!$A$5:$A$100,9),"")</f>
        <v>0</v>
      </c>
      <c r="B123" s="335">
        <f>IFERROR(INDEX(Shutdown_Tracker!$B$5:$B$100,9),"")</f>
        <v>0</v>
      </c>
      <c r="C123" s="335">
        <f>IFERROR(INDEX(Shutdown_Tracker!$C$5:$C$100,9),"")</f>
        <v>0</v>
      </c>
      <c r="D123" s="525">
        <f>IFERROR(INDEX(Shutdown_Tracker!$D$5:$D$100,9),"")</f>
        <v>0</v>
      </c>
      <c r="E123" s="525">
        <f>IFERROR(INDEX(Shutdown_Tracker!$E$5:$E$100,9),"")</f>
        <v>0</v>
      </c>
      <c r="F123" s="525">
        <f>IFERROR(INDEX(Shutdown_Tracker!$F$5:$F$100,9),"")</f>
        <v>0</v>
      </c>
      <c r="G123" s="531">
        <f>IFERROR(INDEX(Shutdown_Tracker!$G$5:$G$100,9),"")</f>
        <v>0</v>
      </c>
      <c r="H123" s="335">
        <f>IFERROR(INDEX(Shutdown_Tracker!$H$5:$H$100,9),"")</f>
        <v>0</v>
      </c>
      <c r="I123" s="531">
        <f>IFERROR(INDEX(Shutdown_Tracker!$I$5:$I$100,9),"")</f>
        <v>0</v>
      </c>
      <c r="J123" s="335">
        <f>IFERROR(INDEX(Shutdown_Tracker!$J$5:$J$100,9),"")</f>
        <v>0</v>
      </c>
      <c r="K123" s="335"/>
      <c r="L123" s="335"/>
      <c r="M123" s="335"/>
      <c r="N123" s="335"/>
      <c r="O123" s="335"/>
      <c r="P123" s="335"/>
    </row>
    <row r="124" spans="1:16">
      <c r="A124" s="335">
        <f>IFERROR(INDEX(Shutdown_Tracker!$A$5:$A$100,10),"")</f>
        <v>0</v>
      </c>
      <c r="B124" s="335">
        <f>IFERROR(INDEX(Shutdown_Tracker!$B$5:$B$100,10),"")</f>
        <v>0</v>
      </c>
      <c r="C124" s="335">
        <f>IFERROR(INDEX(Shutdown_Tracker!$C$5:$C$100,10),"")</f>
        <v>0</v>
      </c>
      <c r="D124" s="525">
        <f>IFERROR(INDEX(Shutdown_Tracker!$D$5:$D$100,10),"")</f>
        <v>0</v>
      </c>
      <c r="E124" s="525">
        <f>IFERROR(INDEX(Shutdown_Tracker!$E$5:$E$100,10),"")</f>
        <v>0</v>
      </c>
      <c r="F124" s="525">
        <f>IFERROR(INDEX(Shutdown_Tracker!$F$5:$F$100,10),"")</f>
        <v>0</v>
      </c>
      <c r="G124" s="531">
        <f>IFERROR(INDEX(Shutdown_Tracker!$G$5:$G$100,10),"")</f>
        <v>0</v>
      </c>
      <c r="H124" s="335">
        <f>IFERROR(INDEX(Shutdown_Tracker!$H$5:$H$100,10),"")</f>
        <v>0</v>
      </c>
      <c r="I124" s="531">
        <f>IFERROR(INDEX(Shutdown_Tracker!$I$5:$I$100,10),"")</f>
        <v>0</v>
      </c>
      <c r="J124" s="335">
        <f>IFERROR(INDEX(Shutdown_Tracker!$J$5:$J$100,10),"")</f>
        <v>0</v>
      </c>
      <c r="K124" s="335"/>
      <c r="L124" s="335"/>
      <c r="M124" s="335"/>
      <c r="N124" s="335"/>
      <c r="O124" s="335"/>
      <c r="P124" s="335"/>
    </row>
    <row r="125" spans="1:16">
      <c r="A125" s="335">
        <f>IFERROR(INDEX(Shutdown_Tracker!$A$5:$A$100,11),"")</f>
        <v>0</v>
      </c>
      <c r="B125" s="335">
        <f>IFERROR(INDEX(Shutdown_Tracker!$B$5:$B$100,11),"")</f>
        <v>0</v>
      </c>
      <c r="C125" s="335">
        <f>IFERROR(INDEX(Shutdown_Tracker!$C$5:$C$100,11),"")</f>
        <v>0</v>
      </c>
      <c r="D125" s="525">
        <f>IFERROR(INDEX(Shutdown_Tracker!$D$5:$D$100,11),"")</f>
        <v>0</v>
      </c>
      <c r="E125" s="525">
        <f>IFERROR(INDEX(Shutdown_Tracker!$E$5:$E$100,11),"")</f>
        <v>0</v>
      </c>
      <c r="F125" s="525">
        <f>IFERROR(INDEX(Shutdown_Tracker!$F$5:$F$100,11),"")</f>
        <v>0</v>
      </c>
      <c r="G125" s="531">
        <f>IFERROR(INDEX(Shutdown_Tracker!$G$5:$G$100,11),"")</f>
        <v>0</v>
      </c>
      <c r="H125" s="335">
        <f>IFERROR(INDEX(Shutdown_Tracker!$H$5:$H$100,11),"")</f>
        <v>0</v>
      </c>
      <c r="I125" s="531">
        <f>IFERROR(INDEX(Shutdown_Tracker!$I$5:$I$100,11),"")</f>
        <v>0</v>
      </c>
      <c r="J125" s="335">
        <f>IFERROR(INDEX(Shutdown_Tracker!$J$5:$J$100,11),"")</f>
        <v>0</v>
      </c>
      <c r="K125" s="335"/>
      <c r="L125" s="335"/>
      <c r="M125" s="335"/>
      <c r="N125" s="335"/>
      <c r="O125" s="335"/>
      <c r="P125" s="335"/>
    </row>
    <row r="126" spans="1:16">
      <c r="A126" s="335">
        <f>IFERROR(INDEX(Shutdown_Tracker!$A$5:$A$100,12),"")</f>
        <v>0</v>
      </c>
      <c r="B126" s="335">
        <f>IFERROR(INDEX(Shutdown_Tracker!$B$5:$B$100,12),"")</f>
        <v>0</v>
      </c>
      <c r="C126" s="335">
        <f>IFERROR(INDEX(Shutdown_Tracker!$C$5:$C$100,12),"")</f>
        <v>0</v>
      </c>
      <c r="D126" s="525">
        <f>IFERROR(INDEX(Shutdown_Tracker!$D$5:$D$100,12),"")</f>
        <v>0</v>
      </c>
      <c r="E126" s="525">
        <f>IFERROR(INDEX(Shutdown_Tracker!$E$5:$E$100,12),"")</f>
        <v>0</v>
      </c>
      <c r="F126" s="525">
        <f>IFERROR(INDEX(Shutdown_Tracker!$F$5:$F$100,12),"")</f>
        <v>0</v>
      </c>
      <c r="G126" s="531">
        <f>IFERROR(INDEX(Shutdown_Tracker!$G$5:$G$100,12),"")</f>
        <v>0</v>
      </c>
      <c r="H126" s="335">
        <f>IFERROR(INDEX(Shutdown_Tracker!$H$5:$H$100,12),"")</f>
        <v>0</v>
      </c>
      <c r="I126" s="531">
        <f>IFERROR(INDEX(Shutdown_Tracker!$I$5:$I$100,12),"")</f>
        <v>0</v>
      </c>
      <c r="J126" s="335">
        <f>IFERROR(INDEX(Shutdown_Tracker!$J$5:$J$100,12),"")</f>
        <v>0</v>
      </c>
      <c r="K126" s="335"/>
      <c r="L126" s="335"/>
      <c r="M126" s="335"/>
      <c r="N126" s="335"/>
      <c r="O126" s="335"/>
      <c r="P126" s="335"/>
    </row>
    <row r="127" spans="1:16">
      <c r="A127" s="335">
        <f>IFERROR(INDEX(Shutdown_Tracker!$A$5:$A$100,13),"")</f>
        <v>0</v>
      </c>
      <c r="B127" s="335">
        <f>IFERROR(INDEX(Shutdown_Tracker!$B$5:$B$100,13),"")</f>
        <v>0</v>
      </c>
      <c r="C127" s="335">
        <f>IFERROR(INDEX(Shutdown_Tracker!$C$5:$C$100,13),"")</f>
        <v>0</v>
      </c>
      <c r="D127" s="525">
        <f>IFERROR(INDEX(Shutdown_Tracker!$D$5:$D$100,13),"")</f>
        <v>0</v>
      </c>
      <c r="E127" s="525">
        <f>IFERROR(INDEX(Shutdown_Tracker!$E$5:$E$100,13),"")</f>
        <v>0</v>
      </c>
      <c r="F127" s="525">
        <f>IFERROR(INDEX(Shutdown_Tracker!$F$5:$F$100,13),"")</f>
        <v>0</v>
      </c>
      <c r="G127" s="531">
        <f>IFERROR(INDEX(Shutdown_Tracker!$G$5:$G$100,13),"")</f>
        <v>0</v>
      </c>
      <c r="H127" s="335">
        <f>IFERROR(INDEX(Shutdown_Tracker!$H$5:$H$100,13),"")</f>
        <v>0</v>
      </c>
      <c r="I127" s="531">
        <f>IFERROR(INDEX(Shutdown_Tracker!$I$5:$I$100,13),"")</f>
        <v>0</v>
      </c>
      <c r="J127" s="335">
        <f>IFERROR(INDEX(Shutdown_Tracker!$J$5:$J$100,13),"")</f>
        <v>0</v>
      </c>
      <c r="K127" s="335"/>
      <c r="L127" s="335"/>
      <c r="M127" s="335"/>
      <c r="N127" s="335"/>
      <c r="O127" s="335"/>
      <c r="P127" s="335"/>
    </row>
    <row r="128" spans="1:16">
      <c r="A128" s="335">
        <f>IFERROR(INDEX(Shutdown_Tracker!$A$5:$A$100,14),"")</f>
        <v>0</v>
      </c>
      <c r="B128" s="335">
        <f>IFERROR(INDEX(Shutdown_Tracker!$B$5:$B$100,14),"")</f>
        <v>0</v>
      </c>
      <c r="C128" s="335">
        <f>IFERROR(INDEX(Shutdown_Tracker!$C$5:$C$100,14),"")</f>
        <v>0</v>
      </c>
      <c r="D128" s="525">
        <f>IFERROR(INDEX(Shutdown_Tracker!$D$5:$D$100,14),"")</f>
        <v>0</v>
      </c>
      <c r="E128" s="525">
        <f>IFERROR(INDEX(Shutdown_Tracker!$E$5:$E$100,14),"")</f>
        <v>0</v>
      </c>
      <c r="F128" s="525">
        <f>IFERROR(INDEX(Shutdown_Tracker!$F$5:$F$100,14),"")</f>
        <v>0</v>
      </c>
      <c r="G128" s="531">
        <f>IFERROR(INDEX(Shutdown_Tracker!$G$5:$G$100,14),"")</f>
        <v>0</v>
      </c>
      <c r="H128" s="335">
        <f>IFERROR(INDEX(Shutdown_Tracker!$H$5:$H$100,14),"")</f>
        <v>0</v>
      </c>
      <c r="I128" s="531">
        <f>IFERROR(INDEX(Shutdown_Tracker!$I$5:$I$100,14),"")</f>
        <v>0</v>
      </c>
      <c r="J128" s="335">
        <f>IFERROR(INDEX(Shutdown_Tracker!$J$5:$J$100,14),"")</f>
        <v>0</v>
      </c>
      <c r="K128" s="335"/>
      <c r="L128" s="335"/>
      <c r="M128" s="335"/>
      <c r="N128" s="335"/>
      <c r="O128" s="335"/>
      <c r="P128" s="335"/>
    </row>
    <row r="129" spans="1:16">
      <c r="A129" s="335"/>
      <c r="B129" s="335"/>
      <c r="C129" s="335"/>
      <c r="D129" s="335"/>
      <c r="E129" s="335"/>
      <c r="F129" s="335"/>
      <c r="G129" s="335"/>
      <c r="H129" s="335"/>
      <c r="I129" s="335"/>
      <c r="J129" s="335"/>
      <c r="K129" s="335"/>
      <c r="L129" s="335"/>
      <c r="M129" s="335"/>
      <c r="N129" s="335"/>
      <c r="O129" s="335"/>
      <c r="P129" s="335"/>
    </row>
    <row r="130" spans="1:16" ht="24">
      <c r="A130" s="532" t="s">
        <v>5833</v>
      </c>
      <c r="B130" s="532" t="s">
        <v>5801</v>
      </c>
      <c r="C130" s="532" t="s">
        <v>215</v>
      </c>
      <c r="D130" s="532" t="s">
        <v>4590</v>
      </c>
      <c r="E130" s="532" t="s">
        <v>216</v>
      </c>
      <c r="F130" s="532" t="s">
        <v>5834</v>
      </c>
      <c r="G130" s="335"/>
      <c r="H130" s="335"/>
      <c r="I130" s="335"/>
      <c r="J130" s="335"/>
      <c r="K130" s="335"/>
      <c r="L130" s="335"/>
      <c r="M130" s="335"/>
      <c r="N130" s="335"/>
      <c r="O130" s="335"/>
      <c r="P130" s="335"/>
    </row>
    <row r="131" spans="1:16" ht="15">
      <c r="A131" s="910" t="s">
        <v>5783</v>
      </c>
      <c r="B131" s="910" t="s">
        <v>5808</v>
      </c>
      <c r="C131" s="910" t="s">
        <v>5835</v>
      </c>
      <c r="D131" s="910" t="s">
        <v>5836</v>
      </c>
      <c r="E131" s="910" t="s">
        <v>229</v>
      </c>
      <c r="F131" s="910" t="s">
        <v>5837</v>
      </c>
      <c r="G131" s="910"/>
      <c r="H131" s="910"/>
      <c r="I131" s="910"/>
      <c r="J131" s="910"/>
      <c r="K131" s="910"/>
      <c r="L131" s="910"/>
      <c r="M131" s="910"/>
      <c r="N131" s="910"/>
      <c r="O131" s="910"/>
      <c r="P131" s="910"/>
    </row>
    <row r="132" spans="1:16" ht="69.599999999999994" customHeight="1">
      <c r="A132" s="335" t="s">
        <v>5838</v>
      </c>
      <c r="B132" s="335" t="s">
        <v>5839</v>
      </c>
      <c r="C132" s="335" t="s">
        <v>5840</v>
      </c>
      <c r="D132" s="335" t="s">
        <v>5841</v>
      </c>
      <c r="E132" s="335" t="s">
        <v>5774</v>
      </c>
      <c r="F132" s="335" t="s">
        <v>5842</v>
      </c>
      <c r="G132" s="335"/>
      <c r="H132" s="525"/>
      <c r="I132" s="525"/>
      <c r="J132" s="335"/>
      <c r="K132" s="335"/>
      <c r="L132" s="335"/>
      <c r="M132" s="335"/>
      <c r="N132" s="335"/>
      <c r="O132" s="335"/>
      <c r="P132" s="335"/>
    </row>
    <row r="133" spans="1:16" ht="69.599999999999994" customHeight="1">
      <c r="A133" s="335" t="s">
        <v>5843</v>
      </c>
      <c r="B133" s="335" t="s">
        <v>348</v>
      </c>
      <c r="C133" s="335" t="s">
        <v>5844</v>
      </c>
      <c r="D133" s="335" t="s">
        <v>5836</v>
      </c>
      <c r="E133" s="335" t="s">
        <v>229</v>
      </c>
      <c r="F133" s="335" t="s">
        <v>5845</v>
      </c>
      <c r="G133" s="335"/>
      <c r="H133" s="525"/>
      <c r="I133" s="525"/>
      <c r="J133" s="335"/>
      <c r="K133" s="335"/>
      <c r="L133" s="335"/>
      <c r="M133" s="335"/>
      <c r="N133" s="335"/>
      <c r="O133" s="335"/>
      <c r="P133" s="335"/>
    </row>
    <row r="134" spans="1:16" ht="76.5">
      <c r="A134" s="335" t="s">
        <v>5846</v>
      </c>
      <c r="B134" s="335" t="s">
        <v>5847</v>
      </c>
      <c r="C134" s="335" t="s">
        <v>5848</v>
      </c>
      <c r="D134" s="335" t="s">
        <v>5418</v>
      </c>
      <c r="E134" s="335" t="s">
        <v>5771</v>
      </c>
      <c r="F134" s="335" t="s">
        <v>5849</v>
      </c>
      <c r="G134" s="335"/>
      <c r="H134" s="525"/>
      <c r="I134" s="525"/>
      <c r="J134" s="335"/>
      <c r="K134" s="335"/>
      <c r="L134" s="335"/>
      <c r="M134" s="335"/>
      <c r="N134" s="335"/>
      <c r="O134" s="335"/>
      <c r="P134" s="335"/>
    </row>
    <row r="135" spans="1:16" ht="51">
      <c r="A135" s="335" t="s">
        <v>5803</v>
      </c>
      <c r="B135" s="335" t="s">
        <v>499</v>
      </c>
      <c r="C135" s="335" t="s">
        <v>5850</v>
      </c>
      <c r="D135" s="335" t="s">
        <v>5851</v>
      </c>
      <c r="E135" s="335" t="s">
        <v>5771</v>
      </c>
      <c r="F135" s="335" t="s">
        <v>5852</v>
      </c>
      <c r="G135" s="335"/>
      <c r="H135" s="525"/>
      <c r="I135" s="525"/>
      <c r="J135" s="335"/>
      <c r="K135" s="335"/>
      <c r="L135" s="335"/>
      <c r="M135" s="335"/>
      <c r="N135" s="335"/>
      <c r="O135" s="335"/>
      <c r="P135" s="335"/>
    </row>
    <row r="136" spans="1:16">
      <c r="A136" s="335"/>
      <c r="B136" s="335"/>
      <c r="C136" s="335"/>
      <c r="D136" s="335"/>
      <c r="E136" s="335"/>
      <c r="F136" s="335"/>
      <c r="G136" s="335"/>
      <c r="H136" s="525"/>
      <c r="I136" s="525"/>
      <c r="J136" s="335"/>
      <c r="K136" s="335"/>
      <c r="L136" s="335"/>
      <c r="M136" s="335"/>
      <c r="N136" s="335"/>
      <c r="O136" s="335"/>
      <c r="P136" s="335"/>
    </row>
    <row r="137" spans="1:16" ht="15">
      <c r="A137" s="910" t="s">
        <v>5816</v>
      </c>
      <c r="B137" s="910"/>
      <c r="C137" s="910"/>
      <c r="D137" s="910"/>
      <c r="E137" s="910"/>
      <c r="F137" s="910"/>
      <c r="G137" s="910"/>
      <c r="H137" s="911"/>
      <c r="I137" s="911"/>
      <c r="J137" s="910"/>
      <c r="K137" s="910"/>
      <c r="L137" s="910"/>
      <c r="M137" s="910"/>
      <c r="N137" s="910"/>
      <c r="O137" s="910"/>
      <c r="P137" s="910"/>
    </row>
    <row r="138" spans="1:16" ht="24">
      <c r="A138" s="532" t="s">
        <v>142</v>
      </c>
      <c r="B138" s="532" t="s">
        <v>199</v>
      </c>
      <c r="C138" s="532" t="s">
        <v>870</v>
      </c>
      <c r="D138" s="532" t="s">
        <v>5455</v>
      </c>
      <c r="E138" s="532" t="s">
        <v>3348</v>
      </c>
      <c r="F138" s="532" t="s">
        <v>3349</v>
      </c>
      <c r="G138" s="532" t="s">
        <v>5456</v>
      </c>
      <c r="H138" s="525"/>
      <c r="I138" s="525"/>
      <c r="J138" s="335"/>
      <c r="K138" s="335"/>
      <c r="L138" s="335"/>
      <c r="M138" s="335"/>
      <c r="N138" s="335"/>
      <c r="O138" s="335"/>
      <c r="P138" s="335"/>
    </row>
    <row r="139" spans="1:16" ht="30" customHeight="1">
      <c r="A139" s="335" t="str">
        <f>IFERROR(INDEX(PMIS_Trade_Notes!$A$2:$A$40,1),"")</f>
        <v>01</v>
      </c>
      <c r="B139" s="335"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139" s="335"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5"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5"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5"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5"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5"/>
      <c r="I139" s="525"/>
      <c r="J139" s="335"/>
      <c r="K139" s="335"/>
      <c r="L139" s="335"/>
      <c r="M139" s="335"/>
      <c r="N139" s="335"/>
      <c r="O139" s="335"/>
      <c r="P139" s="335"/>
    </row>
    <row r="140" spans="1:16" ht="30" customHeight="1">
      <c r="A140" s="335" t="str">
        <f>IFERROR(INDEX(PMIS_Trade_Notes!$A$2:$A$40,2),"")</f>
        <v>02</v>
      </c>
      <c r="B140" s="335" t="str">
        <f>IF($A140="","",IFERROR(INDEX(PMIS_Trade_Notes!$J$2:$J$40,2),""))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140" s="335"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5"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5"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5"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5"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5"/>
      <c r="I140" s="525"/>
      <c r="J140" s="335"/>
      <c r="K140" s="335"/>
      <c r="L140" s="335"/>
      <c r="M140" s="335"/>
      <c r="N140" s="335"/>
      <c r="O140" s="335"/>
      <c r="P140" s="335"/>
    </row>
    <row r="141" spans="1:16" ht="30" customHeight="1">
      <c r="A141" s="335" t="str">
        <f>IFERROR(INDEX(PMIS_Trade_Notes!$A$2:$A$40,3),"")</f>
        <v>03</v>
      </c>
      <c r="B141" s="335" t="str">
        <f>IF($A141="","",IFERROR(INDEX(PMIS_Trade_Notes!$J$2:$J$40,3),""))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141" s="335"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5"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5"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5"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5"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5"/>
      <c r="I141" s="525"/>
      <c r="J141" s="335"/>
      <c r="K141" s="335"/>
      <c r="L141" s="335"/>
      <c r="M141" s="335"/>
      <c r="N141" s="335"/>
      <c r="O141" s="335"/>
      <c r="P141" s="335"/>
    </row>
    <row r="142" spans="1:16" ht="30" customHeight="1">
      <c r="A142" s="335" t="str">
        <f>IFERROR(INDEX(PMIS_Trade_Notes!$A$2:$A$40,4),"")</f>
        <v>04</v>
      </c>
      <c r="B142" s="335" t="str">
        <f>IF($A142="","",IFERROR(INDEX(PMIS_Trade_Notes!$J$2:$J$40,4),""))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142" s="335" t="str">
        <f>IF($A142="","",IFERROR(INDEX(PMIS_Trade_Notes!$K$2:$K$40,4),""))</f>
        <v>B04 has multiple TRs across basement/first/second levels; field verification, abatement coordination, cooling power, firestopping, and cutover phasing remain open.</v>
      </c>
      <c r="D142" s="335"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5"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5"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5"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5"/>
      <c r="I142" s="525"/>
      <c r="J142" s="335"/>
      <c r="K142" s="335"/>
      <c r="L142" s="335"/>
      <c r="M142" s="335"/>
      <c r="N142" s="335"/>
      <c r="O142" s="335"/>
      <c r="P142" s="335"/>
    </row>
    <row r="143" spans="1:16" ht="30" customHeight="1">
      <c r="A143" s="335" t="str">
        <f>IFERROR(INDEX(PMIS_Trade_Notes!$A$2:$A$40,5),"")</f>
        <v>05</v>
      </c>
      <c r="B143" s="335" t="str">
        <f>IF($A143="","",IFERROR(INDEX(PMIS_Trade_Notes!$J$2:$J$40,5),""))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143" s="335" t="str">
        <f>IF($A143="","",IFERROR(INDEX(PMIS_Trade_Notes!$K$2:$K$40,5),""))</f>
        <v>Building 05 receives a Telecom Enclosure only; mechanical and fire protection scope is excluded, so TE power, telecom cutover, existing room conditions, and fire/life-safety interfaces must be verified.</v>
      </c>
      <c r="D143" s="335"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5"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5"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5"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5"/>
      <c r="I143" s="525"/>
      <c r="J143" s="335"/>
      <c r="K143" s="335"/>
      <c r="L143" s="335"/>
      <c r="M143" s="335"/>
      <c r="N143" s="335"/>
      <c r="O143" s="335"/>
      <c r="P143" s="335"/>
    </row>
    <row r="144" spans="1:16" ht="30" customHeight="1">
      <c r="A144" s="335" t="str">
        <f>IFERROR(INDEX(PMIS_Trade_Notes!$A$2:$A$40,6),"")</f>
        <v>06</v>
      </c>
      <c r="B144" s="335" t="str">
        <f>IF($A144="","",IFERROR(INDEX(PMIS_Trade_Notes!$J$2:$J$40,6),""))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144" s="335" t="str">
        <f>IF($A144="","",IFERROR(INDEX(PMIS_Trade_Notes!$K$2:$K$40,6),""))</f>
        <v>Building 06 has active existing telecom equipment plus new TR work in Rooms 178 and 233; field verification, cutover phasing, cooling, firestopping, and emergency power remain open.</v>
      </c>
      <c r="D144" s="335"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5"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5"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5"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5"/>
      <c r="I144" s="525"/>
      <c r="J144" s="335"/>
      <c r="K144" s="335"/>
      <c r="L144" s="335"/>
      <c r="M144" s="335"/>
      <c r="N144" s="335"/>
      <c r="O144" s="335"/>
      <c r="P144" s="335"/>
    </row>
    <row r="145" spans="1:16" ht="30" customHeight="1">
      <c r="A145" s="335" t="str">
        <f>IFERROR(INDEX(PMIS_Trade_Notes!$A$2:$A$40,7),"")</f>
        <v>07</v>
      </c>
      <c r="B145" s="335" t="str">
        <f>IF($A145="","",IFERROR(INDEX(PMIS_Trade_Notes!$J$2:$J$40,7),""))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145" s="335" t="str">
        <f>IF($A145="","",IFERROR(INDEX(PMIS_Trade_Notes!$K$2:$K$40,7),""))</f>
        <v>Building 07 includes basement TR B-18 and second-level TR 228A; field verification, active-service cutover, cooling, firestopping, rated construction, and power source confirmation remain open.</v>
      </c>
      <c r="D145" s="335"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5"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5"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5"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5"/>
      <c r="I145" s="525"/>
      <c r="J145" s="335"/>
      <c r="K145" s="335"/>
      <c r="L145" s="335"/>
      <c r="M145" s="335"/>
      <c r="N145" s="335"/>
      <c r="O145" s="335"/>
      <c r="P145" s="335"/>
    </row>
    <row r="146" spans="1:16" ht="30" customHeight="1">
      <c r="A146" s="335" t="str">
        <f>IFERROR(INDEX(PMIS_Trade_Notes!$A$2:$A$40,8),"")</f>
        <v>08</v>
      </c>
      <c r="B146" s="335" t="str">
        <f>IF($A146="","",IFERROR(INDEX(PMIS_Trade_Notes!$J$2:$J$40,8),""))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146" s="335"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5"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5"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5"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5"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5"/>
      <c r="I146" s="525"/>
      <c r="J146" s="335"/>
      <c r="K146" s="335"/>
      <c r="L146" s="335"/>
      <c r="M146" s="335"/>
      <c r="N146" s="335"/>
      <c r="O146" s="335"/>
      <c r="P146" s="335"/>
    </row>
    <row r="147" spans="1:16" ht="30" customHeight="1">
      <c r="A147" s="335" t="str">
        <f>IFERROR(INDEX(PMIS_Trade_Notes!$A$2:$A$40,9),"")</f>
        <v>09</v>
      </c>
      <c r="B147" s="335" t="str">
        <f>IF($A147="","",IFERROR(INDEX(PMIS_Trade_Notes!$J$2:$J$40,9),""))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147" s="335"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5"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5"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5"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5"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5"/>
      <c r="I147" s="525"/>
      <c r="J147" s="335"/>
      <c r="K147" s="335"/>
      <c r="L147" s="335"/>
      <c r="M147" s="335"/>
      <c r="N147" s="335"/>
      <c r="O147" s="335"/>
      <c r="P147" s="335"/>
    </row>
    <row r="148" spans="1:16" ht="30" customHeight="1">
      <c r="A148" s="335" t="str">
        <f>IFERROR(INDEX(PMIS_Trade_Notes!$A$2:$A$40,10),"")</f>
        <v>10</v>
      </c>
      <c r="B148" s="335" t="str">
        <f>IF($A148="","",IFERROR(INDEX(PMIS_Trade_Notes!$J$2:$J$40,10),""))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148" s="335"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5"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5"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5"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5"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5"/>
      <c r="I148" s="525"/>
      <c r="J148" s="335"/>
      <c r="K148" s="335"/>
      <c r="L148" s="335"/>
      <c r="M148" s="335"/>
      <c r="N148" s="335"/>
      <c r="O148" s="335"/>
      <c r="P148" s="335"/>
    </row>
    <row r="149" spans="1:16" ht="30" customHeight="1">
      <c r="A149" s="335" t="str">
        <f>IFERROR(INDEX(PMIS_Trade_Notes!$A$2:$A$40,11),"")</f>
        <v>12</v>
      </c>
      <c r="B149" s="335" t="str">
        <f>IF($A149="","",IFERROR(INDEX(PMIS_Trade_Notes!$J$2:$J$40,11),""))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149" s="335"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5" t="str">
        <f>IF($A149="","",IFERROR(INDEX(PMIS_Trade_Notes!$D$2:$D$40,11),""))</f>
        <v>• No fire protection drawing package beyond general notes; verify penetrations/firestopping for fiber pull-through route.
• No new TR/FEC shown; verify no rated assemblies are compromised by fiber pathway work.</v>
      </c>
      <c r="E149" s="335" t="str">
        <f>IF($A149="","",IFERROR(INDEX(PMIS_Trade_Notes!$E$2:$E$40,11),""))</f>
        <v>• No HVAC drawing package for Building 12; fiber-only scope does not indicate new cooling equipment.
• Field verify existing environmental conditions only if existing service point/equipment is accessed.</v>
      </c>
      <c r="F149" s="335" t="str">
        <f>IF($A149="","",IFERROR(INDEX(PMIS_Trade_Notes!$F$2:$F$40,11),""))</f>
        <v>• No electrical drawing package for Building 12; no new panel/UPS/PDU/rack receptacle scope shown.
• Confirm whether any existing equipment is touched. Scope appears limited to fiber pull-through and testing/labeling.</v>
      </c>
      <c r="G149" s="335"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5"/>
      <c r="I149" s="525"/>
      <c r="J149" s="335"/>
      <c r="K149" s="335"/>
      <c r="L149" s="335"/>
      <c r="M149" s="335"/>
      <c r="N149" s="335"/>
      <c r="O149" s="335"/>
      <c r="P149" s="335"/>
    </row>
    <row r="150" spans="1:16" ht="30" customHeight="1">
      <c r="A150" s="335" t="str">
        <f>IFERROR(INDEX(PMIS_Trade_Notes!$A$2:$A$40,12),"")</f>
        <v>13</v>
      </c>
      <c r="B150" s="335" t="str">
        <f>IF($A150="","",IFERROR(INDEX(PMIS_Trade_Notes!$J$2:$J$40,12),""))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150" s="335"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5"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5"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5"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5"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5"/>
      <c r="I150" s="525"/>
      <c r="J150" s="335"/>
      <c r="K150" s="335"/>
      <c r="L150" s="335"/>
      <c r="M150" s="335"/>
      <c r="N150" s="335"/>
      <c r="O150" s="335"/>
      <c r="P150" s="335"/>
    </row>
    <row r="151" spans="1:16" ht="30" customHeight="1">
      <c r="A151" s="335" t="str">
        <f>IFERROR(INDEX(PMIS_Trade_Notes!$A$2:$A$40,13),"")</f>
        <v>14</v>
      </c>
      <c r="B151" s="335" t="str">
        <f>IF($A151="","",IFERROR(INDEX(PMIS_Trade_Notes!$J$2:$J$40,13),""))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C151" s="335"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5"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5"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5"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5"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5"/>
      <c r="I151" s="525"/>
      <c r="J151" s="335"/>
      <c r="K151" s="335"/>
      <c r="L151" s="335"/>
      <c r="M151" s="335"/>
      <c r="N151" s="335"/>
      <c r="O151" s="335"/>
      <c r="P151" s="335"/>
    </row>
    <row r="152" spans="1:16" ht="30" customHeight="1">
      <c r="A152" s="335" t="str">
        <f>IFERROR(INDEX(PMIS_Trade_Notes!$A$2:$A$40,14),"")</f>
        <v>15</v>
      </c>
      <c r="B152" s="335" t="str">
        <f>IF($A152="","",IFERROR(INDEX(PMIS_Trade_Notes!$J$2:$J$40,14),""))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C152" s="335"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5"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5"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5"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5"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5"/>
      <c r="I152" s="525"/>
      <c r="J152" s="335"/>
      <c r="K152" s="335"/>
      <c r="L152" s="335"/>
      <c r="M152" s="335"/>
      <c r="N152" s="335"/>
      <c r="O152" s="335"/>
      <c r="P152" s="335"/>
    </row>
    <row r="153" spans="1:16" ht="30" customHeight="1">
      <c r="A153" s="335" t="str">
        <f>IFERROR(INDEX(PMIS_Trade_Notes!$A$2:$A$40,15),"")</f>
        <v>16</v>
      </c>
      <c r="B153" s="335" t="str">
        <f>IF($A153="","",IFERROR(INDEX(PMIS_Trade_Notes!$J$2:$J$40,15),""))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C153" s="335"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5"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5"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5"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5"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5"/>
      <c r="I153" s="525"/>
      <c r="J153" s="335"/>
      <c r="K153" s="335"/>
      <c r="L153" s="335"/>
      <c r="M153" s="335"/>
      <c r="N153" s="335"/>
      <c r="O153" s="335"/>
      <c r="P153" s="335"/>
    </row>
    <row r="154" spans="1:16" ht="30" customHeight="1">
      <c r="A154" s="335" t="str">
        <f>IFERROR(INDEX(PMIS_Trade_Notes!$A$2:$A$40,16),"")</f>
        <v>17</v>
      </c>
      <c r="B154" s="335" t="str">
        <f>IF($A154="","",IFERROR(INDEX(PMIS_Trade_Notes!$J$2:$J$40,16),""))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C154" s="335"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5"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5"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5"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5"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5"/>
      <c r="I154" s="525"/>
      <c r="J154" s="335"/>
      <c r="K154" s="335"/>
      <c r="L154" s="335"/>
      <c r="M154" s="335"/>
      <c r="N154" s="335"/>
      <c r="O154" s="335"/>
      <c r="P154" s="335"/>
    </row>
    <row r="155" spans="1:16" ht="30" customHeight="1">
      <c r="A155" s="335" t="str">
        <f>IFERROR(INDEX(PMIS_Trade_Notes!$A$2:$A$40,17),"")</f>
        <v>18</v>
      </c>
      <c r="B155" s="335" t="str">
        <f>IF($A155="","",IFERROR(INDEX(PMIS_Trade_Notes!$J$2:$J$40,17),""))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C155" s="335"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5"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5"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5"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5"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5"/>
      <c r="I155" s="525"/>
      <c r="J155" s="335"/>
      <c r="K155" s="335"/>
      <c r="L155" s="335"/>
      <c r="M155" s="335"/>
      <c r="N155" s="335"/>
      <c r="O155" s="335"/>
      <c r="P155" s="335"/>
    </row>
    <row r="156" spans="1:16" ht="30" customHeight="1">
      <c r="A156" s="335" t="str">
        <f>IFERROR(INDEX(PMIS_Trade_Notes!$A$2:$A$40,18),"")</f>
        <v>20</v>
      </c>
      <c r="B156" s="335" t="str">
        <f>IF($A156="","",IFERROR(INDEX(PMIS_Trade_Notes!$J$2:$J$40,18),""))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C156" s="335"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5"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5"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5"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5"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5"/>
      <c r="I156" s="525"/>
      <c r="J156" s="335"/>
      <c r="K156" s="335"/>
      <c r="L156" s="335"/>
      <c r="M156" s="335"/>
      <c r="N156" s="335"/>
      <c r="O156" s="335"/>
      <c r="P156" s="335"/>
    </row>
    <row r="157" spans="1:16" ht="30" customHeight="1">
      <c r="A157" s="335" t="str">
        <f>IFERROR(INDEX(PMIS_Trade_Notes!$A$2:$A$40,19),"")</f>
        <v>21</v>
      </c>
      <c r="B157" s="335" t="str">
        <f>IF($A157="","",IFERROR(INDEX(PMIS_Trade_Notes!$J$2:$J$40,19),""))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C157" s="335"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5"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5"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5"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5"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5"/>
      <c r="I157" s="525"/>
      <c r="J157" s="335"/>
      <c r="K157" s="335"/>
      <c r="L157" s="335"/>
      <c r="M157" s="335"/>
      <c r="N157" s="335"/>
      <c r="O157" s="335"/>
      <c r="P157" s="335"/>
    </row>
    <row r="158" spans="1:16" ht="30" customHeight="1">
      <c r="A158" s="335" t="str">
        <f>IFERROR(INDEX(PMIS_Trade_Notes!$A$2:$A$40,20),"")</f>
        <v>22</v>
      </c>
      <c r="B158" s="335" t="str">
        <f>IF($A158="","",IFERROR(INDEX(PMIS_Trade_Notes!$J$2:$J$40,20),""))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C158" s="335"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5"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5"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5"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5"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5"/>
      <c r="I158" s="525"/>
      <c r="J158" s="335"/>
      <c r="K158" s="335"/>
      <c r="L158" s="335"/>
      <c r="M158" s="335"/>
      <c r="N158" s="335"/>
      <c r="O158" s="335"/>
      <c r="P158" s="335"/>
    </row>
    <row r="159" spans="1:16" ht="30" customHeight="1">
      <c r="A159" s="335" t="str">
        <f>IFERROR(INDEX(PMIS_Trade_Notes!$A$2:$A$40,21),"")</f>
        <v>33</v>
      </c>
      <c r="B159" s="335" t="str">
        <f>IF($A159="","",IFERROR(INDEX(PMIS_Trade_Notes!$J$2:$J$40,21),""))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C159" s="335"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5"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5"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5"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5"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5"/>
      <c r="I159" s="525"/>
      <c r="J159" s="335"/>
      <c r="K159" s="335"/>
      <c r="L159" s="335"/>
      <c r="M159" s="335"/>
      <c r="N159" s="335"/>
      <c r="O159" s="335"/>
      <c r="P159" s="335"/>
    </row>
    <row r="160" spans="1:16" ht="30" customHeight="1">
      <c r="A160" s="335" t="str">
        <f>IFERROR(INDEX(PMIS_Trade_Notes!$A$2:$A$40,22),"")</f>
        <v>61</v>
      </c>
      <c r="B160" s="335" t="str">
        <f>IF($A160="","",IFERROR(INDEX(PMIS_Trade_Notes!$J$2:$J$40,22),""))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C160" s="335"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5"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5"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5"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5"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5"/>
      <c r="I160" s="525"/>
      <c r="J160" s="335"/>
      <c r="K160" s="335"/>
      <c r="L160" s="335"/>
      <c r="M160" s="335"/>
      <c r="N160" s="335"/>
      <c r="O160" s="335"/>
      <c r="P160" s="335"/>
    </row>
    <row r="161" spans="1:16" ht="30" customHeight="1">
      <c r="A161" s="335" t="str">
        <f>IFERROR(INDEX(PMIS_Trade_Notes!$A$2:$A$40,23),"")</f>
        <v>62</v>
      </c>
      <c r="B161" s="335" t="str">
        <f>IF($A161="","",IFERROR(INDEX(PMIS_Trade_Notes!$J$2:$J$40,23),""))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C161" s="335" t="str">
        <f>IF($A161="","",IFERROR(INDEX(PMIS_Trade_Notes!$K$2:$K$40,23),""))</f>
        <v>Cooling / emergency power not verified</v>
      </c>
      <c r="D161" s="335" t="str">
        <f>IF($A161="","",IFERROR(INDEX(PMIS_Trade_Notes!$D$2:$D$40,23),""))</f>
        <v>• No fire / life safety items captured for this building.</v>
      </c>
      <c r="E161" s="335" t="str">
        <f>IF($A161="","",IFERROR(INDEX(PMIS_Trade_Notes!$E$2:$E$40,23),""))</f>
        <v>• No hvac / cooling items captured for this building.</v>
      </c>
      <c r="F161" s="335" t="str">
        <f>IF($A161="","",IFERROR(INDEX(PMIS_Trade_Notes!$F$2:$F$40,23),""))</f>
        <v>• No electrical / ups items captured for this building.</v>
      </c>
      <c r="G161" s="335" t="str">
        <f>IF($A161="","",IFERROR(INDEX(PMIS_Trade_Notes!$G$2:$G$40,23),""))</f>
        <v>• No telecom / fiber items captured for this building.</v>
      </c>
      <c r="H161" s="525"/>
      <c r="I161" s="525"/>
      <c r="J161" s="335"/>
      <c r="K161" s="335"/>
      <c r="L161" s="335"/>
      <c r="M161" s="335"/>
      <c r="N161" s="335"/>
      <c r="O161" s="335"/>
      <c r="P161" s="335"/>
    </row>
    <row r="162" spans="1:16" ht="30" customHeight="1">
      <c r="A162" s="335" t="str">
        <f>IFERROR(INDEX(PMIS_Trade_Notes!$A$2:$A$40,24),"")</f>
        <v>70</v>
      </c>
      <c r="B162" s="335" t="str">
        <f>IF($A162="","",IFERROR(INDEX(PMIS_Trade_Notes!$J$2:$J$40,24),""))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C162" s="335" t="str">
        <f>IF($A162="","",IFERROR(INDEX(PMIS_Trade_Notes!$K$2:$K$40,24),""))</f>
        <v>Cooling / emergency power and existing TR phasing not verified</v>
      </c>
      <c r="D162" s="335" t="str">
        <f>IF($A162="","",IFERROR(INDEX(PMIS_Trade_Notes!$D$2:$D$40,24),""))</f>
        <v>• No fire / life safety items captured for this building.</v>
      </c>
      <c r="E162" s="335" t="str">
        <f>IF($A162="","",IFERROR(INDEX(PMIS_Trade_Notes!$E$2:$E$40,24),""))</f>
        <v>• No hvac / cooling items captured for this building.</v>
      </c>
      <c r="F162" s="335" t="str">
        <f>IF($A162="","",IFERROR(INDEX(PMIS_Trade_Notes!$F$2:$F$40,24),""))</f>
        <v>• No electrical / ups items captured for this building.</v>
      </c>
      <c r="G162" s="335" t="str">
        <f>IF($A162="","",IFERROR(INDEX(PMIS_Trade_Notes!$G$2:$G$40,24),""))</f>
        <v>• No telecom / fiber items captured for this building.</v>
      </c>
      <c r="H162" s="525"/>
      <c r="I162" s="525"/>
      <c r="J162" s="335"/>
      <c r="K162" s="335"/>
      <c r="L162" s="335"/>
      <c r="M162" s="335"/>
      <c r="N162" s="335"/>
      <c r="O162" s="335"/>
      <c r="P162" s="335"/>
    </row>
    <row r="163" spans="1:16" ht="30" customHeight="1">
      <c r="A163" s="335" t="str">
        <f>IFERROR(INDEX(PMIS_Trade_Notes!$A$2:$A$40,25),"")</f>
        <v>78</v>
      </c>
      <c r="B163" s="335" t="str">
        <f>IF($A163="","",IFERROR(INDEX(PMIS_Trade_Notes!$J$2:$J$40,25),""))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C163" s="335"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5"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163" s="335"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163" s="335"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163" s="335"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163" s="525"/>
      <c r="I163" s="525"/>
      <c r="J163" s="335"/>
      <c r="K163" s="335"/>
      <c r="L163" s="335"/>
      <c r="M163" s="335"/>
      <c r="N163" s="335"/>
      <c r="O163" s="335"/>
      <c r="P163" s="335"/>
    </row>
    <row r="164" spans="1:16" ht="30" customHeight="1">
      <c r="A164" s="335" t="str">
        <f>IFERROR(INDEX(PMIS_Trade_Notes!$A$2:$A$40,26),"")</f>
        <v>80</v>
      </c>
      <c r="B164" s="335" t="str">
        <f>IF($A164="","",IFERROR(INDEX(PMIS_Trade_Notes!$J$2:$J$40,26),""))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C164" s="335"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5"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5"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5"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5"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5"/>
      <c r="I164" s="525"/>
      <c r="J164" s="335"/>
      <c r="K164" s="335"/>
      <c r="L164" s="335"/>
      <c r="M164" s="335"/>
      <c r="N164" s="335"/>
      <c r="O164" s="335"/>
      <c r="P164" s="335"/>
    </row>
    <row r="165" spans="1:16" ht="30" customHeight="1">
      <c r="A165" s="335" t="str">
        <f>IFERROR(INDEX(PMIS_Trade_Notes!$A$2:$A$40,27),"")</f>
        <v>82</v>
      </c>
      <c r="B165" s="335" t="str">
        <f>IF($A165="","",IFERROR(INDEX(PMIS_Trade_Notes!$J$2:$J$40,27),""))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C165" s="335"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5"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5"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5"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5"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5"/>
      <c r="I165" s="525"/>
      <c r="J165" s="335"/>
      <c r="K165" s="335"/>
      <c r="L165" s="335"/>
      <c r="M165" s="335"/>
      <c r="N165" s="335"/>
      <c r="O165" s="335"/>
      <c r="P165" s="335"/>
    </row>
    <row r="166" spans="1:16" ht="30" customHeight="1">
      <c r="A166" s="335" t="str">
        <f>IFERROR(INDEX(PMIS_Trade_Notes!$A$2:$A$40,28),"")</f>
        <v>BCH</v>
      </c>
      <c r="B166" s="335" t="str">
        <f>IF($A166="","",IFERROR(INDEX(PMIS_Trade_Notes!$J$2:$J$40,28),""))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C166" s="335"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5"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5"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5"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5"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5"/>
      <c r="I166" s="525"/>
      <c r="J166" s="335"/>
      <c r="K166" s="335"/>
      <c r="L166" s="335"/>
      <c r="M166" s="335"/>
      <c r="N166" s="335"/>
      <c r="O166" s="335"/>
      <c r="P166" s="335"/>
    </row>
    <row r="167" spans="1:16" ht="30" customHeight="1">
      <c r="A167" s="335" t="str">
        <f>IFERROR(INDEX(PMIS_Trade_Notes!$A$2:$A$40,29),"")</f>
        <v>MCR</v>
      </c>
      <c r="B167" s="335" t="str">
        <f>IF($A167="","",IFERROR(INDEX(PMIS_Trade_Notes!$J$2:$J$40,29),""))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C167" s="335"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5"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5"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5"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5"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5"/>
      <c r="I167" s="525"/>
      <c r="J167" s="335"/>
      <c r="K167" s="335"/>
      <c r="L167" s="335"/>
      <c r="M167" s="335"/>
      <c r="N167" s="335"/>
      <c r="O167" s="335"/>
      <c r="P167" s="335"/>
    </row>
    <row r="168" spans="1:16" ht="30" customHeight="1">
      <c r="A168" s="335" t="str">
        <f>IFERROR(INDEX(PMIS_Trade_Notes!$A$2:$A$40,30),"")</f>
        <v>SPEC</v>
      </c>
      <c r="B168" s="335" t="str">
        <f>IF($A168="","",IFERROR(INDEX(PMIS_Trade_Notes!$J$2:$J$40,30),""))</f>
        <v>• No open questions items captured for this building.</v>
      </c>
      <c r="C168" s="335">
        <f>IF($A168="","",IFERROR(INDEX(PMIS_Trade_Notes!$K$2:$K$40,30),""))</f>
        <v>0</v>
      </c>
      <c r="D168" s="335" t="str">
        <f>IF($A168="","",IFERROR(INDEX(PMIS_Trade_Notes!$D$2:$D$40,30),""))</f>
        <v>• No fire / life safety items captured for this building.</v>
      </c>
      <c r="E168" s="335" t="str">
        <f>IF($A168="","",IFERROR(INDEX(PMIS_Trade_Notes!$E$2:$E$40,30),""))</f>
        <v>• No hvac / cooling items captured for this building.</v>
      </c>
      <c r="F168" s="335" t="str">
        <f>IF($A168="","",IFERROR(INDEX(PMIS_Trade_Notes!$F$2:$F$40,30),""))</f>
        <v>• No electrical / ups items captured for this building.</v>
      </c>
      <c r="G168" s="335" t="str">
        <f>IF($A168="","",IFERROR(INDEX(PMIS_Trade_Notes!$G$2:$G$40,30),""))</f>
        <v>• No telecom / fiber items captured for this building.</v>
      </c>
      <c r="H168" s="525"/>
      <c r="I168" s="525"/>
      <c r="J168" s="335"/>
      <c r="K168" s="335"/>
      <c r="L168" s="335"/>
      <c r="M168" s="335"/>
      <c r="N168" s="335"/>
      <c r="O168" s="335"/>
      <c r="P168" s="335"/>
    </row>
    <row r="169" spans="1:16">
      <c r="A169" s="335"/>
      <c r="B169" s="335"/>
      <c r="C169" s="335"/>
      <c r="D169" s="335"/>
      <c r="E169" s="335"/>
      <c r="F169" s="335"/>
      <c r="G169" s="335"/>
      <c r="H169" s="525"/>
      <c r="I169" s="525"/>
      <c r="J169" s="335"/>
      <c r="K169" s="335"/>
      <c r="L169" s="335"/>
      <c r="M169" s="335"/>
      <c r="N169" s="335"/>
      <c r="O169" s="335"/>
      <c r="P169" s="335"/>
    </row>
    <row r="170" spans="1:16">
      <c r="A170" s="335"/>
      <c r="B170" s="335"/>
      <c r="C170" s="335"/>
      <c r="D170" s="335"/>
      <c r="E170" s="335"/>
      <c r="F170" s="335"/>
      <c r="G170" s="335"/>
      <c r="H170" s="525"/>
      <c r="I170" s="525"/>
      <c r="J170" s="335"/>
      <c r="K170" s="335"/>
      <c r="L170" s="335"/>
      <c r="M170" s="335"/>
      <c r="N170" s="335"/>
      <c r="O170" s="335"/>
      <c r="P170" s="335"/>
    </row>
    <row r="171" spans="1:16" ht="15">
      <c r="A171" s="910" t="s">
        <v>5817</v>
      </c>
      <c r="B171" s="910"/>
      <c r="C171" s="910"/>
      <c r="D171" s="910"/>
      <c r="E171" s="910"/>
      <c r="F171" s="910"/>
      <c r="G171" s="910"/>
      <c r="H171" s="911"/>
      <c r="I171" s="911"/>
      <c r="J171" s="910"/>
      <c r="K171" s="910"/>
      <c r="L171" s="910"/>
      <c r="M171" s="910"/>
      <c r="N171" s="910"/>
      <c r="O171" s="910"/>
      <c r="P171" s="910"/>
    </row>
    <row r="172" spans="1:16">
      <c r="A172" s="532" t="s">
        <v>142</v>
      </c>
      <c r="B172" s="532" t="s">
        <v>151</v>
      </c>
      <c r="C172" s="532" t="s">
        <v>154</v>
      </c>
      <c r="D172" s="532" t="s">
        <v>896</v>
      </c>
      <c r="E172" s="532" t="s">
        <v>148</v>
      </c>
      <c r="F172" s="532" t="s">
        <v>153</v>
      </c>
      <c r="G172" s="532" t="s">
        <v>155</v>
      </c>
      <c r="H172" s="536" t="s">
        <v>556</v>
      </c>
      <c r="I172" s="525"/>
      <c r="J172" s="335"/>
      <c r="K172" s="335"/>
      <c r="L172" s="335"/>
      <c r="M172" s="335"/>
      <c r="N172" s="335"/>
      <c r="O172" s="335"/>
      <c r="P172" s="335"/>
    </row>
    <row r="173" spans="1:16">
      <c r="A173" s="335" t="str">
        <f>IFERROR(INDEX(PMIS_Data!$A$3:$A$40,1),"")</f>
        <v>01</v>
      </c>
      <c r="B173" s="335" t="str">
        <f>IF($A173="","",IFERROR(INDEX(PMIS_Data!$C$3:$C$40,1),""))</f>
        <v>Yellow</v>
      </c>
      <c r="C173" s="335" t="str">
        <f>IF($A173="","",IFERROR(INDEX(PMIS_Data!$F$3:$F$40,1),""))</f>
        <v>No</v>
      </c>
      <c r="D173" s="335" t="str">
        <f>IF($A173="","",IFERROR(INDEX(PMIS_Data!$N$3:$N$40,1),""))</f>
        <v>Verify</v>
      </c>
      <c r="E173" s="335" t="str">
        <f>IF($A173="","",IFERROR(INDEX(PMIS_Data!$K$3:$K$40,1),""))</f>
        <v>Verify</v>
      </c>
      <c r="F173" s="335" t="str">
        <f>IF($A173="","",IFERROR(INDEX(PMIS_Data!$L$3:$L$40,1),""))</f>
        <v>Verify</v>
      </c>
      <c r="G173" s="335" t="str">
        <f>IF($A173="","",IFERROR(INDEX(PMIS_Data!$M$3:$M$40,1),""))</f>
        <v>Verify</v>
      </c>
      <c r="H173" s="525" t="str">
        <f>IF($A173="","",IFERROR(INDEX(PMIS_Data!$P$3:$P$40,1),""))</f>
        <v>Verify</v>
      </c>
      <c r="I173" s="525"/>
      <c r="J173" s="335"/>
      <c r="K173" s="335"/>
      <c r="L173" s="335"/>
      <c r="M173" s="335"/>
      <c r="N173" s="335"/>
      <c r="O173" s="335"/>
      <c r="P173" s="335"/>
    </row>
    <row r="174" spans="1:16">
      <c r="A174" s="335" t="str">
        <f>IFERROR(INDEX(PMIS_Data!$A$3:$A$40,2),"")</f>
        <v>02</v>
      </c>
      <c r="B174" s="335" t="str">
        <f>IF($A174="","",IFERROR(INDEX(PMIS_Data!$C$3:$C$40,2),""))</f>
        <v>Yellow</v>
      </c>
      <c r="C174" s="335" t="str">
        <f>IF($A174="","",IFERROR(INDEX(PMIS_Data!$F$3:$F$40,2),""))</f>
        <v>No</v>
      </c>
      <c r="D174" s="335" t="str">
        <f>IF($A174="","",IFERROR(INDEX(PMIS_Data!$N$3:$N$40,2),""))</f>
        <v>Verify</v>
      </c>
      <c r="E174" s="335" t="str">
        <f>IF($A174="","",IFERROR(INDEX(PMIS_Data!$K$3:$K$40,2),""))</f>
        <v>Verify</v>
      </c>
      <c r="F174" s="335" t="str">
        <f>IF($A174="","",IFERROR(INDEX(PMIS_Data!$L$3:$L$40,2),""))</f>
        <v>Verify</v>
      </c>
      <c r="G174" s="335" t="str">
        <f>IF($A174="","",IFERROR(INDEX(PMIS_Data!$M$3:$M$40,2),""))</f>
        <v>Verify</v>
      </c>
      <c r="H174" s="525" t="str">
        <f>IF($A174="","",IFERROR(INDEX(PMIS_Data!$P$3:$P$40,2),""))</f>
        <v>Verify</v>
      </c>
      <c r="I174" s="525"/>
      <c r="J174" s="335"/>
      <c r="K174" s="335"/>
      <c r="L174" s="335"/>
      <c r="M174" s="335"/>
      <c r="N174" s="335"/>
      <c r="O174" s="335"/>
      <c r="P174" s="335"/>
    </row>
    <row r="175" spans="1:16">
      <c r="A175" s="335" t="str">
        <f>IFERROR(INDEX(PMIS_Data!$A$3:$A$40,3),"")</f>
        <v>03</v>
      </c>
      <c r="B175" s="335" t="str">
        <f>IF($A175="","",IFERROR(INDEX(PMIS_Data!$C$3:$C$40,3),""))</f>
        <v>Yellow</v>
      </c>
      <c r="C175" s="335" t="str">
        <f>IF($A175="","",IFERROR(INDEX(PMIS_Data!$F$3:$F$40,3),""))</f>
        <v>No</v>
      </c>
      <c r="D175" s="335" t="str">
        <f>IF($A175="","",IFERROR(INDEX(PMIS_Data!$N$3:$N$40,3),""))</f>
        <v>Verify</v>
      </c>
      <c r="E175" s="335" t="str">
        <f>IF($A175="","",IFERROR(INDEX(PMIS_Data!$K$3:$K$40,3),""))</f>
        <v>Verify</v>
      </c>
      <c r="F175" s="335" t="str">
        <f>IF($A175="","",IFERROR(INDEX(PMIS_Data!$L$3:$L$40,3),""))</f>
        <v>Verify</v>
      </c>
      <c r="G175" s="335" t="str">
        <f>IF($A175="","",IFERROR(INDEX(PMIS_Data!$M$3:$M$40,3),""))</f>
        <v>Verify</v>
      </c>
      <c r="H175" s="525" t="str">
        <f>IF($A175="","",IFERROR(INDEX(PMIS_Data!$P$3:$P$40,3),""))</f>
        <v>Verify</v>
      </c>
      <c r="I175" s="525"/>
      <c r="J175" s="335"/>
      <c r="K175" s="335"/>
      <c r="L175" s="335"/>
      <c r="M175" s="335"/>
      <c r="N175" s="335"/>
      <c r="O175" s="335"/>
      <c r="P175" s="335"/>
    </row>
    <row r="176" spans="1:16">
      <c r="A176" s="335" t="str">
        <f>IFERROR(INDEX(PMIS_Data!$A$3:$A$40,4),"")</f>
        <v>04</v>
      </c>
      <c r="B176" s="335" t="str">
        <f>IF($A176="","",IFERROR(INDEX(PMIS_Data!$C$3:$C$40,4),""))</f>
        <v>Yellow</v>
      </c>
      <c r="C176" s="335" t="str">
        <f>IF($A176="","",IFERROR(INDEX(PMIS_Data!$F$3:$F$40,4),""))</f>
        <v>No</v>
      </c>
      <c r="D176" s="335" t="str">
        <f>IF($A176="","",IFERROR(INDEX(PMIS_Data!$N$3:$N$40,4),""))</f>
        <v>Verify</v>
      </c>
      <c r="E176" s="335" t="str">
        <f>IF($A176="","",IFERROR(INDEX(PMIS_Data!$K$3:$K$40,4),""))</f>
        <v>Verify</v>
      </c>
      <c r="F176" s="335" t="str">
        <f>IF($A176="","",IFERROR(INDEX(PMIS_Data!$L$3:$L$40,4),""))</f>
        <v>Verify</v>
      </c>
      <c r="G176" s="335" t="str">
        <f>IF($A176="","",IFERROR(INDEX(PMIS_Data!$M$3:$M$40,4),""))</f>
        <v>Verify</v>
      </c>
      <c r="H176" s="525" t="str">
        <f>IF($A176="","",IFERROR(INDEX(PMIS_Data!$P$3:$P$40,4),""))</f>
        <v>Verify</v>
      </c>
      <c r="I176" s="525"/>
      <c r="J176" s="335"/>
      <c r="K176" s="335"/>
      <c r="L176" s="335"/>
      <c r="M176" s="335"/>
      <c r="N176" s="335"/>
      <c r="O176" s="335"/>
      <c r="P176" s="335"/>
    </row>
    <row r="177" spans="1:16">
      <c r="A177" s="335" t="str">
        <f>IFERROR(INDEX(PMIS_Data!$A$3:$A$40,5),"")</f>
        <v>05</v>
      </c>
      <c r="B177" s="335" t="str">
        <f>IF($A177="","",IFERROR(INDEX(PMIS_Data!$C$3:$C$40,5),""))</f>
        <v>Yellow</v>
      </c>
      <c r="C177" s="335" t="str">
        <f>IF($A177="","",IFERROR(INDEX(PMIS_Data!$F$3:$F$40,5),""))</f>
        <v>No</v>
      </c>
      <c r="D177" s="335" t="str">
        <f>IF($A177="","",IFERROR(INDEX(PMIS_Data!$N$3:$N$40,5),""))</f>
        <v>N/A</v>
      </c>
      <c r="E177" s="335" t="str">
        <f>IF($A177="","",IFERROR(INDEX(PMIS_Data!$K$3:$K$40,5),""))</f>
        <v>N/A</v>
      </c>
      <c r="F177" s="335" t="str">
        <f>IF($A177="","",IFERROR(INDEX(PMIS_Data!$L$3:$L$40,5),""))</f>
        <v>Verify</v>
      </c>
      <c r="G177" s="335" t="str">
        <f>IF($A177="","",IFERROR(INDEX(PMIS_Data!$M$3:$M$40,5),""))</f>
        <v>Verify</v>
      </c>
      <c r="H177" s="525" t="str">
        <f>IF($A177="","",IFERROR(INDEX(PMIS_Data!$P$3:$P$40,5),""))</f>
        <v>Verify</v>
      </c>
      <c r="I177" s="525"/>
      <c r="J177" s="335"/>
      <c r="K177" s="335"/>
      <c r="L177" s="335"/>
      <c r="M177" s="335"/>
      <c r="N177" s="335"/>
      <c r="O177" s="335"/>
      <c r="P177" s="335"/>
    </row>
    <row r="178" spans="1:16">
      <c r="A178" s="335" t="str">
        <f>IFERROR(INDEX(PMIS_Data!$A$3:$A$40,6),"")</f>
        <v>06</v>
      </c>
      <c r="B178" s="335" t="str">
        <f>IF($A178="","",IFERROR(INDEX(PMIS_Data!$C$3:$C$40,6),""))</f>
        <v>Yellow</v>
      </c>
      <c r="C178" s="335" t="str">
        <f>IF($A178="","",IFERROR(INDEX(PMIS_Data!$F$3:$F$40,6),""))</f>
        <v>No</v>
      </c>
      <c r="D178" s="335" t="str">
        <f>IF($A178="","",IFERROR(INDEX(PMIS_Data!$N$3:$N$40,6),""))</f>
        <v>Verify</v>
      </c>
      <c r="E178" s="335" t="str">
        <f>IF($A178="","",IFERROR(INDEX(PMIS_Data!$K$3:$K$40,6),""))</f>
        <v>Verify</v>
      </c>
      <c r="F178" s="335" t="str">
        <f>IF($A178="","",IFERROR(INDEX(PMIS_Data!$L$3:$L$40,6),""))</f>
        <v>Verify</v>
      </c>
      <c r="G178" s="335" t="str">
        <f>IF($A178="","",IFERROR(INDEX(PMIS_Data!$M$3:$M$40,6),""))</f>
        <v>Verify</v>
      </c>
      <c r="H178" s="525" t="str">
        <f>IF($A178="","",IFERROR(INDEX(PMIS_Data!$P$3:$P$40,6),""))</f>
        <v>Verify</v>
      </c>
      <c r="I178" s="525"/>
      <c r="J178" s="335"/>
      <c r="K178" s="335"/>
      <c r="L178" s="335"/>
      <c r="M178" s="335"/>
      <c r="N178" s="335"/>
      <c r="O178" s="335"/>
      <c r="P178" s="335"/>
    </row>
    <row r="179" spans="1:16">
      <c r="A179" s="335" t="str">
        <f>IFERROR(INDEX(PMIS_Data!$A$3:$A$40,7),"")</f>
        <v>07</v>
      </c>
      <c r="B179" s="335" t="str">
        <f>IF($A179="","",IFERROR(INDEX(PMIS_Data!$C$3:$C$40,7),""))</f>
        <v>Yellow</v>
      </c>
      <c r="C179" s="335" t="str">
        <f>IF($A179="","",IFERROR(INDEX(PMIS_Data!$F$3:$F$40,7),""))</f>
        <v>No</v>
      </c>
      <c r="D179" s="335" t="str">
        <f>IF($A179="","",IFERROR(INDEX(PMIS_Data!$N$3:$N$40,7),""))</f>
        <v>Verify</v>
      </c>
      <c r="E179" s="335" t="str">
        <f>IF($A179="","",IFERROR(INDEX(PMIS_Data!$K$3:$K$40,7),""))</f>
        <v>Verify</v>
      </c>
      <c r="F179" s="335" t="str">
        <f>IF($A179="","",IFERROR(INDEX(PMIS_Data!$L$3:$L$40,7),""))</f>
        <v>Verify</v>
      </c>
      <c r="G179" s="335" t="str">
        <f>IF($A179="","",IFERROR(INDEX(PMIS_Data!$M$3:$M$40,7),""))</f>
        <v>Verify</v>
      </c>
      <c r="H179" s="525" t="str">
        <f>IF($A179="","",IFERROR(INDEX(PMIS_Data!$P$3:$P$40,7),""))</f>
        <v>Verify</v>
      </c>
      <c r="I179" s="525"/>
      <c r="J179" s="335"/>
      <c r="K179" s="335"/>
      <c r="L179" s="335"/>
      <c r="M179" s="335"/>
      <c r="N179" s="335"/>
      <c r="O179" s="335"/>
      <c r="P179" s="335"/>
    </row>
    <row r="180" spans="1:16">
      <c r="A180" s="335" t="str">
        <f>IFERROR(INDEX(PMIS_Data!$A$3:$A$40,8),"")</f>
        <v>08</v>
      </c>
      <c r="B180" s="335" t="str">
        <f>IF($A180="","",IFERROR(INDEX(PMIS_Data!$C$3:$C$40,8),""))</f>
        <v>Yellow</v>
      </c>
      <c r="C180" s="335" t="str">
        <f>IF($A180="","",IFERROR(INDEX(PMIS_Data!$F$3:$F$40,8),""))</f>
        <v>No</v>
      </c>
      <c r="D180" s="335" t="str">
        <f>IF($A180="","",IFERROR(INDEX(PMIS_Data!$N$3:$N$40,8),""))</f>
        <v>Verify</v>
      </c>
      <c r="E180" s="335" t="str">
        <f>IF($A180="","",IFERROR(INDEX(PMIS_Data!$K$3:$K$40,8),""))</f>
        <v>Verify</v>
      </c>
      <c r="F180" s="335" t="str">
        <f>IF($A180="","",IFERROR(INDEX(PMIS_Data!$L$3:$L$40,8),""))</f>
        <v>Verify</v>
      </c>
      <c r="G180" s="335" t="str">
        <f>IF($A180="","",IFERROR(INDEX(PMIS_Data!$M$3:$M$40,8),""))</f>
        <v>Verify</v>
      </c>
      <c r="H180" s="525" t="str">
        <f>IF($A180="","",IFERROR(INDEX(PMIS_Data!$P$3:$P$40,8),""))</f>
        <v>Verify</v>
      </c>
      <c r="I180" s="525"/>
      <c r="J180" s="335"/>
      <c r="K180" s="335"/>
      <c r="L180" s="335"/>
      <c r="M180" s="335"/>
      <c r="N180" s="335"/>
      <c r="O180" s="335"/>
      <c r="P180" s="335"/>
    </row>
    <row r="181" spans="1:16">
      <c r="A181" s="335" t="str">
        <f>IFERROR(INDEX(PMIS_Data!$A$3:$A$40,9),"")</f>
        <v>09</v>
      </c>
      <c r="B181" s="335" t="str">
        <f>IF($A181="","",IFERROR(INDEX(PMIS_Data!$C$3:$C$40,9),""))</f>
        <v>Yellow</v>
      </c>
      <c r="C181" s="335" t="str">
        <f>IF($A181="","",IFERROR(INDEX(PMIS_Data!$F$3:$F$40,9),""))</f>
        <v>No</v>
      </c>
      <c r="D181" s="335" t="str">
        <f>IF($A181="","",IFERROR(INDEX(PMIS_Data!$N$3:$N$40,9),""))</f>
        <v>Verify</v>
      </c>
      <c r="E181" s="335" t="str">
        <f>IF($A181="","",IFERROR(INDEX(PMIS_Data!$K$3:$K$40,9),""))</f>
        <v>Verify</v>
      </c>
      <c r="F181" s="335" t="str">
        <f>IF($A181="","",IFERROR(INDEX(PMIS_Data!$L$3:$L$40,9),""))</f>
        <v>Verify</v>
      </c>
      <c r="G181" s="335" t="str">
        <f>IF($A181="","",IFERROR(INDEX(PMIS_Data!$M$3:$M$40,9),""))</f>
        <v>Verify</v>
      </c>
      <c r="H181" s="525" t="str">
        <f>IF($A181="","",IFERROR(INDEX(PMIS_Data!$P$3:$P$40,9),""))</f>
        <v>Verify</v>
      </c>
      <c r="I181" s="525"/>
      <c r="J181" s="335"/>
      <c r="K181" s="335"/>
      <c r="L181" s="335"/>
      <c r="M181" s="335"/>
      <c r="N181" s="335"/>
      <c r="O181" s="335"/>
      <c r="P181" s="335"/>
    </row>
    <row r="182" spans="1:16">
      <c r="A182" s="335" t="str">
        <f>IFERROR(INDEX(PMIS_Data!$A$3:$A$40,10),"")</f>
        <v>10</v>
      </c>
      <c r="B182" s="335" t="str">
        <f>IF($A182="","",IFERROR(INDEX(PMIS_Data!$C$3:$C$40,10),""))</f>
        <v>Yellow</v>
      </c>
      <c r="C182" s="335" t="str">
        <f>IF($A182="","",IFERROR(INDEX(PMIS_Data!$F$3:$F$40,10),""))</f>
        <v>No</v>
      </c>
      <c r="D182" s="335" t="str">
        <f>IF($A182="","",IFERROR(INDEX(PMIS_Data!$N$3:$N$40,10),""))</f>
        <v>Verify</v>
      </c>
      <c r="E182" s="335" t="str">
        <f>IF($A182="","",IFERROR(INDEX(PMIS_Data!$K$3:$K$40,10),""))</f>
        <v>Verify</v>
      </c>
      <c r="F182" s="335" t="str">
        <f>IF($A182="","",IFERROR(INDEX(PMIS_Data!$L$3:$L$40,10),""))</f>
        <v>Verify</v>
      </c>
      <c r="G182" s="335" t="str">
        <f>IF($A182="","",IFERROR(INDEX(PMIS_Data!$M$3:$M$40,10),""))</f>
        <v>Verify</v>
      </c>
      <c r="H182" s="525" t="str">
        <f>IF($A182="","",IFERROR(INDEX(PMIS_Data!$P$3:$P$40,10),""))</f>
        <v>Verify</v>
      </c>
      <c r="I182" s="525"/>
      <c r="J182" s="335"/>
      <c r="K182" s="335"/>
      <c r="L182" s="335"/>
      <c r="M182" s="335"/>
      <c r="N182" s="335"/>
      <c r="O182" s="335"/>
      <c r="P182" s="335"/>
    </row>
    <row r="183" spans="1:16">
      <c r="A183" s="335" t="str">
        <f>IFERROR(INDEX(PMIS_Data!$A$3:$A$40,11),"")</f>
        <v>12</v>
      </c>
      <c r="B183" s="335" t="str">
        <f>IF($A183="","",IFERROR(INDEX(PMIS_Data!$C$3:$C$40,11),""))</f>
        <v>Yellow</v>
      </c>
      <c r="C183" s="335" t="str">
        <f>IF($A183="","",IFERROR(INDEX(PMIS_Data!$F$3:$F$40,11),""))</f>
        <v>No</v>
      </c>
      <c r="D183" s="335" t="str">
        <f>IF($A183="","",IFERROR(INDEX(PMIS_Data!$N$3:$N$40,11),""))</f>
        <v>N/A / Verify</v>
      </c>
      <c r="E183" s="335" t="str">
        <f>IF($A183="","",IFERROR(INDEX(PMIS_Data!$K$3:$K$40,11),""))</f>
        <v>N/A</v>
      </c>
      <c r="F183" s="335" t="str">
        <f>IF($A183="","",IFERROR(INDEX(PMIS_Data!$L$3:$L$40,11),""))</f>
        <v>N/A / Verify</v>
      </c>
      <c r="G183" s="335" t="str">
        <f>IF($A183="","",IFERROR(INDEX(PMIS_Data!$M$3:$M$40,11),""))</f>
        <v>Verify</v>
      </c>
      <c r="H183" s="525" t="str">
        <f>IF($A183="","",IFERROR(INDEX(PMIS_Data!$P$3:$P$40,11),""))</f>
        <v>N/A / Verify</v>
      </c>
      <c r="I183" s="525"/>
      <c r="J183" s="335"/>
      <c r="K183" s="335"/>
      <c r="L183" s="335"/>
      <c r="M183" s="335"/>
      <c r="N183" s="335"/>
      <c r="O183" s="335"/>
      <c r="P183" s="335"/>
    </row>
    <row r="184" spans="1:16">
      <c r="A184" s="335" t="str">
        <f>IFERROR(INDEX(PMIS_Data!$A$3:$A$40,12),"")</f>
        <v>13</v>
      </c>
      <c r="B184" s="335" t="str">
        <f>IF($A184="","",IFERROR(INDEX(PMIS_Data!$C$3:$C$40,12),""))</f>
        <v>Yellow</v>
      </c>
      <c r="C184" s="335" t="str">
        <f>IF($A184="","",IFERROR(INDEX(PMIS_Data!$F$3:$F$40,12),""))</f>
        <v>No</v>
      </c>
      <c r="D184" s="335" t="str">
        <f>IF($A184="","",IFERROR(INDEX(PMIS_Data!$N$3:$N$40,12),""))</f>
        <v>Verify</v>
      </c>
      <c r="E184" s="335" t="str">
        <f>IF($A184="","",IFERROR(INDEX(PMIS_Data!$K$3:$K$40,12),""))</f>
        <v>Verify</v>
      </c>
      <c r="F184" s="335" t="str">
        <f>IF($A184="","",IFERROR(INDEX(PMIS_Data!$L$3:$L$40,12),""))</f>
        <v>Verify</v>
      </c>
      <c r="G184" s="335" t="str">
        <f>IF($A184="","",IFERROR(INDEX(PMIS_Data!$M$3:$M$40,12),""))</f>
        <v>Verify</v>
      </c>
      <c r="H184" s="525" t="str">
        <f>IF($A184="","",IFERROR(INDEX(PMIS_Data!$P$3:$P$40,12),""))</f>
        <v>Verify</v>
      </c>
      <c r="I184" s="525"/>
      <c r="J184" s="335"/>
      <c r="K184" s="335"/>
      <c r="L184" s="335"/>
      <c r="M184" s="335"/>
      <c r="N184" s="335"/>
      <c r="O184" s="335"/>
      <c r="P184" s="335"/>
    </row>
    <row r="185" spans="1:16">
      <c r="A185" s="335" t="str">
        <f>IFERROR(INDEX(PMIS_Data!$A$3:$A$40,13),"")</f>
        <v>14</v>
      </c>
      <c r="B185" s="335" t="str">
        <f>IF($A185="","",IFERROR(INDEX(PMIS_Data!$C$3:$C$40,13),""))</f>
        <v>Yellow</v>
      </c>
      <c r="C185" s="335" t="str">
        <f>IF($A185="","",IFERROR(INDEX(PMIS_Data!$F$3:$F$40,13),""))</f>
        <v>No</v>
      </c>
      <c r="D185" s="335" t="str">
        <f>IF($A185="","",IFERROR(INDEX(PMIS_Data!$N$3:$N$40,13),""))</f>
        <v>Verify</v>
      </c>
      <c r="E185" s="335" t="str">
        <f>IF($A185="","",IFERROR(INDEX(PMIS_Data!$K$3:$K$40,13),""))</f>
        <v>Verify</v>
      </c>
      <c r="F185" s="335" t="str">
        <f>IF($A185="","",IFERROR(INDEX(PMIS_Data!$L$3:$L$40,13),""))</f>
        <v>Verify</v>
      </c>
      <c r="G185" s="335" t="str">
        <f>IF($A185="","",IFERROR(INDEX(PMIS_Data!$M$3:$M$40,13),""))</f>
        <v>Verify</v>
      </c>
      <c r="H185" s="525" t="str">
        <f>IF($A185="","",IFERROR(INDEX(PMIS_Data!$P$3:$P$40,13),""))</f>
        <v>Verify</v>
      </c>
      <c r="I185" s="525"/>
      <c r="J185" s="335"/>
      <c r="K185" s="335"/>
      <c r="L185" s="335"/>
      <c r="M185" s="335"/>
      <c r="N185" s="335"/>
      <c r="O185" s="335"/>
      <c r="P185" s="335"/>
    </row>
    <row r="186" spans="1:16">
      <c r="A186" s="335" t="str">
        <f>IFERROR(INDEX(PMIS_Data!$A$3:$A$40,14),"")</f>
        <v>15</v>
      </c>
      <c r="B186" s="335" t="str">
        <f>IF($A186="","",IFERROR(INDEX(PMIS_Data!$C$3:$C$40,14),""))</f>
        <v>Yellow</v>
      </c>
      <c r="C186" s="335" t="str">
        <f>IF($A186="","",IFERROR(INDEX(PMIS_Data!$F$3:$F$40,14),""))</f>
        <v>No</v>
      </c>
      <c r="D186" s="335" t="str">
        <f>IF($A186="","",IFERROR(INDEX(PMIS_Data!$N$3:$N$40,14),""))</f>
        <v>Verify</v>
      </c>
      <c r="E186" s="335" t="str">
        <f>IF($A186="","",IFERROR(INDEX(PMIS_Data!$K$3:$K$40,14),""))</f>
        <v>Verify</v>
      </c>
      <c r="F186" s="335" t="str">
        <f>IF($A186="","",IFERROR(INDEX(PMIS_Data!$L$3:$L$40,14),""))</f>
        <v>Verify</v>
      </c>
      <c r="G186" s="335" t="str">
        <f>IF($A186="","",IFERROR(INDEX(PMIS_Data!$M$3:$M$40,14),""))</f>
        <v>Verify</v>
      </c>
      <c r="H186" s="525" t="str">
        <f>IF($A186="","",IFERROR(INDEX(PMIS_Data!$P$3:$P$40,14),""))</f>
        <v>Verify</v>
      </c>
      <c r="I186" s="525"/>
      <c r="J186" s="335"/>
      <c r="K186" s="335"/>
      <c r="L186" s="335"/>
      <c r="M186" s="335"/>
      <c r="N186" s="335"/>
      <c r="O186" s="335"/>
      <c r="P186" s="335"/>
    </row>
    <row r="187" spans="1:16">
      <c r="A187" s="335" t="str">
        <f>IFERROR(INDEX(PMIS_Data!$A$3:$A$40,15),"")</f>
        <v>16</v>
      </c>
      <c r="B187" s="335" t="str">
        <f>IF($A187="","",IFERROR(INDEX(PMIS_Data!$C$3:$C$40,15),""))</f>
        <v>Yellow</v>
      </c>
      <c r="C187" s="335" t="str">
        <f>IF($A187="","",IFERROR(INDEX(PMIS_Data!$F$3:$F$40,15),""))</f>
        <v>No</v>
      </c>
      <c r="D187" s="335" t="str">
        <f>IF($A187="","",IFERROR(INDEX(PMIS_Data!$N$3:$N$40,15),""))</f>
        <v>Verify</v>
      </c>
      <c r="E187" s="335" t="str">
        <f>IF($A187="","",IFERROR(INDEX(PMIS_Data!$K$3:$K$40,15),""))</f>
        <v>Verify</v>
      </c>
      <c r="F187" s="335" t="str">
        <f>IF($A187="","",IFERROR(INDEX(PMIS_Data!$L$3:$L$40,15),""))</f>
        <v>Verify</v>
      </c>
      <c r="G187" s="335" t="str">
        <f>IF($A187="","",IFERROR(INDEX(PMIS_Data!$M$3:$M$40,15),""))</f>
        <v>Verify</v>
      </c>
      <c r="H187" s="525" t="str">
        <f>IF($A187="","",IFERROR(INDEX(PMIS_Data!$P$3:$P$40,15),""))</f>
        <v>Verify</v>
      </c>
      <c r="I187" s="525"/>
      <c r="J187" s="335"/>
      <c r="K187" s="335"/>
      <c r="L187" s="335"/>
      <c r="M187" s="335"/>
      <c r="N187" s="335"/>
      <c r="O187" s="335"/>
      <c r="P187" s="335"/>
    </row>
    <row r="188" spans="1:16">
      <c r="A188" s="335" t="str">
        <f>IFERROR(INDEX(PMIS_Data!$A$3:$A$40,16),"")</f>
        <v>17</v>
      </c>
      <c r="B188" s="335" t="str">
        <f>IF($A188="","",IFERROR(INDEX(PMIS_Data!$C$3:$C$40,16),""))</f>
        <v>Yellow</v>
      </c>
      <c r="C188" s="335" t="str">
        <f>IF($A188="","",IFERROR(INDEX(PMIS_Data!$F$3:$F$40,16),""))</f>
        <v>No</v>
      </c>
      <c r="D188" s="335" t="str">
        <f>IF($A188="","",IFERROR(INDEX(PMIS_Data!$N$3:$N$40,16),""))</f>
        <v>Verify</v>
      </c>
      <c r="E188" s="335" t="str">
        <f>IF($A188="","",IFERROR(INDEX(PMIS_Data!$K$3:$K$40,16),""))</f>
        <v>Verify</v>
      </c>
      <c r="F188" s="335" t="str">
        <f>IF($A188="","",IFERROR(INDEX(PMIS_Data!$L$3:$L$40,16),""))</f>
        <v>Verify</v>
      </c>
      <c r="G188" s="335" t="str">
        <f>IF($A188="","",IFERROR(INDEX(PMIS_Data!$M$3:$M$40,16),""))</f>
        <v>Verify</v>
      </c>
      <c r="H188" s="525" t="str">
        <f>IF($A188="","",IFERROR(INDEX(PMIS_Data!$P$3:$P$40,16),""))</f>
        <v>Verify</v>
      </c>
      <c r="I188" s="525"/>
      <c r="J188" s="335"/>
      <c r="K188" s="335"/>
      <c r="L188" s="335"/>
      <c r="M188" s="335"/>
      <c r="N188" s="335"/>
      <c r="O188" s="335"/>
      <c r="P188" s="335"/>
    </row>
    <row r="189" spans="1:16">
      <c r="A189" s="335" t="str">
        <f>IFERROR(INDEX(PMIS_Data!$A$3:$A$40,17),"")</f>
        <v>18</v>
      </c>
      <c r="B189" s="335" t="str">
        <f>IF($A189="","",IFERROR(INDEX(PMIS_Data!$C$3:$C$40,17),""))</f>
        <v>Yellow</v>
      </c>
      <c r="C189" s="335" t="str">
        <f>IF($A189="","",IFERROR(INDEX(PMIS_Data!$F$3:$F$40,17),""))</f>
        <v>No</v>
      </c>
      <c r="D189" s="335" t="str">
        <f>IF($A189="","",IFERROR(INDEX(PMIS_Data!$N$3:$N$40,17),""))</f>
        <v>Verify</v>
      </c>
      <c r="E189" s="335" t="str">
        <f>IF($A189="","",IFERROR(INDEX(PMIS_Data!$K$3:$K$40,17),""))</f>
        <v>Verify</v>
      </c>
      <c r="F189" s="335" t="str">
        <f>IF($A189="","",IFERROR(INDEX(PMIS_Data!$L$3:$L$40,17),""))</f>
        <v>Verify</v>
      </c>
      <c r="G189" s="335" t="str">
        <f>IF($A189="","",IFERROR(INDEX(PMIS_Data!$M$3:$M$40,17),""))</f>
        <v>Verify</v>
      </c>
      <c r="H189" s="525" t="str">
        <f>IF($A189="","",IFERROR(INDEX(PMIS_Data!$P$3:$P$40,17),""))</f>
        <v>Verify</v>
      </c>
      <c r="I189" s="525"/>
      <c r="J189" s="335"/>
      <c r="K189" s="335"/>
      <c r="L189" s="335"/>
      <c r="M189" s="335"/>
      <c r="N189" s="335"/>
      <c r="O189" s="335"/>
      <c r="P189" s="335"/>
    </row>
    <row r="190" spans="1:16" ht="25.5">
      <c r="A190" s="335" t="str">
        <f>IFERROR(INDEX(PMIS_Data!$A$3:$A$40,18),"")</f>
        <v>20</v>
      </c>
      <c r="B190" s="335" t="str">
        <f>IF($A190="","",IFERROR(INDEX(PMIS_Data!$C$3:$C$40,18),""))</f>
        <v>Yellow</v>
      </c>
      <c r="C190" s="335" t="str">
        <f>IF($A190="","",IFERROR(INDEX(PMIS_Data!$F$3:$F$40,18),""))</f>
        <v>No</v>
      </c>
      <c r="D190" s="335" t="str">
        <f>IF($A190="","",IFERROR(INDEX(PMIS_Data!$N$3:$N$40,18),""))</f>
        <v>Excluded / Firestop Only</v>
      </c>
      <c r="E190" s="335" t="str">
        <f>IF($A190="","",IFERROR(INDEX(PMIS_Data!$K$3:$K$40,18),""))</f>
        <v>Excluded / Verify Existing</v>
      </c>
      <c r="F190" s="335" t="str">
        <f>IF($A190="","",IFERROR(INDEX(PMIS_Data!$L$3:$L$40,18),""))</f>
        <v>Verify</v>
      </c>
      <c r="G190" s="335" t="str">
        <f>IF($A190="","",IFERROR(INDEX(PMIS_Data!$M$3:$M$40,18),""))</f>
        <v>Verify</v>
      </c>
      <c r="H190" s="525" t="str">
        <f>IF($A190="","",IFERROR(INDEX(PMIS_Data!$P$3:$P$40,18),""))</f>
        <v>Verify Existing</v>
      </c>
      <c r="I190" s="525"/>
      <c r="J190" s="335"/>
      <c r="K190" s="335"/>
      <c r="L190" s="335"/>
      <c r="M190" s="335"/>
      <c r="N190" s="335"/>
      <c r="O190" s="335"/>
      <c r="P190" s="335"/>
    </row>
    <row r="191" spans="1:16" ht="25.5">
      <c r="A191" s="335" t="str">
        <f>IFERROR(INDEX(PMIS_Data!$A$3:$A$40,19),"")</f>
        <v>21</v>
      </c>
      <c r="B191" s="335" t="str">
        <f>IF($A191="","",IFERROR(INDEX(PMIS_Data!$C$3:$C$40,19),""))</f>
        <v>Yellow</v>
      </c>
      <c r="C191" s="335" t="str">
        <f>IF($A191="","",IFERROR(INDEX(PMIS_Data!$F$3:$F$40,19),""))</f>
        <v>No</v>
      </c>
      <c r="D191" s="335" t="str">
        <f>IF($A191="","",IFERROR(INDEX(PMIS_Data!$N$3:$N$40,19),""))</f>
        <v>Excluded / Firestop Only</v>
      </c>
      <c r="E191" s="335" t="str">
        <f>IF($A191="","",IFERROR(INDEX(PMIS_Data!$K$3:$K$40,19),""))</f>
        <v>Verify</v>
      </c>
      <c r="F191" s="335" t="str">
        <f>IF($A191="","",IFERROR(INDEX(PMIS_Data!$L$3:$L$40,19),""))</f>
        <v>Verify</v>
      </c>
      <c r="G191" s="335" t="str">
        <f>IF($A191="","",IFERROR(INDEX(PMIS_Data!$M$3:$M$40,19),""))</f>
        <v>Verify</v>
      </c>
      <c r="H191" s="525" t="str">
        <f>IF($A191="","",IFERROR(INDEX(PMIS_Data!$P$3:$P$40,19),""))</f>
        <v>Verify Existing</v>
      </c>
      <c r="I191" s="525"/>
      <c r="J191" s="335"/>
      <c r="K191" s="335"/>
      <c r="L191" s="335"/>
      <c r="M191" s="335"/>
      <c r="N191" s="335"/>
      <c r="O191" s="335"/>
      <c r="P191" s="335"/>
    </row>
    <row r="192" spans="1:16" ht="25.5">
      <c r="A192" s="335" t="str">
        <f>IFERROR(INDEX(PMIS_Data!$A$3:$A$40,20),"")</f>
        <v>22</v>
      </c>
      <c r="B192" s="335" t="str">
        <f>IF($A192="","",IFERROR(INDEX(PMIS_Data!$C$3:$C$40,20),""))</f>
        <v>Yellow</v>
      </c>
      <c r="C192" s="335" t="str">
        <f>IF($A192="","",IFERROR(INDEX(PMIS_Data!$F$3:$F$40,20),""))</f>
        <v>No</v>
      </c>
      <c r="D192" s="335" t="str">
        <f>IF($A192="","",IFERROR(INDEX(PMIS_Data!$N$3:$N$40,20),""))</f>
        <v>Excluded / Firestop Only</v>
      </c>
      <c r="E192" s="335" t="str">
        <f>IF($A192="","",IFERROR(INDEX(PMIS_Data!$K$3:$K$40,20),""))</f>
        <v>Excluded / Verify Existing</v>
      </c>
      <c r="F192" s="335" t="str">
        <f>IF($A192="","",IFERROR(INDEX(PMIS_Data!$L$3:$L$40,20),""))</f>
        <v>Verify</v>
      </c>
      <c r="G192" s="335" t="str">
        <f>IF($A192="","",IFERROR(INDEX(PMIS_Data!$M$3:$M$40,20),""))</f>
        <v>Verify</v>
      </c>
      <c r="H192" s="525" t="str">
        <f>IF($A192="","",IFERROR(INDEX(PMIS_Data!$P$3:$P$40,20),""))</f>
        <v>Verify Existing</v>
      </c>
      <c r="I192" s="525"/>
      <c r="J192" s="335"/>
      <c r="K192" s="335"/>
      <c r="L192" s="335"/>
      <c r="M192" s="335"/>
      <c r="N192" s="335"/>
      <c r="O192" s="335"/>
      <c r="P192" s="335"/>
    </row>
    <row r="193" spans="1:16" ht="25.5">
      <c r="A193" s="335" t="str">
        <f>IFERROR(INDEX(PMIS_Data!$A$3:$A$40,21),"")</f>
        <v>33</v>
      </c>
      <c r="B193" s="335" t="str">
        <f>IF($A193="","",IFERROR(INDEX(PMIS_Data!$C$3:$C$40,21),""))</f>
        <v>Yellow</v>
      </c>
      <c r="C193" s="335" t="str">
        <f>IF($A193="","",IFERROR(INDEX(PMIS_Data!$F$3:$F$40,21),""))</f>
        <v>No</v>
      </c>
      <c r="D193" s="335" t="str">
        <f>IF($A193="","",IFERROR(INDEX(PMIS_Data!$N$3:$N$40,21),""))</f>
        <v>Excluded / Firestop Only</v>
      </c>
      <c r="E193" s="335" t="str">
        <f>IF($A193="","",IFERROR(INDEX(PMIS_Data!$K$3:$K$40,21),""))</f>
        <v>Excluded / Verify Existing</v>
      </c>
      <c r="F193" s="335" t="str">
        <f>IF($A193="","",IFERROR(INDEX(PMIS_Data!$L$3:$L$40,21),""))</f>
        <v>Verify</v>
      </c>
      <c r="G193" s="335" t="str">
        <f>IF($A193="","",IFERROR(INDEX(PMIS_Data!$M$3:$M$40,21),""))</f>
        <v>Verify</v>
      </c>
      <c r="H193" s="525" t="str">
        <f>IF($A193="","",IFERROR(INDEX(PMIS_Data!$P$3:$P$40,21),""))</f>
        <v>Verify Existing</v>
      </c>
      <c r="I193" s="525"/>
      <c r="J193" s="335"/>
      <c r="K193" s="335"/>
      <c r="L193" s="335"/>
      <c r="M193" s="335"/>
      <c r="N193" s="335"/>
      <c r="O193" s="335"/>
      <c r="P193" s="335"/>
    </row>
    <row r="194" spans="1:16">
      <c r="A194" s="335" t="str">
        <f>IFERROR(INDEX(PMIS_Data!$A$3:$A$40,22),"")</f>
        <v>61</v>
      </c>
      <c r="B194" s="335" t="str">
        <f>IF($A194="","",IFERROR(INDEX(PMIS_Data!$C$3:$C$40,22),""))</f>
        <v>PILOT PHASE</v>
      </c>
      <c r="C194" s="335" t="str">
        <f>IF($A194="","",IFERROR(INDEX(PMIS_Data!$F$3:$F$40,22),""))</f>
        <v>YES</v>
      </c>
      <c r="D194" s="335" t="str">
        <f>IF($A194="","",IFERROR(INDEX(PMIS_Data!$N$3:$N$40,22),""))</f>
        <v>Verify</v>
      </c>
      <c r="E194" s="335" t="str">
        <f>IF($A194="","",IFERROR(INDEX(PMIS_Data!$K$3:$K$40,22),""))</f>
        <v>Verify</v>
      </c>
      <c r="F194" s="335" t="str">
        <f>IF($A194="","",IFERROR(INDEX(PMIS_Data!$L$3:$L$40,22),""))</f>
        <v>Verify</v>
      </c>
      <c r="G194" s="335" t="str">
        <f>IF($A194="","",IFERROR(INDEX(PMIS_Data!$M$3:$M$40,22),""))</f>
        <v>Verify</v>
      </c>
      <c r="H194" s="525" t="str">
        <f>IF($A194="","",IFERROR(INDEX(PMIS_Data!$P$3:$P$40,22),""))</f>
        <v>Verify</v>
      </c>
      <c r="I194" s="525"/>
      <c r="J194" s="335"/>
      <c r="K194" s="335"/>
      <c r="L194" s="335"/>
      <c r="M194" s="335"/>
      <c r="N194" s="335"/>
      <c r="O194" s="335"/>
      <c r="P194" s="335"/>
    </row>
    <row r="195" spans="1:16">
      <c r="A195" s="335" t="str">
        <f>IFERROR(INDEX(PMIS_Data!$A$3:$A$40,23),"")</f>
        <v>62</v>
      </c>
      <c r="B195" s="335" t="str">
        <f>IF($A195="","",IFERROR(INDEX(PMIS_Data!$C$3:$C$40,23),""))</f>
        <v>Yellow</v>
      </c>
      <c r="C195" s="335" t="str">
        <f>IF($A195="","",IFERROR(INDEX(PMIS_Data!$F$3:$F$40,23),""))</f>
        <v>No</v>
      </c>
      <c r="D195" s="335" t="str">
        <f>IF($A195="","",IFERROR(INDEX(PMIS_Data!$N$3:$N$40,23),""))</f>
        <v>Verify</v>
      </c>
      <c r="E195" s="335" t="str">
        <f>IF($A195="","",IFERROR(INDEX(PMIS_Data!$K$3:$K$40,23),""))</f>
        <v>Verify</v>
      </c>
      <c r="F195" s="335" t="str">
        <f>IF($A195="","",IFERROR(INDEX(PMIS_Data!$L$3:$L$40,23),""))</f>
        <v>Verify</v>
      </c>
      <c r="G195" s="335" t="str">
        <f>IF($A195="","",IFERROR(INDEX(PMIS_Data!$M$3:$M$40,23),""))</f>
        <v>Verify</v>
      </c>
      <c r="H195" s="525" t="str">
        <f>IF($A195="","",IFERROR(INDEX(PMIS_Data!$P$3:$P$40,23),""))</f>
        <v>Verify</v>
      </c>
      <c r="I195" s="525"/>
      <c r="J195" s="335"/>
      <c r="K195" s="335"/>
      <c r="L195" s="335"/>
      <c r="M195" s="335"/>
      <c r="N195" s="335"/>
      <c r="O195" s="335"/>
      <c r="P195" s="335"/>
    </row>
    <row r="196" spans="1:16">
      <c r="A196" s="335" t="str">
        <f>IFERROR(INDEX(PMIS_Data!$A$3:$A$40,24),"")</f>
        <v>70</v>
      </c>
      <c r="B196" s="335" t="str">
        <f>IF($A196="","",IFERROR(INDEX(PMIS_Data!$C$3:$C$40,24),""))</f>
        <v>Yellow</v>
      </c>
      <c r="C196" s="335" t="str">
        <f>IF($A196="","",IFERROR(INDEX(PMIS_Data!$F$3:$F$40,24),""))</f>
        <v>No</v>
      </c>
      <c r="D196" s="335" t="str">
        <f>IF($A196="","",IFERROR(INDEX(PMIS_Data!$N$3:$N$40,24),""))</f>
        <v>Verify</v>
      </c>
      <c r="E196" s="335" t="str">
        <f>IF($A196="","",IFERROR(INDEX(PMIS_Data!$K$3:$K$40,24),""))</f>
        <v>Verify</v>
      </c>
      <c r="F196" s="335" t="str">
        <f>IF($A196="","",IFERROR(INDEX(PMIS_Data!$L$3:$L$40,24),""))</f>
        <v>Verify</v>
      </c>
      <c r="G196" s="335" t="str">
        <f>IF($A196="","",IFERROR(INDEX(PMIS_Data!$M$3:$M$40,24),""))</f>
        <v>Verify</v>
      </c>
      <c r="H196" s="525" t="str">
        <f>IF($A196="","",IFERROR(INDEX(PMIS_Data!$P$3:$P$40,24),""))</f>
        <v>Verify</v>
      </c>
      <c r="I196" s="525"/>
      <c r="J196" s="335"/>
      <c r="K196" s="335"/>
      <c r="L196" s="335"/>
      <c r="M196" s="335"/>
      <c r="N196" s="335"/>
      <c r="O196" s="335"/>
      <c r="P196" s="335"/>
    </row>
    <row r="197" spans="1:16">
      <c r="A197" s="335" t="str">
        <f>IFERROR(INDEX(PMIS_Data!$A$3:$A$40,25),"")</f>
        <v>78</v>
      </c>
      <c r="B197" s="335" t="str">
        <f>IF($A197="","",IFERROR(INDEX(PMIS_Data!$C$3:$C$40,25),""))</f>
        <v>Yellow</v>
      </c>
      <c r="C197" s="335" t="str">
        <f>IF($A197="","",IFERROR(INDEX(PMIS_Data!$F$3:$F$40,25),""))</f>
        <v>No</v>
      </c>
      <c r="D197" s="335" t="str">
        <f>IF($A197="","",IFERROR(INDEX(PMIS_Data!$N$3:$N$40,25),""))</f>
        <v>Verify</v>
      </c>
      <c r="E197" s="335" t="str">
        <f>IF($A197="","",IFERROR(INDEX(PMIS_Data!$K$3:$K$40,25),""))</f>
        <v>Verify</v>
      </c>
      <c r="F197" s="335" t="str">
        <f>IF($A197="","",IFERROR(INDEX(PMIS_Data!$L$3:$L$40,25),""))</f>
        <v>Verify</v>
      </c>
      <c r="G197" s="335" t="str">
        <f>IF($A197="","",IFERROR(INDEX(PMIS_Data!$M$3:$M$40,25),""))</f>
        <v>Verify</v>
      </c>
      <c r="H197" s="525" t="str">
        <f>IF($A197="","",IFERROR(INDEX(PMIS_Data!$P$3:$P$40,25),""))</f>
        <v>Verify</v>
      </c>
      <c r="I197" s="525"/>
      <c r="J197" s="335"/>
      <c r="K197" s="335"/>
      <c r="L197" s="335"/>
      <c r="M197" s="335"/>
      <c r="N197" s="335"/>
      <c r="O197" s="335"/>
      <c r="P197" s="335"/>
    </row>
    <row r="198" spans="1:16">
      <c r="A198" s="335" t="str">
        <f>IFERROR(INDEX(PMIS_Data!$A$3:$A$40,26),"")</f>
        <v>80</v>
      </c>
      <c r="B198" s="335" t="str">
        <f>IF($A198="","",IFERROR(INDEX(PMIS_Data!$C$3:$C$40,26),""))</f>
        <v>Yellow</v>
      </c>
      <c r="C198" s="335" t="str">
        <f>IF($A198="","",IFERROR(INDEX(PMIS_Data!$F$3:$F$40,26),""))</f>
        <v>No</v>
      </c>
      <c r="D198" s="335" t="str">
        <f>IF($A198="","",IFERROR(INDEX(PMIS_Data!$N$3:$N$40,26),""))</f>
        <v>Verify</v>
      </c>
      <c r="E198" s="335" t="str">
        <f>IF($A198="","",IFERROR(INDEX(PMIS_Data!$K$3:$K$40,26),""))</f>
        <v>Verify</v>
      </c>
      <c r="F198" s="335" t="str">
        <f>IF($A198="","",IFERROR(INDEX(PMIS_Data!$L$3:$L$40,26),""))</f>
        <v>Verify</v>
      </c>
      <c r="G198" s="335" t="str">
        <f>IF($A198="","",IFERROR(INDEX(PMIS_Data!$M$3:$M$40,26),""))</f>
        <v>Verify</v>
      </c>
      <c r="H198" s="525" t="str">
        <f>IF($A198="","",IFERROR(INDEX(PMIS_Data!$P$3:$P$40,26),""))</f>
        <v>Verify</v>
      </c>
      <c r="I198" s="525"/>
      <c r="J198" s="335"/>
      <c r="K198" s="335"/>
      <c r="L198" s="335"/>
      <c r="M198" s="335"/>
      <c r="N198" s="335"/>
      <c r="O198" s="335"/>
      <c r="P198" s="335"/>
    </row>
    <row r="199" spans="1:16" ht="25.5">
      <c r="A199" s="335" t="str">
        <f>IFERROR(INDEX(PMIS_Data!$A$3:$A$40,27),"")</f>
        <v>82</v>
      </c>
      <c r="B199" s="335" t="str">
        <f>IF($A199="","",IFERROR(INDEX(PMIS_Data!$C$3:$C$40,27),""))</f>
        <v>Yellow</v>
      </c>
      <c r="C199" s="335" t="str">
        <f>IF($A199="","",IFERROR(INDEX(PMIS_Data!$F$3:$F$40,27),""))</f>
        <v>No</v>
      </c>
      <c r="D199" s="335" t="str">
        <f>IF($A199="","",IFERROR(INDEX(PMIS_Data!$N$3:$N$40,27),""))</f>
        <v>Excluded / Firestop Only</v>
      </c>
      <c r="E199" s="335" t="str">
        <f>IF($A199="","",IFERROR(INDEX(PMIS_Data!$K$3:$K$40,27),""))</f>
        <v>Verify</v>
      </c>
      <c r="F199" s="335" t="str">
        <f>IF($A199="","",IFERROR(INDEX(PMIS_Data!$L$3:$L$40,27),""))</f>
        <v>Verify</v>
      </c>
      <c r="G199" s="335" t="str">
        <f>IF($A199="","",IFERROR(INDEX(PMIS_Data!$M$3:$M$40,27),""))</f>
        <v>Verify</v>
      </c>
      <c r="H199" s="525" t="str">
        <f>IF($A199="","",IFERROR(INDEX(PMIS_Data!$P$3:$P$40,27),""))</f>
        <v>Excluded / Verify Existing</v>
      </c>
      <c r="I199" s="525"/>
      <c r="J199" s="335"/>
      <c r="K199" s="335"/>
      <c r="L199" s="335"/>
      <c r="M199" s="335"/>
      <c r="N199" s="335"/>
      <c r="O199" s="335"/>
      <c r="P199" s="335"/>
    </row>
    <row r="200" spans="1:16" ht="25.5">
      <c r="A200" s="335" t="str">
        <f>IFERROR(INDEX(PMIS_Data!$A$3:$A$40,28),"")</f>
        <v>BCH</v>
      </c>
      <c r="B200" s="335" t="str">
        <f>IF($A200="","",IFERROR(INDEX(PMIS_Data!$C$3:$C$40,28),""))</f>
        <v>Yellow</v>
      </c>
      <c r="C200" s="335" t="str">
        <f>IF($A200="","",IFERROR(INDEX(PMIS_Data!$F$3:$F$40,28),""))</f>
        <v>No</v>
      </c>
      <c r="D200" s="335" t="str">
        <f>IF($A200="","",IFERROR(INDEX(PMIS_Data!$N$3:$N$40,28),""))</f>
        <v>Excluded / Firestop Only</v>
      </c>
      <c r="E200" s="335" t="str">
        <f>IF($A200="","",IFERROR(INDEX(PMIS_Data!$K$3:$K$40,28),""))</f>
        <v>Verify</v>
      </c>
      <c r="F200" s="335" t="str">
        <f>IF($A200="","",IFERROR(INDEX(PMIS_Data!$L$3:$L$40,28),""))</f>
        <v>Verify</v>
      </c>
      <c r="G200" s="335" t="str">
        <f>IF($A200="","",IFERROR(INDEX(PMIS_Data!$M$3:$M$40,28),""))</f>
        <v>Verify</v>
      </c>
      <c r="H200" s="525" t="str">
        <f>IF($A200="","",IFERROR(INDEX(PMIS_Data!$P$3:$P$40,28),""))</f>
        <v>Verify Existing</v>
      </c>
      <c r="I200" s="525"/>
      <c r="J200" s="335"/>
      <c r="K200" s="335"/>
      <c r="L200" s="335"/>
      <c r="M200" s="335"/>
      <c r="N200" s="335"/>
      <c r="O200" s="335"/>
      <c r="P200" s="335"/>
    </row>
    <row r="201" spans="1:16">
      <c r="A201" s="335" t="str">
        <f>IFERROR(INDEX(PMIS_Data!$A$3:$A$40,29),"")</f>
        <v>MCR</v>
      </c>
      <c r="B201" s="335" t="str">
        <f>IF($A201="","",IFERROR(INDEX(PMIS_Data!$C$3:$C$40,29),""))</f>
        <v>Yellow</v>
      </c>
      <c r="C201" s="335" t="str">
        <f>IF($A201="","",IFERROR(INDEX(PMIS_Data!$F$3:$F$40,29),""))</f>
        <v>No</v>
      </c>
      <c r="D201" s="335" t="str">
        <f>IF($A201="","",IFERROR(INDEX(PMIS_Data!$N$3:$N$40,29),""))</f>
        <v>Verify</v>
      </c>
      <c r="E201" s="335" t="str">
        <f>IF($A201="","",IFERROR(INDEX(PMIS_Data!$K$3:$K$40,29),""))</f>
        <v>Verify</v>
      </c>
      <c r="F201" s="335" t="str">
        <f>IF($A201="","",IFERROR(INDEX(PMIS_Data!$L$3:$L$40,29),""))</f>
        <v>Verify</v>
      </c>
      <c r="G201" s="335" t="str">
        <f>IF($A201="","",IFERROR(INDEX(PMIS_Data!$M$3:$M$40,29),""))</f>
        <v>Verify</v>
      </c>
      <c r="H201" s="525" t="str">
        <f>IF($A201="","",IFERROR(INDEX(PMIS_Data!$P$3:$P$40,29),""))</f>
        <v>Verify</v>
      </c>
      <c r="I201" s="525"/>
      <c r="J201" s="335"/>
      <c r="K201" s="335"/>
      <c r="L201" s="335"/>
      <c r="M201" s="335"/>
      <c r="N201" s="335"/>
      <c r="O201" s="335"/>
      <c r="P201" s="335"/>
    </row>
    <row r="202" spans="1:16" ht="25.5">
      <c r="A202" s="335" t="str">
        <f>IFERROR(INDEX(PMIS_Data!$A$3:$A$40,30),"")</f>
        <v>SITE</v>
      </c>
      <c r="B202" s="335" t="str">
        <f>IF($A202="","",IFERROR(INDEX(PMIS_Data!$C$3:$C$40,30),""))</f>
        <v>Yellow</v>
      </c>
      <c r="C202" s="335" t="str">
        <f>IF($A202="","",IFERROR(INDEX(PMIS_Data!$F$3:$F$40,30),""))</f>
        <v>No</v>
      </c>
      <c r="D202" s="335" t="str">
        <f>IF($A202="","",IFERROR(INDEX(PMIS_Data!$N$3:$N$40,30),""))</f>
        <v>N/A / Maintain Access</v>
      </c>
      <c r="E202" s="335" t="str">
        <f>IF($A202="","",IFERROR(INDEX(PMIS_Data!$K$3:$K$40,30),""))</f>
        <v>N/A</v>
      </c>
      <c r="F202" s="335" t="str">
        <f>IF($A202="","",IFERROR(INDEX(PMIS_Data!$L$3:$L$40,30),""))</f>
        <v>Verify</v>
      </c>
      <c r="G202" s="335" t="str">
        <f>IF($A202="","",IFERROR(INDEX(PMIS_Data!$M$3:$M$40,30),""))</f>
        <v>Verify</v>
      </c>
      <c r="H202" s="525" t="str">
        <f>IF($A202="","",IFERROR(INDEX(PMIS_Data!$P$3:$P$40,30),""))</f>
        <v>Verify Site Access</v>
      </c>
      <c r="I202" s="525"/>
      <c r="J202" s="335"/>
      <c r="K202" s="335"/>
      <c r="L202" s="335"/>
      <c r="M202" s="335"/>
      <c r="N202" s="335"/>
      <c r="O202" s="335"/>
      <c r="P202" s="335"/>
    </row>
    <row r="203" spans="1:16">
      <c r="A203" s="335"/>
      <c r="B203" s="335"/>
      <c r="C203" s="335"/>
      <c r="D203" s="335"/>
      <c r="E203" s="335"/>
      <c r="F203" s="335"/>
      <c r="G203" s="335"/>
      <c r="H203" s="525"/>
      <c r="I203" s="525"/>
      <c r="J203" s="335"/>
      <c r="K203" s="335"/>
      <c r="L203" s="335"/>
      <c r="M203" s="335"/>
      <c r="N203" s="335"/>
      <c r="O203" s="335"/>
      <c r="P203" s="335"/>
    </row>
    <row r="204" spans="1:16">
      <c r="A204" s="335"/>
      <c r="B204" s="335"/>
      <c r="C204" s="335"/>
      <c r="D204" s="335"/>
      <c r="E204" s="335"/>
      <c r="F204" s="335"/>
      <c r="G204" s="335"/>
      <c r="H204" s="525"/>
      <c r="I204" s="525"/>
      <c r="J204" s="335"/>
      <c r="K204" s="335"/>
      <c r="L204" s="335"/>
      <c r="M204" s="335"/>
      <c r="N204" s="335"/>
      <c r="O204" s="335"/>
      <c r="P204" s="335"/>
    </row>
    <row r="205" spans="1:16" ht="15">
      <c r="A205" s="910" t="s">
        <v>5818</v>
      </c>
      <c r="B205" s="910"/>
      <c r="C205" s="910"/>
      <c r="D205" s="910"/>
      <c r="E205" s="910"/>
      <c r="F205" s="910"/>
      <c r="G205" s="910"/>
      <c r="H205" s="911"/>
      <c r="I205" s="911"/>
      <c r="J205" s="910"/>
      <c r="K205" s="910"/>
      <c r="L205" s="910"/>
      <c r="M205" s="910"/>
      <c r="N205" s="910"/>
      <c r="O205" s="910"/>
      <c r="P205" s="910"/>
    </row>
    <row r="206" spans="1:16" ht="24">
      <c r="A206" s="532" t="s">
        <v>142</v>
      </c>
      <c r="B206" s="532" t="s">
        <v>5641</v>
      </c>
      <c r="C206" s="532" t="s">
        <v>5699</v>
      </c>
      <c r="D206" s="532" t="s">
        <v>5700</v>
      </c>
      <c r="E206" s="532" t="s">
        <v>5651</v>
      </c>
      <c r="F206" s="532" t="s">
        <v>5705</v>
      </c>
      <c r="G206" s="532" t="s">
        <v>5577</v>
      </c>
      <c r="H206" s="536" t="s">
        <v>5707</v>
      </c>
      <c r="I206" s="525"/>
      <c r="J206" s="335"/>
      <c r="K206" s="335"/>
      <c r="L206" s="335"/>
      <c r="M206" s="335"/>
      <c r="N206" s="335"/>
      <c r="O206" s="335"/>
      <c r="P206" s="335"/>
    </row>
    <row r="207" spans="1:16" ht="25.5">
      <c r="A207" s="335" t="str">
        <f>IFERROR(INDEX(PMIS_Data!$A$3:$A$40,1),"")</f>
        <v>01</v>
      </c>
      <c r="B207" s="531">
        <f ca="1">IF($A207="","",IFERROR(INDEX(PMIS_Data!$AB$3:$AB$40,1),""))</f>
        <v>0</v>
      </c>
      <c r="C207" s="335" t="str">
        <f ca="1">IF($A207="","",IFERROR(INDEX(PMIS_Data!$AC$3:$AC$40,1),""))</f>
        <v>Blocked</v>
      </c>
      <c r="D207" s="335" t="str">
        <f ca="1">IF($A207="","",IFERROR(INDEX(PMIS_Data!$AD$3:$AD$40,1),""))</f>
        <v>No blocker documented</v>
      </c>
      <c r="E207" s="531">
        <f ca="1">IF($A207="","",IFERROR(INDEX(PMIS_Data!$AI$3:$AI$40,1),""))</f>
        <v>0</v>
      </c>
      <c r="F207" s="335" t="str">
        <f ca="1">IF($A207="","",IFERROR(INDEX(PMIS_Data!$AJ$3:$AJ$40,1),""))</f>
        <v>Not Ready</v>
      </c>
      <c r="G207" s="335">
        <f ca="1">IF($A207="","",IFERROR(INDEX(PMIS_Data!$AL$3:$AL$40,1),""))</f>
        <v>6</v>
      </c>
      <c r="H207" s="525" t="str">
        <f ca="1">IF($A207="","",IFERROR(INDEX(PMIS_Data!$AM$3:$AM$40,1),""))</f>
        <v>Resolve OIT Blocker</v>
      </c>
      <c r="I207" s="525"/>
      <c r="J207" s="335"/>
      <c r="K207" s="335"/>
      <c r="L207" s="335"/>
      <c r="M207" s="335"/>
      <c r="N207" s="335"/>
      <c r="O207" s="335"/>
      <c r="P207" s="335"/>
    </row>
    <row r="208" spans="1:16" ht="25.5">
      <c r="A208" s="335" t="str">
        <f>IFERROR(INDEX(PMIS_Data!$A$3:$A$40,2),"")</f>
        <v>02</v>
      </c>
      <c r="B208" s="531">
        <f ca="1">IF($A208="","",IFERROR(INDEX(PMIS_Data!$AB$3:$AB$40,2),""))</f>
        <v>0</v>
      </c>
      <c r="C208" s="335" t="str">
        <f ca="1">IF($A208="","",IFERROR(INDEX(PMIS_Data!$AC$3:$AC$40,2),""))</f>
        <v>Blocked</v>
      </c>
      <c r="D208" s="335" t="str">
        <f ca="1">IF($A208="","",IFERROR(INDEX(PMIS_Data!$AD$3:$AD$40,2),""))</f>
        <v>No blocker documented</v>
      </c>
      <c r="E208" s="531">
        <f ca="1">IF($A208="","",IFERROR(INDEX(PMIS_Data!$AI$3:$AI$40,2),""))</f>
        <v>0</v>
      </c>
      <c r="F208" s="335" t="str">
        <f ca="1">IF($A208="","",IFERROR(INDEX(PMIS_Data!$AJ$3:$AJ$40,2),""))</f>
        <v>Not Ready</v>
      </c>
      <c r="G208" s="335">
        <f ca="1">IF($A208="","",IFERROR(INDEX(PMIS_Data!$AL$3:$AL$40,2),""))</f>
        <v>6</v>
      </c>
      <c r="H208" s="525" t="str">
        <f ca="1">IF($A208="","",IFERROR(INDEX(PMIS_Data!$AM$3:$AM$40,2),""))</f>
        <v>Resolve OIT Blocker</v>
      </c>
      <c r="I208" s="525"/>
      <c r="J208" s="335"/>
      <c r="K208" s="335"/>
      <c r="L208" s="335"/>
      <c r="M208" s="335"/>
      <c r="N208" s="335"/>
      <c r="O208" s="335"/>
      <c r="P208" s="335"/>
    </row>
    <row r="209" spans="1:16" ht="25.5">
      <c r="A209" s="335" t="str">
        <f>IFERROR(INDEX(PMIS_Data!$A$3:$A$40,3),"")</f>
        <v>03</v>
      </c>
      <c r="B209" s="531">
        <f ca="1">IF($A209="","",IFERROR(INDEX(PMIS_Data!$AB$3:$AB$40,3),""))</f>
        <v>0</v>
      </c>
      <c r="C209" s="335" t="str">
        <f ca="1">IF($A209="","",IFERROR(INDEX(PMIS_Data!$AC$3:$AC$40,3),""))</f>
        <v>Blocked</v>
      </c>
      <c r="D209" s="335" t="str">
        <f ca="1">IF($A209="","",IFERROR(INDEX(PMIS_Data!$AD$3:$AD$40,3),""))</f>
        <v>No blocker documented</v>
      </c>
      <c r="E209" s="531">
        <f ca="1">IF($A209="","",IFERROR(INDEX(PMIS_Data!$AI$3:$AI$40,3),""))</f>
        <v>0</v>
      </c>
      <c r="F209" s="335" t="str">
        <f ca="1">IF($A209="","",IFERROR(INDEX(PMIS_Data!$AJ$3:$AJ$40,3),""))</f>
        <v>Not Ready</v>
      </c>
      <c r="G209" s="335">
        <f ca="1">IF($A209="","",IFERROR(INDEX(PMIS_Data!$AL$3:$AL$40,3),""))</f>
        <v>6</v>
      </c>
      <c r="H209" s="525" t="str">
        <f ca="1">IF($A209="","",IFERROR(INDEX(PMIS_Data!$AM$3:$AM$40,3),""))</f>
        <v>Resolve OIT Blocker</v>
      </c>
      <c r="I209" s="525"/>
      <c r="J209" s="335"/>
      <c r="K209" s="335"/>
      <c r="L209" s="335"/>
      <c r="M209" s="335"/>
      <c r="N209" s="335"/>
      <c r="O209" s="335"/>
      <c r="P209" s="335"/>
    </row>
    <row r="210" spans="1:16" ht="25.5">
      <c r="A210" s="335" t="str">
        <f>IFERROR(INDEX(PMIS_Data!$A$3:$A$40,4),"")</f>
        <v>04</v>
      </c>
      <c r="B210" s="531">
        <f ca="1">IF($A210="","",IFERROR(INDEX(PMIS_Data!$AB$3:$AB$40,4),""))</f>
        <v>0</v>
      </c>
      <c r="C210" s="335" t="str">
        <f ca="1">IF($A210="","",IFERROR(INDEX(PMIS_Data!$AC$3:$AC$40,4),""))</f>
        <v>Blocked</v>
      </c>
      <c r="D210" s="335" t="str">
        <f ca="1">IF($A210="","",IFERROR(INDEX(PMIS_Data!$AD$3:$AD$40,4),""))</f>
        <v>No blocker documented</v>
      </c>
      <c r="E210" s="531">
        <f ca="1">IF($A210="","",IFERROR(INDEX(PMIS_Data!$AI$3:$AI$40,4),""))</f>
        <v>0</v>
      </c>
      <c r="F210" s="335" t="str">
        <f ca="1">IF($A210="","",IFERROR(INDEX(PMIS_Data!$AJ$3:$AJ$40,4),""))</f>
        <v>Not Ready</v>
      </c>
      <c r="G210" s="335">
        <f ca="1">IF($A210="","",IFERROR(INDEX(PMIS_Data!$AL$3:$AL$40,4),""))</f>
        <v>6</v>
      </c>
      <c r="H210" s="525" t="str">
        <f ca="1">IF($A210="","",IFERROR(INDEX(PMIS_Data!$AM$3:$AM$40,4),""))</f>
        <v>Resolve OIT Blocker</v>
      </c>
      <c r="I210" s="525"/>
      <c r="J210" s="335"/>
      <c r="K210" s="335"/>
      <c r="L210" s="335"/>
      <c r="M210" s="335"/>
      <c r="N210" s="335"/>
      <c r="O210" s="335"/>
      <c r="P210" s="335"/>
    </row>
    <row r="211" spans="1:16" ht="25.5">
      <c r="A211" s="335" t="str">
        <f>IFERROR(INDEX(PMIS_Data!$A$3:$A$40,5),"")</f>
        <v>05</v>
      </c>
      <c r="B211" s="531">
        <f ca="1">IF($A211="","",IFERROR(INDEX(PMIS_Data!$AB$3:$AB$40,5),""))</f>
        <v>0</v>
      </c>
      <c r="C211" s="335" t="str">
        <f ca="1">IF($A211="","",IFERROR(INDEX(PMIS_Data!$AC$3:$AC$40,5),""))</f>
        <v>Blocked</v>
      </c>
      <c r="D211" s="335" t="str">
        <f ca="1">IF($A211="","",IFERROR(INDEX(PMIS_Data!$AD$3:$AD$40,5),""))</f>
        <v>No blocker documented</v>
      </c>
      <c r="E211" s="531">
        <f ca="1">IF($A211="","",IFERROR(INDEX(PMIS_Data!$AI$3:$AI$40,5),""))</f>
        <v>0</v>
      </c>
      <c r="F211" s="335" t="str">
        <f ca="1">IF($A211="","",IFERROR(INDEX(PMIS_Data!$AJ$3:$AJ$40,5),""))</f>
        <v>Not Ready</v>
      </c>
      <c r="G211" s="335">
        <f ca="1">IF($A211="","",IFERROR(INDEX(PMIS_Data!$AL$3:$AL$40,5),""))</f>
        <v>6</v>
      </c>
      <c r="H211" s="525" t="str">
        <f ca="1">IF($A211="","",IFERROR(INDEX(PMIS_Data!$AM$3:$AM$40,5),""))</f>
        <v>Resolve OIT Blocker</v>
      </c>
      <c r="I211" s="525"/>
      <c r="J211" s="335"/>
      <c r="K211" s="335"/>
      <c r="L211" s="335"/>
      <c r="M211" s="335"/>
      <c r="N211" s="335"/>
      <c r="O211" s="335"/>
      <c r="P211" s="335"/>
    </row>
    <row r="212" spans="1:16" ht="25.5">
      <c r="A212" s="335" t="str">
        <f>IFERROR(INDEX(PMIS_Data!$A$3:$A$40,6),"")</f>
        <v>06</v>
      </c>
      <c r="B212" s="531">
        <f ca="1">IF($A212="","",IFERROR(INDEX(PMIS_Data!$AB$3:$AB$40,6),""))</f>
        <v>0</v>
      </c>
      <c r="C212" s="335" t="str">
        <f ca="1">IF($A212="","",IFERROR(INDEX(PMIS_Data!$AC$3:$AC$40,6),""))</f>
        <v>Blocked</v>
      </c>
      <c r="D212" s="335" t="str">
        <f ca="1">IF($A212="","",IFERROR(INDEX(PMIS_Data!$AD$3:$AD$40,6),""))</f>
        <v>No blocker documented</v>
      </c>
      <c r="E212" s="531">
        <f ca="1">IF($A212="","",IFERROR(INDEX(PMIS_Data!$AI$3:$AI$40,6),""))</f>
        <v>0</v>
      </c>
      <c r="F212" s="335" t="str">
        <f ca="1">IF($A212="","",IFERROR(INDEX(PMIS_Data!$AJ$3:$AJ$40,6),""))</f>
        <v>Not Ready</v>
      </c>
      <c r="G212" s="335">
        <f ca="1">IF($A212="","",IFERROR(INDEX(PMIS_Data!$AL$3:$AL$40,6),""))</f>
        <v>6</v>
      </c>
      <c r="H212" s="525" t="str">
        <f ca="1">IF($A212="","",IFERROR(INDEX(PMIS_Data!$AM$3:$AM$40,6),""))</f>
        <v>Resolve OIT Blocker</v>
      </c>
      <c r="I212" s="525"/>
      <c r="J212" s="335"/>
      <c r="K212" s="335"/>
      <c r="L212" s="335"/>
      <c r="M212" s="335"/>
      <c r="N212" s="335"/>
      <c r="O212" s="335"/>
      <c r="P212" s="335"/>
    </row>
    <row r="213" spans="1:16" ht="25.5">
      <c r="A213" s="335" t="str">
        <f>IFERROR(INDEX(PMIS_Data!$A$3:$A$40,7),"")</f>
        <v>07</v>
      </c>
      <c r="B213" s="531">
        <f ca="1">IF($A213="","",IFERROR(INDEX(PMIS_Data!$AB$3:$AB$40,7),""))</f>
        <v>0</v>
      </c>
      <c r="C213" s="335" t="str">
        <f ca="1">IF($A213="","",IFERROR(INDEX(PMIS_Data!$AC$3:$AC$40,7),""))</f>
        <v>Blocked</v>
      </c>
      <c r="D213" s="335" t="str">
        <f ca="1">IF($A213="","",IFERROR(INDEX(PMIS_Data!$AD$3:$AD$40,7),""))</f>
        <v>No blocker documented</v>
      </c>
      <c r="E213" s="531">
        <f ca="1">IF($A213="","",IFERROR(INDEX(PMIS_Data!$AI$3:$AI$40,7),""))</f>
        <v>0</v>
      </c>
      <c r="F213" s="335" t="str">
        <f ca="1">IF($A213="","",IFERROR(INDEX(PMIS_Data!$AJ$3:$AJ$40,7),""))</f>
        <v>Not Ready</v>
      </c>
      <c r="G213" s="335">
        <f ca="1">IF($A213="","",IFERROR(INDEX(PMIS_Data!$AL$3:$AL$40,7),""))</f>
        <v>6</v>
      </c>
      <c r="H213" s="525" t="str">
        <f ca="1">IF($A213="","",IFERROR(INDEX(PMIS_Data!$AM$3:$AM$40,7),""))</f>
        <v>Resolve OIT Blocker</v>
      </c>
      <c r="I213" s="525"/>
      <c r="J213" s="335"/>
      <c r="K213" s="335"/>
      <c r="L213" s="335"/>
      <c r="M213" s="335"/>
      <c r="N213" s="335"/>
      <c r="O213" s="335"/>
      <c r="P213" s="335"/>
    </row>
    <row r="214" spans="1:16" ht="25.5">
      <c r="A214" s="335" t="str">
        <f>IFERROR(INDEX(PMIS_Data!$A$3:$A$40,8),"")</f>
        <v>08</v>
      </c>
      <c r="B214" s="531">
        <f ca="1">IF($A214="","",IFERROR(INDEX(PMIS_Data!$AB$3:$AB$40,8),""))</f>
        <v>0</v>
      </c>
      <c r="C214" s="335" t="str">
        <f ca="1">IF($A214="","",IFERROR(INDEX(PMIS_Data!$AC$3:$AC$40,8),""))</f>
        <v>Blocked</v>
      </c>
      <c r="D214" s="335" t="str">
        <f ca="1">IF($A214="","",IFERROR(INDEX(PMIS_Data!$AD$3:$AD$40,8),""))</f>
        <v>No blocker documented</v>
      </c>
      <c r="E214" s="531">
        <f ca="1">IF($A214="","",IFERROR(INDEX(PMIS_Data!$AI$3:$AI$40,8),""))</f>
        <v>0</v>
      </c>
      <c r="F214" s="335" t="str">
        <f ca="1">IF($A214="","",IFERROR(INDEX(PMIS_Data!$AJ$3:$AJ$40,8),""))</f>
        <v>Not Ready</v>
      </c>
      <c r="G214" s="335">
        <f ca="1">IF($A214="","",IFERROR(INDEX(PMIS_Data!$AL$3:$AL$40,8),""))</f>
        <v>6</v>
      </c>
      <c r="H214" s="525" t="str">
        <f ca="1">IF($A214="","",IFERROR(INDEX(PMIS_Data!$AM$3:$AM$40,8),""))</f>
        <v>Resolve OIT Blocker</v>
      </c>
      <c r="I214" s="525"/>
      <c r="J214" s="335"/>
      <c r="K214" s="335"/>
      <c r="L214" s="335"/>
      <c r="M214" s="335"/>
      <c r="N214" s="335"/>
      <c r="O214" s="335"/>
      <c r="P214" s="335"/>
    </row>
    <row r="215" spans="1:16" ht="25.5">
      <c r="A215" s="335" t="str">
        <f>IFERROR(INDEX(PMIS_Data!$A$3:$A$40,9),"")</f>
        <v>09</v>
      </c>
      <c r="B215" s="531">
        <f ca="1">IF($A215="","",IFERROR(INDEX(PMIS_Data!$AB$3:$AB$40,9),""))</f>
        <v>0</v>
      </c>
      <c r="C215" s="335" t="str">
        <f ca="1">IF($A215="","",IFERROR(INDEX(PMIS_Data!$AC$3:$AC$40,9),""))</f>
        <v>Blocked</v>
      </c>
      <c r="D215" s="335" t="str">
        <f ca="1">IF($A215="","",IFERROR(INDEX(PMIS_Data!$AD$3:$AD$40,9),""))</f>
        <v>No blocker documented</v>
      </c>
      <c r="E215" s="531">
        <f ca="1">IF($A215="","",IFERROR(INDEX(PMIS_Data!$AI$3:$AI$40,9),""))</f>
        <v>0</v>
      </c>
      <c r="F215" s="335" t="str">
        <f ca="1">IF($A215="","",IFERROR(INDEX(PMIS_Data!$AJ$3:$AJ$40,9),""))</f>
        <v>Not Ready</v>
      </c>
      <c r="G215" s="335">
        <f ca="1">IF($A215="","",IFERROR(INDEX(PMIS_Data!$AL$3:$AL$40,9),""))</f>
        <v>6</v>
      </c>
      <c r="H215" s="525" t="str">
        <f ca="1">IF($A215="","",IFERROR(INDEX(PMIS_Data!$AM$3:$AM$40,9),""))</f>
        <v>Resolve OIT Blocker</v>
      </c>
      <c r="I215" s="525"/>
      <c r="J215" s="335"/>
      <c r="K215" s="335"/>
      <c r="L215" s="335"/>
      <c r="M215" s="335"/>
      <c r="N215" s="335"/>
      <c r="O215" s="335"/>
      <c r="P215" s="335"/>
    </row>
    <row r="216" spans="1:16" ht="25.5">
      <c r="A216" s="335" t="str">
        <f>IFERROR(INDEX(PMIS_Data!$A$3:$A$40,10),"")</f>
        <v>10</v>
      </c>
      <c r="B216" s="531">
        <f ca="1">IF($A216="","",IFERROR(INDEX(PMIS_Data!$AB$3:$AB$40,10),""))</f>
        <v>0</v>
      </c>
      <c r="C216" s="335" t="str">
        <f ca="1">IF($A216="","",IFERROR(INDEX(PMIS_Data!$AC$3:$AC$40,10),""))</f>
        <v>Blocked</v>
      </c>
      <c r="D216" s="335" t="str">
        <f ca="1">IF($A216="","",IFERROR(INDEX(PMIS_Data!$AD$3:$AD$40,10),""))</f>
        <v>No blocker documented</v>
      </c>
      <c r="E216" s="531">
        <f ca="1">IF($A216="","",IFERROR(INDEX(PMIS_Data!$AI$3:$AI$40,10),""))</f>
        <v>0</v>
      </c>
      <c r="F216" s="335" t="str">
        <f ca="1">IF($A216="","",IFERROR(INDEX(PMIS_Data!$AJ$3:$AJ$40,10),""))</f>
        <v>Not Ready</v>
      </c>
      <c r="G216" s="335">
        <f ca="1">IF($A216="","",IFERROR(INDEX(PMIS_Data!$AL$3:$AL$40,10),""))</f>
        <v>6</v>
      </c>
      <c r="H216" s="525" t="str">
        <f ca="1">IF($A216="","",IFERROR(INDEX(PMIS_Data!$AM$3:$AM$40,10),""))</f>
        <v>Resolve OIT Blocker</v>
      </c>
      <c r="I216" s="525"/>
      <c r="J216" s="335"/>
      <c r="K216" s="335"/>
      <c r="L216" s="335"/>
      <c r="M216" s="335"/>
      <c r="N216" s="335"/>
      <c r="O216" s="335"/>
      <c r="P216" s="335"/>
    </row>
    <row r="217" spans="1:16" ht="25.5">
      <c r="A217" s="335" t="str">
        <f>IFERROR(INDEX(PMIS_Data!$A$3:$A$40,11),"")</f>
        <v>12</v>
      </c>
      <c r="B217" s="531">
        <f ca="1">IF($A217="","",IFERROR(INDEX(PMIS_Data!$AB$3:$AB$40,11),""))</f>
        <v>0</v>
      </c>
      <c r="C217" s="335" t="str">
        <f ca="1">IF($A217="","",IFERROR(INDEX(PMIS_Data!$AC$3:$AC$40,11),""))</f>
        <v>Blocked</v>
      </c>
      <c r="D217" s="335" t="str">
        <f ca="1">IF($A217="","",IFERROR(INDEX(PMIS_Data!$AD$3:$AD$40,11),""))</f>
        <v>No blocker documented</v>
      </c>
      <c r="E217" s="531">
        <f ca="1">IF($A217="","",IFERROR(INDEX(PMIS_Data!$AI$3:$AI$40,11),""))</f>
        <v>0</v>
      </c>
      <c r="F217" s="335" t="str">
        <f ca="1">IF($A217="","",IFERROR(INDEX(PMIS_Data!$AJ$3:$AJ$40,11),""))</f>
        <v>Not Ready</v>
      </c>
      <c r="G217" s="335">
        <f ca="1">IF($A217="","",IFERROR(INDEX(PMIS_Data!$AL$3:$AL$40,11),""))</f>
        <v>6</v>
      </c>
      <c r="H217" s="525" t="str">
        <f ca="1">IF($A217="","",IFERROR(INDEX(PMIS_Data!$AM$3:$AM$40,11),""))</f>
        <v>Resolve OIT Blocker</v>
      </c>
      <c r="I217" s="525"/>
      <c r="J217" s="335"/>
      <c r="K217" s="335"/>
      <c r="L217" s="335"/>
      <c r="M217" s="335"/>
      <c r="N217" s="335"/>
      <c r="O217" s="335"/>
      <c r="P217" s="335"/>
    </row>
    <row r="218" spans="1:16" ht="25.5">
      <c r="A218" s="335" t="str">
        <f>IFERROR(INDEX(PMIS_Data!$A$3:$A$40,12),"")</f>
        <v>13</v>
      </c>
      <c r="B218" s="531">
        <f ca="1">IF($A218="","",IFERROR(INDEX(PMIS_Data!$AB$3:$AB$40,12),""))</f>
        <v>0</v>
      </c>
      <c r="C218" s="335" t="str">
        <f ca="1">IF($A218="","",IFERROR(INDEX(PMIS_Data!$AC$3:$AC$40,12),""))</f>
        <v>Blocked</v>
      </c>
      <c r="D218" s="335" t="str">
        <f ca="1">IF($A218="","",IFERROR(INDEX(PMIS_Data!$AD$3:$AD$40,12),""))</f>
        <v>No blocker documented</v>
      </c>
      <c r="E218" s="531">
        <f ca="1">IF($A218="","",IFERROR(INDEX(PMIS_Data!$AI$3:$AI$40,12),""))</f>
        <v>0</v>
      </c>
      <c r="F218" s="335" t="str">
        <f ca="1">IF($A218="","",IFERROR(INDEX(PMIS_Data!$AJ$3:$AJ$40,12),""))</f>
        <v>Not Ready</v>
      </c>
      <c r="G218" s="335">
        <f ca="1">IF($A218="","",IFERROR(INDEX(PMIS_Data!$AL$3:$AL$40,12),""))</f>
        <v>6</v>
      </c>
      <c r="H218" s="525" t="str">
        <f ca="1">IF($A218="","",IFERROR(INDEX(PMIS_Data!$AM$3:$AM$40,12),""))</f>
        <v>Resolve OIT Blocker</v>
      </c>
      <c r="I218" s="525"/>
      <c r="J218" s="335"/>
      <c r="K218" s="335"/>
      <c r="L218" s="335"/>
      <c r="M218" s="335"/>
      <c r="N218" s="335"/>
      <c r="O218" s="335"/>
      <c r="P218" s="335"/>
    </row>
    <row r="219" spans="1:16" ht="25.5">
      <c r="A219" s="335" t="str">
        <f>IFERROR(INDEX(PMIS_Data!$A$3:$A$40,13),"")</f>
        <v>14</v>
      </c>
      <c r="B219" s="531">
        <f ca="1">IF($A219="","",IFERROR(INDEX(PMIS_Data!$AB$3:$AB$40,13),""))</f>
        <v>0</v>
      </c>
      <c r="C219" s="335" t="str">
        <f ca="1">IF($A219="","",IFERROR(INDEX(PMIS_Data!$AC$3:$AC$40,13),""))</f>
        <v>Blocked</v>
      </c>
      <c r="D219" s="335" t="str">
        <f ca="1">IF($A219="","",IFERROR(INDEX(PMIS_Data!$AD$3:$AD$40,13),""))</f>
        <v>No blocker documented</v>
      </c>
      <c r="E219" s="531">
        <f ca="1">IF($A219="","",IFERROR(INDEX(PMIS_Data!$AI$3:$AI$40,13),""))</f>
        <v>0</v>
      </c>
      <c r="F219" s="335" t="str">
        <f ca="1">IF($A219="","",IFERROR(INDEX(PMIS_Data!$AJ$3:$AJ$40,13),""))</f>
        <v>Not Ready</v>
      </c>
      <c r="G219" s="335">
        <f ca="1">IF($A219="","",IFERROR(INDEX(PMIS_Data!$AL$3:$AL$40,13),""))</f>
        <v>6</v>
      </c>
      <c r="H219" s="525" t="str">
        <f ca="1">IF($A219="","",IFERROR(INDEX(PMIS_Data!$AM$3:$AM$40,13),""))</f>
        <v>Resolve OIT Blocker</v>
      </c>
      <c r="I219" s="525"/>
      <c r="J219" s="335"/>
      <c r="K219" s="335"/>
      <c r="L219" s="335"/>
      <c r="M219" s="335"/>
      <c r="N219" s="335"/>
      <c r="O219" s="335"/>
      <c r="P219" s="335"/>
    </row>
    <row r="220" spans="1:16" ht="25.5">
      <c r="A220" s="335" t="str">
        <f>IFERROR(INDEX(PMIS_Data!$A$3:$A$40,14),"")</f>
        <v>15</v>
      </c>
      <c r="B220" s="531">
        <f ca="1">IF($A220="","",IFERROR(INDEX(PMIS_Data!$AB$3:$AB$40,14),""))</f>
        <v>0</v>
      </c>
      <c r="C220" s="335" t="str">
        <f ca="1">IF($A220="","",IFERROR(INDEX(PMIS_Data!$AC$3:$AC$40,14),""))</f>
        <v>Blocked</v>
      </c>
      <c r="D220" s="335" t="str">
        <f ca="1">IF($A220="","",IFERROR(INDEX(PMIS_Data!$AD$3:$AD$40,14),""))</f>
        <v>No blocker documented</v>
      </c>
      <c r="E220" s="531">
        <f ca="1">IF($A220="","",IFERROR(INDEX(PMIS_Data!$AI$3:$AI$40,14),""))</f>
        <v>0</v>
      </c>
      <c r="F220" s="335" t="str">
        <f ca="1">IF($A220="","",IFERROR(INDEX(PMIS_Data!$AJ$3:$AJ$40,14),""))</f>
        <v>Not Ready</v>
      </c>
      <c r="G220" s="335">
        <f ca="1">IF($A220="","",IFERROR(INDEX(PMIS_Data!$AL$3:$AL$40,14),""))</f>
        <v>6</v>
      </c>
      <c r="H220" s="525" t="str">
        <f ca="1">IF($A220="","",IFERROR(INDEX(PMIS_Data!$AM$3:$AM$40,14),""))</f>
        <v>Resolve OIT Blocker</v>
      </c>
      <c r="I220" s="525"/>
      <c r="J220" s="335"/>
      <c r="K220" s="335"/>
      <c r="L220" s="335"/>
      <c r="M220" s="335"/>
      <c r="N220" s="335"/>
      <c r="O220" s="335"/>
      <c r="P220" s="335"/>
    </row>
    <row r="221" spans="1:16" ht="25.5">
      <c r="A221" s="335" t="str">
        <f>IFERROR(INDEX(PMIS_Data!$A$3:$A$40,15),"")</f>
        <v>16</v>
      </c>
      <c r="B221" s="531">
        <f ca="1">IF($A221="","",IFERROR(INDEX(PMIS_Data!$AB$3:$AB$40,15),""))</f>
        <v>0</v>
      </c>
      <c r="C221" s="335" t="str">
        <f ca="1">IF($A221="","",IFERROR(INDEX(PMIS_Data!$AC$3:$AC$40,15),""))</f>
        <v>Blocked</v>
      </c>
      <c r="D221" s="335" t="str">
        <f ca="1">IF($A221="","",IFERROR(INDEX(PMIS_Data!$AD$3:$AD$40,15),""))</f>
        <v>No blocker documented</v>
      </c>
      <c r="E221" s="531">
        <f ca="1">IF($A221="","",IFERROR(INDEX(PMIS_Data!$AI$3:$AI$40,15),""))</f>
        <v>0</v>
      </c>
      <c r="F221" s="335" t="str">
        <f ca="1">IF($A221="","",IFERROR(INDEX(PMIS_Data!$AJ$3:$AJ$40,15),""))</f>
        <v>Not Ready</v>
      </c>
      <c r="G221" s="335">
        <f ca="1">IF($A221="","",IFERROR(INDEX(PMIS_Data!$AL$3:$AL$40,15),""))</f>
        <v>6</v>
      </c>
      <c r="H221" s="335" t="str">
        <f ca="1">IF($A221="","",IFERROR(INDEX(PMIS_Data!$AM$3:$AM$40,15),""))</f>
        <v>Resolve OIT Blocker</v>
      </c>
      <c r="I221" s="335"/>
      <c r="J221" s="335"/>
      <c r="K221" s="335"/>
      <c r="L221" s="335"/>
      <c r="M221" s="335"/>
      <c r="N221" s="335"/>
      <c r="O221" s="335"/>
      <c r="P221" s="335"/>
    </row>
    <row r="222" spans="1:16" ht="25.5">
      <c r="A222" s="335" t="str">
        <f>IFERROR(INDEX(PMIS_Data!$A$3:$A$40,16),"")</f>
        <v>17</v>
      </c>
      <c r="B222" s="531">
        <f ca="1">IF($A222="","",IFERROR(INDEX(PMIS_Data!$AB$3:$AB$40,16),""))</f>
        <v>0</v>
      </c>
      <c r="C222" s="335" t="str">
        <f ca="1">IF($A222="","",IFERROR(INDEX(PMIS_Data!$AC$3:$AC$40,16),""))</f>
        <v>Blocked</v>
      </c>
      <c r="D222" s="335" t="str">
        <f ca="1">IF($A222="","",IFERROR(INDEX(PMIS_Data!$AD$3:$AD$40,16),""))</f>
        <v>No blocker documented</v>
      </c>
      <c r="E222" s="531">
        <f ca="1">IF($A222="","",IFERROR(INDEX(PMIS_Data!$AI$3:$AI$40,16),""))</f>
        <v>0</v>
      </c>
      <c r="F222" s="335" t="str">
        <f ca="1">IF($A222="","",IFERROR(INDEX(PMIS_Data!$AJ$3:$AJ$40,16),""))</f>
        <v>Not Ready</v>
      </c>
      <c r="G222" s="335">
        <f ca="1">IF($A222="","",IFERROR(INDEX(PMIS_Data!$AL$3:$AL$40,16),""))</f>
        <v>6</v>
      </c>
      <c r="H222" s="335" t="str">
        <f ca="1">IF($A222="","",IFERROR(INDEX(PMIS_Data!$AM$3:$AM$40,16),""))</f>
        <v>Resolve OIT Blocker</v>
      </c>
      <c r="I222" s="335"/>
      <c r="J222" s="335"/>
      <c r="K222" s="335"/>
      <c r="L222" s="335"/>
      <c r="M222" s="335"/>
      <c r="N222" s="335"/>
      <c r="O222" s="335"/>
      <c r="P222" s="335"/>
    </row>
    <row r="223" spans="1:16" ht="25.5">
      <c r="A223" s="335" t="str">
        <f>IFERROR(INDEX(PMIS_Data!$A$3:$A$40,17),"")</f>
        <v>18</v>
      </c>
      <c r="B223" s="531">
        <f ca="1">IF($A223="","",IFERROR(INDEX(PMIS_Data!$AB$3:$AB$40,17),""))</f>
        <v>0</v>
      </c>
      <c r="C223" s="335" t="str">
        <f ca="1">IF($A223="","",IFERROR(INDEX(PMIS_Data!$AC$3:$AC$40,17),""))</f>
        <v>Blocked</v>
      </c>
      <c r="D223" s="335" t="str">
        <f ca="1">IF($A223="","",IFERROR(INDEX(PMIS_Data!$AD$3:$AD$40,17),""))</f>
        <v>No blocker documented</v>
      </c>
      <c r="E223" s="531">
        <f ca="1">IF($A223="","",IFERROR(INDEX(PMIS_Data!$AI$3:$AI$40,17),""))</f>
        <v>0</v>
      </c>
      <c r="F223" s="335" t="str">
        <f ca="1">IF($A223="","",IFERROR(INDEX(PMIS_Data!$AJ$3:$AJ$40,17),""))</f>
        <v>Not Ready</v>
      </c>
      <c r="G223" s="335">
        <f ca="1">IF($A223="","",IFERROR(INDEX(PMIS_Data!$AL$3:$AL$40,17),""))</f>
        <v>6</v>
      </c>
      <c r="H223" s="335" t="str">
        <f ca="1">IF($A223="","",IFERROR(INDEX(PMIS_Data!$AM$3:$AM$40,17),""))</f>
        <v>Resolve OIT Blocker</v>
      </c>
      <c r="I223" s="335"/>
      <c r="J223" s="335"/>
      <c r="K223" s="335"/>
      <c r="L223" s="335"/>
      <c r="M223" s="335"/>
      <c r="N223" s="335"/>
      <c r="O223" s="335"/>
      <c r="P223" s="335"/>
    </row>
    <row r="224" spans="1:16" ht="25.5">
      <c r="A224" s="335" t="str">
        <f>IFERROR(INDEX(PMIS_Data!$A$3:$A$40,18),"")</f>
        <v>20</v>
      </c>
      <c r="B224" s="531">
        <f ca="1">IF($A224="","",IFERROR(INDEX(PMIS_Data!$AB$3:$AB$40,18),""))</f>
        <v>0</v>
      </c>
      <c r="C224" s="335" t="str">
        <f ca="1">IF($A224="","",IFERROR(INDEX(PMIS_Data!$AC$3:$AC$40,18),""))</f>
        <v>Blocked</v>
      </c>
      <c r="D224" s="335" t="str">
        <f ca="1">IF($A224="","",IFERROR(INDEX(PMIS_Data!$AD$3:$AD$40,18),""))</f>
        <v>No blocker documented</v>
      </c>
      <c r="E224" s="531">
        <f ca="1">IF($A224="","",IFERROR(INDEX(PMIS_Data!$AI$3:$AI$40,18),""))</f>
        <v>0</v>
      </c>
      <c r="F224" s="335" t="str">
        <f ca="1">IF($A224="","",IFERROR(INDEX(PMIS_Data!$AJ$3:$AJ$40,18),""))</f>
        <v>Not Ready</v>
      </c>
      <c r="G224" s="335">
        <f ca="1">IF($A224="","",IFERROR(INDEX(PMIS_Data!$AL$3:$AL$40,18),""))</f>
        <v>6</v>
      </c>
      <c r="H224" s="335" t="str">
        <f ca="1">IF($A224="","",IFERROR(INDEX(PMIS_Data!$AM$3:$AM$40,18),""))</f>
        <v>Resolve OIT Blocker</v>
      </c>
      <c r="I224" s="335"/>
      <c r="J224" s="335"/>
      <c r="K224" s="335"/>
      <c r="L224" s="335"/>
      <c r="M224" s="335"/>
      <c r="N224" s="335"/>
      <c r="O224" s="335"/>
      <c r="P224" s="335"/>
    </row>
    <row r="225" spans="1:16" ht="25.5">
      <c r="A225" s="335" t="str">
        <f>IFERROR(INDEX(PMIS_Data!$A$3:$A$40,19),"")</f>
        <v>21</v>
      </c>
      <c r="B225" s="531">
        <f ca="1">IF($A225="","",IFERROR(INDEX(PMIS_Data!$AB$3:$AB$40,19),""))</f>
        <v>0</v>
      </c>
      <c r="C225" s="335" t="str">
        <f ca="1">IF($A225="","",IFERROR(INDEX(PMIS_Data!$AC$3:$AC$40,19),""))</f>
        <v>Blocked</v>
      </c>
      <c r="D225" s="335" t="str">
        <f ca="1">IF($A225="","",IFERROR(INDEX(PMIS_Data!$AD$3:$AD$40,19),""))</f>
        <v>No blocker documented</v>
      </c>
      <c r="E225" s="531">
        <f ca="1">IF($A225="","",IFERROR(INDEX(PMIS_Data!$AI$3:$AI$40,19),""))</f>
        <v>0</v>
      </c>
      <c r="F225" s="335" t="str">
        <f ca="1">IF($A225="","",IFERROR(INDEX(PMIS_Data!$AJ$3:$AJ$40,19),""))</f>
        <v>Not Ready</v>
      </c>
      <c r="G225" s="335">
        <f ca="1">IF($A225="","",IFERROR(INDEX(PMIS_Data!$AL$3:$AL$40,19),""))</f>
        <v>6</v>
      </c>
      <c r="H225" s="335" t="str">
        <f ca="1">IF($A225="","",IFERROR(INDEX(PMIS_Data!$AM$3:$AM$40,19),""))</f>
        <v>Resolve OIT Blocker</v>
      </c>
      <c r="I225" s="335"/>
      <c r="J225" s="335"/>
      <c r="K225" s="335"/>
      <c r="L225" s="335"/>
      <c r="M225" s="335"/>
      <c r="N225" s="335"/>
      <c r="O225" s="335"/>
      <c r="P225" s="335"/>
    </row>
    <row r="226" spans="1:16" ht="25.5">
      <c r="A226" s="335" t="str">
        <f>IFERROR(INDEX(PMIS_Data!$A$3:$A$40,20),"")</f>
        <v>22</v>
      </c>
      <c r="B226" s="531">
        <f ca="1">IF($A226="","",IFERROR(INDEX(PMIS_Data!$AB$3:$AB$40,20),""))</f>
        <v>0</v>
      </c>
      <c r="C226" s="335" t="str">
        <f ca="1">IF($A226="","",IFERROR(INDEX(PMIS_Data!$AC$3:$AC$40,20),""))</f>
        <v>Blocked</v>
      </c>
      <c r="D226" s="335" t="str">
        <f ca="1">IF($A226="","",IFERROR(INDEX(PMIS_Data!$AD$3:$AD$40,20),""))</f>
        <v>No blocker documented</v>
      </c>
      <c r="E226" s="531">
        <f ca="1">IF($A226="","",IFERROR(INDEX(PMIS_Data!$AI$3:$AI$40,20),""))</f>
        <v>0</v>
      </c>
      <c r="F226" s="335" t="str">
        <f ca="1">IF($A226="","",IFERROR(INDEX(PMIS_Data!$AJ$3:$AJ$40,20),""))</f>
        <v>Not Ready</v>
      </c>
      <c r="G226" s="335">
        <f ca="1">IF($A226="","",IFERROR(INDEX(PMIS_Data!$AL$3:$AL$40,20),""))</f>
        <v>6</v>
      </c>
      <c r="H226" s="335" t="str">
        <f ca="1">IF($A226="","",IFERROR(INDEX(PMIS_Data!$AM$3:$AM$40,20),""))</f>
        <v>Resolve OIT Blocker</v>
      </c>
      <c r="I226" s="335"/>
      <c r="J226" s="335"/>
      <c r="K226" s="335"/>
      <c r="L226" s="335"/>
      <c r="M226" s="335"/>
      <c r="N226" s="335"/>
      <c r="O226" s="335"/>
      <c r="P226" s="335"/>
    </row>
    <row r="227" spans="1:16" ht="25.5">
      <c r="A227" s="335" t="str">
        <f>IFERROR(INDEX(PMIS_Data!$A$3:$A$40,21),"")</f>
        <v>33</v>
      </c>
      <c r="B227" s="531">
        <f ca="1">IF($A227="","",IFERROR(INDEX(PMIS_Data!$AB$3:$AB$40,21),""))</f>
        <v>0</v>
      </c>
      <c r="C227" s="335" t="str">
        <f ca="1">IF($A227="","",IFERROR(INDEX(PMIS_Data!$AC$3:$AC$40,21),""))</f>
        <v>Blocked</v>
      </c>
      <c r="D227" s="335" t="str">
        <f ca="1">IF($A227="","",IFERROR(INDEX(PMIS_Data!$AD$3:$AD$40,21),""))</f>
        <v>No blocker documented</v>
      </c>
      <c r="E227" s="531">
        <f ca="1">IF($A227="","",IFERROR(INDEX(PMIS_Data!$AI$3:$AI$40,21),""))</f>
        <v>0</v>
      </c>
      <c r="F227" s="335" t="str">
        <f ca="1">IF($A227="","",IFERROR(INDEX(PMIS_Data!$AJ$3:$AJ$40,21),""))</f>
        <v>Not Ready</v>
      </c>
      <c r="G227" s="335">
        <f ca="1">IF($A227="","",IFERROR(INDEX(PMIS_Data!$AL$3:$AL$40,21),""))</f>
        <v>6</v>
      </c>
      <c r="H227" s="335" t="str">
        <f ca="1">IF($A227="","",IFERROR(INDEX(PMIS_Data!$AM$3:$AM$40,21),""))</f>
        <v>Resolve OIT Blocker</v>
      </c>
      <c r="I227" s="335"/>
      <c r="J227" s="335"/>
      <c r="K227" s="335"/>
      <c r="L227" s="335"/>
      <c r="M227" s="335"/>
      <c r="N227" s="335"/>
      <c r="O227" s="335"/>
      <c r="P227" s="335"/>
    </row>
    <row r="228" spans="1:16" ht="25.5">
      <c r="A228" s="335" t="str">
        <f>IFERROR(INDEX(PMIS_Data!$A$3:$A$40,22),"")</f>
        <v>61</v>
      </c>
      <c r="B228" s="531">
        <f ca="1">IF($A228="","",IFERROR(INDEX(PMIS_Data!$AB$3:$AB$40,22),""))</f>
        <v>0</v>
      </c>
      <c r="C228" s="335" t="str">
        <f ca="1">IF($A228="","",IFERROR(INDEX(PMIS_Data!$AC$3:$AC$40,22),""))</f>
        <v>Blocked</v>
      </c>
      <c r="D228" s="335" t="str">
        <f ca="1">IF($A228="","",IFERROR(INDEX(PMIS_Data!$AD$3:$AD$40,22),""))</f>
        <v>No blocker documented</v>
      </c>
      <c r="E228" s="531">
        <f ca="1">IF($A228="","",IFERROR(INDEX(PMIS_Data!$AI$3:$AI$40,22),""))</f>
        <v>0</v>
      </c>
      <c r="F228" s="335" t="str">
        <f ca="1">IF($A228="","",IFERROR(INDEX(PMIS_Data!$AJ$3:$AJ$40,22),""))</f>
        <v>Not Ready</v>
      </c>
      <c r="G228" s="335">
        <f ca="1">IF($A228="","",IFERROR(INDEX(PMIS_Data!$AL$3:$AL$40,22),""))</f>
        <v>0</v>
      </c>
      <c r="H228" s="335" t="str">
        <f ca="1">IF($A228="","",IFERROR(INDEX(PMIS_Data!$AM$3:$AM$40,22),""))</f>
        <v>Resolve OIT Blocker</v>
      </c>
      <c r="I228" s="335"/>
      <c r="J228" s="335"/>
      <c r="K228" s="335"/>
      <c r="L228" s="335"/>
      <c r="M228" s="335"/>
      <c r="N228" s="335"/>
      <c r="O228" s="335"/>
      <c r="P228" s="335"/>
    </row>
    <row r="229" spans="1:16" ht="25.5">
      <c r="A229" s="335" t="str">
        <f>IFERROR(INDEX(PMIS_Data!$A$3:$A$40,23),"")</f>
        <v>62</v>
      </c>
      <c r="B229" s="531">
        <f ca="1">IF($A229="","",IFERROR(INDEX(PMIS_Data!$AB$3:$AB$40,23),""))</f>
        <v>0</v>
      </c>
      <c r="C229" s="335" t="str">
        <f ca="1">IF($A229="","",IFERROR(INDEX(PMIS_Data!$AC$3:$AC$40,23),""))</f>
        <v>Blocked</v>
      </c>
      <c r="D229" s="335" t="str">
        <f ca="1">IF($A229="","",IFERROR(INDEX(PMIS_Data!$AD$3:$AD$40,23),""))</f>
        <v>No blocker documented</v>
      </c>
      <c r="E229" s="531">
        <f ca="1">IF($A229="","",IFERROR(INDEX(PMIS_Data!$AI$3:$AI$40,23),""))</f>
        <v>0</v>
      </c>
      <c r="F229" s="335" t="str">
        <f ca="1">IF($A229="","",IFERROR(INDEX(PMIS_Data!$AJ$3:$AJ$40,23),""))</f>
        <v>Not Ready</v>
      </c>
      <c r="G229" s="335">
        <f ca="1">IF($A229="","",IFERROR(INDEX(PMIS_Data!$AL$3:$AL$40,23),""))</f>
        <v>6</v>
      </c>
      <c r="H229" s="335" t="str">
        <f ca="1">IF($A229="","",IFERROR(INDEX(PMIS_Data!$AM$3:$AM$40,23),""))</f>
        <v>Resolve OIT Blocker</v>
      </c>
      <c r="I229" s="335"/>
      <c r="J229" s="335"/>
      <c r="K229" s="335"/>
      <c r="L229" s="335"/>
      <c r="M229" s="335"/>
      <c r="N229" s="335"/>
      <c r="O229" s="335"/>
      <c r="P229" s="335"/>
    </row>
    <row r="230" spans="1:16" ht="25.5">
      <c r="A230" s="335" t="str">
        <f>IFERROR(INDEX(PMIS_Data!$A$3:$A$40,24),"")</f>
        <v>70</v>
      </c>
      <c r="B230" s="531">
        <f ca="1">IF($A230="","",IFERROR(INDEX(PMIS_Data!$AB$3:$AB$40,24),""))</f>
        <v>0</v>
      </c>
      <c r="C230" s="335" t="str">
        <f ca="1">IF($A230="","",IFERROR(INDEX(PMIS_Data!$AC$3:$AC$40,24),""))</f>
        <v>Blocked</v>
      </c>
      <c r="D230" s="335" t="str">
        <f ca="1">IF($A230="","",IFERROR(INDEX(PMIS_Data!$AD$3:$AD$40,24),""))</f>
        <v>No blocker documented</v>
      </c>
      <c r="E230" s="531">
        <f ca="1">IF($A230="","",IFERROR(INDEX(PMIS_Data!$AI$3:$AI$40,24),""))</f>
        <v>0</v>
      </c>
      <c r="F230" s="335" t="str">
        <f ca="1">IF($A230="","",IFERROR(INDEX(PMIS_Data!$AJ$3:$AJ$40,24),""))</f>
        <v>Not Ready</v>
      </c>
      <c r="G230" s="335">
        <f ca="1">IF($A230="","",IFERROR(INDEX(PMIS_Data!$AL$3:$AL$40,24),""))</f>
        <v>6</v>
      </c>
      <c r="H230" s="335" t="str">
        <f ca="1">IF($A230="","",IFERROR(INDEX(PMIS_Data!$AM$3:$AM$40,24),""))</f>
        <v>Resolve OIT Blocker</v>
      </c>
      <c r="I230" s="335"/>
      <c r="J230" s="335"/>
      <c r="K230" s="335"/>
      <c r="L230" s="335"/>
      <c r="M230" s="335"/>
      <c r="N230" s="335"/>
      <c r="O230" s="335"/>
      <c r="P230" s="335"/>
    </row>
    <row r="231" spans="1:16" ht="25.5">
      <c r="A231" s="335" t="str">
        <f>IFERROR(INDEX(PMIS_Data!$A$3:$A$40,25),"")</f>
        <v>78</v>
      </c>
      <c r="B231" s="531">
        <f ca="1">IF($A231="","",IFERROR(INDEX(PMIS_Data!$AB$3:$AB$40,25),""))</f>
        <v>0</v>
      </c>
      <c r="C231" s="335" t="str">
        <f ca="1">IF($A231="","",IFERROR(INDEX(PMIS_Data!$AC$3:$AC$40,25),""))</f>
        <v>Blocked</v>
      </c>
      <c r="D231" s="335" t="str">
        <f ca="1">IF($A231="","",IFERROR(INDEX(PMIS_Data!$AD$3:$AD$40,25),""))</f>
        <v>No blocker documented</v>
      </c>
      <c r="E231" s="531">
        <f ca="1">IF($A231="","",IFERROR(INDEX(PMIS_Data!$AI$3:$AI$40,25),""))</f>
        <v>0</v>
      </c>
      <c r="F231" s="335" t="str">
        <f ca="1">IF($A231="","",IFERROR(INDEX(PMIS_Data!$AJ$3:$AJ$40,25),""))</f>
        <v>Not Ready</v>
      </c>
      <c r="G231" s="335">
        <f ca="1">IF($A231="","",IFERROR(INDEX(PMIS_Data!$AL$3:$AL$40,25),""))</f>
        <v>6</v>
      </c>
      <c r="H231" s="335" t="str">
        <f ca="1">IF($A231="","",IFERROR(INDEX(PMIS_Data!$AM$3:$AM$40,25),""))</f>
        <v>Resolve OIT Blocker</v>
      </c>
      <c r="I231" s="335"/>
      <c r="J231" s="335"/>
      <c r="K231" s="335"/>
      <c r="L231" s="335"/>
      <c r="M231" s="335"/>
      <c r="N231" s="335"/>
      <c r="O231" s="335"/>
      <c r="P231" s="335"/>
    </row>
    <row r="232" spans="1:16" ht="25.5">
      <c r="A232" s="335" t="str">
        <f>IFERROR(INDEX(PMIS_Data!$A$3:$A$40,26),"")</f>
        <v>80</v>
      </c>
      <c r="B232" s="531">
        <f ca="1">IF($A232="","",IFERROR(INDEX(PMIS_Data!$AB$3:$AB$40,26),""))</f>
        <v>0</v>
      </c>
      <c r="C232" s="335" t="str">
        <f ca="1">IF($A232="","",IFERROR(INDEX(PMIS_Data!$AC$3:$AC$40,26),""))</f>
        <v>Blocked</v>
      </c>
      <c r="D232" s="335" t="str">
        <f ca="1">IF($A232="","",IFERROR(INDEX(PMIS_Data!$AD$3:$AD$40,26),""))</f>
        <v>No blocker documented</v>
      </c>
      <c r="E232" s="531">
        <f ca="1">IF($A232="","",IFERROR(INDEX(PMIS_Data!$AI$3:$AI$40,26),""))</f>
        <v>0</v>
      </c>
      <c r="F232" s="335" t="str">
        <f ca="1">IF($A232="","",IFERROR(INDEX(PMIS_Data!$AJ$3:$AJ$40,26),""))</f>
        <v>Not Ready</v>
      </c>
      <c r="G232" s="335">
        <f ca="1">IF($A232="","",IFERROR(INDEX(PMIS_Data!$AL$3:$AL$40,26),""))</f>
        <v>6</v>
      </c>
      <c r="H232" s="335" t="str">
        <f ca="1">IF($A232="","",IFERROR(INDEX(PMIS_Data!$AM$3:$AM$40,26),""))</f>
        <v>Resolve OIT Blocker</v>
      </c>
      <c r="I232" s="335"/>
      <c r="J232" s="335"/>
      <c r="K232" s="335"/>
      <c r="L232" s="335"/>
      <c r="M232" s="335"/>
      <c r="N232" s="335"/>
      <c r="O232" s="335"/>
      <c r="P232" s="335"/>
    </row>
    <row r="233" spans="1:16" ht="25.5">
      <c r="A233" s="335" t="str">
        <f>IFERROR(INDEX(PMIS_Data!$A$3:$A$40,27),"")</f>
        <v>82</v>
      </c>
      <c r="B233" s="531">
        <f ca="1">IF($A233="","",IFERROR(INDEX(PMIS_Data!$AB$3:$AB$40,27),""))</f>
        <v>0</v>
      </c>
      <c r="C233" s="335" t="str">
        <f ca="1">IF($A233="","",IFERROR(INDEX(PMIS_Data!$AC$3:$AC$40,27),""))</f>
        <v>Blocked</v>
      </c>
      <c r="D233" s="335" t="str">
        <f ca="1">IF($A233="","",IFERROR(INDEX(PMIS_Data!$AD$3:$AD$40,27),""))</f>
        <v>No blocker documented</v>
      </c>
      <c r="E233" s="531">
        <f ca="1">IF($A233="","",IFERROR(INDEX(PMIS_Data!$AI$3:$AI$40,27),""))</f>
        <v>0</v>
      </c>
      <c r="F233" s="335" t="str">
        <f ca="1">IF($A233="","",IFERROR(INDEX(PMIS_Data!$AJ$3:$AJ$40,27),""))</f>
        <v>Not Ready</v>
      </c>
      <c r="G233" s="335">
        <f ca="1">IF($A233="","",IFERROR(INDEX(PMIS_Data!$AL$3:$AL$40,27),""))</f>
        <v>6</v>
      </c>
      <c r="H233" s="335" t="str">
        <f ca="1">IF($A233="","",IFERROR(INDEX(PMIS_Data!$AM$3:$AM$40,27),""))</f>
        <v>Resolve OIT Blocker</v>
      </c>
      <c r="I233" s="335"/>
      <c r="J233" s="335"/>
      <c r="K233" s="335"/>
      <c r="L233" s="335"/>
      <c r="M233" s="335"/>
      <c r="N233" s="335"/>
      <c r="O233" s="335"/>
      <c r="P233" s="335"/>
    </row>
    <row r="234" spans="1:16" ht="25.5">
      <c r="A234" s="335" t="str">
        <f>IFERROR(INDEX(PMIS_Data!$A$3:$A$40,28),"")</f>
        <v>BCH</v>
      </c>
      <c r="B234" s="531">
        <f ca="1">IF($A234="","",IFERROR(INDEX(PMIS_Data!$AB$3:$AB$40,28),""))</f>
        <v>0</v>
      </c>
      <c r="C234" s="335" t="str">
        <f ca="1">IF($A234="","",IFERROR(INDEX(PMIS_Data!$AC$3:$AC$40,28),""))</f>
        <v>Blocked</v>
      </c>
      <c r="D234" s="335" t="str">
        <f ca="1">IF($A234="","",IFERROR(INDEX(PMIS_Data!$AD$3:$AD$40,28),""))</f>
        <v>No blocker documented</v>
      </c>
      <c r="E234" s="531">
        <f ca="1">IF($A234="","",IFERROR(INDEX(PMIS_Data!$AI$3:$AI$40,28),""))</f>
        <v>0</v>
      </c>
      <c r="F234" s="335" t="str">
        <f ca="1">IF($A234="","",IFERROR(INDEX(PMIS_Data!$AJ$3:$AJ$40,28),""))</f>
        <v>Not Ready</v>
      </c>
      <c r="G234" s="335">
        <f ca="1">IF($A234="","",IFERROR(INDEX(PMIS_Data!$AL$3:$AL$40,28),""))</f>
        <v>6</v>
      </c>
      <c r="H234" s="335" t="str">
        <f ca="1">IF($A234="","",IFERROR(INDEX(PMIS_Data!$AM$3:$AM$40,28),""))</f>
        <v>Resolve OIT Blocker</v>
      </c>
      <c r="I234" s="335"/>
      <c r="J234" s="335"/>
      <c r="K234" s="335"/>
      <c r="L234" s="335"/>
      <c r="M234" s="335"/>
      <c r="N234" s="335"/>
      <c r="O234" s="335"/>
      <c r="P234" s="335"/>
    </row>
    <row r="235" spans="1:16" ht="25.5">
      <c r="A235" s="335" t="str">
        <f>IFERROR(INDEX(PMIS_Data!$A$3:$A$40,29),"")</f>
        <v>MCR</v>
      </c>
      <c r="B235" s="531">
        <f ca="1">IF($A235="","",IFERROR(INDEX(PMIS_Data!$AB$3:$AB$40,29),""))</f>
        <v>0</v>
      </c>
      <c r="C235" s="335" t="str">
        <f ca="1">IF($A235="","",IFERROR(INDEX(PMIS_Data!$AC$3:$AC$40,29),""))</f>
        <v>Blocked</v>
      </c>
      <c r="D235" s="335" t="str">
        <f ca="1">IF($A235="","",IFERROR(INDEX(PMIS_Data!$AD$3:$AD$40,29),""))</f>
        <v>No blocker documented</v>
      </c>
      <c r="E235" s="531">
        <f ca="1">IF($A235="","",IFERROR(INDEX(PMIS_Data!$AI$3:$AI$40,29),""))</f>
        <v>0</v>
      </c>
      <c r="F235" s="335" t="str">
        <f ca="1">IF($A235="","",IFERROR(INDEX(PMIS_Data!$AJ$3:$AJ$40,29),""))</f>
        <v>Not Ready</v>
      </c>
      <c r="G235" s="335">
        <f ca="1">IF($A235="","",IFERROR(INDEX(PMIS_Data!$AL$3:$AL$40,29),""))</f>
        <v>6</v>
      </c>
      <c r="H235" s="335" t="str">
        <f ca="1">IF($A235="","",IFERROR(INDEX(PMIS_Data!$AM$3:$AM$40,29),""))</f>
        <v>Resolve OIT Blocker</v>
      </c>
      <c r="I235" s="335"/>
      <c r="J235" s="335"/>
      <c r="K235" s="335"/>
      <c r="L235" s="335"/>
      <c r="M235" s="335"/>
      <c r="N235" s="335"/>
      <c r="O235" s="335"/>
      <c r="P235" s="335"/>
    </row>
    <row r="236" spans="1:16" ht="25.5">
      <c r="A236" s="335" t="str">
        <f>IFERROR(INDEX(PMIS_Data!$A$3:$A$40,30),"")</f>
        <v>SITE</v>
      </c>
      <c r="B236" s="531">
        <f ca="1">IF($A236="","",IFERROR(INDEX(PMIS_Data!$AB$3:$AB$40,30),""))</f>
        <v>0</v>
      </c>
      <c r="C236" s="335" t="str">
        <f ca="1">IF($A236="","",IFERROR(INDEX(PMIS_Data!$AC$3:$AC$40,30),""))</f>
        <v>Blocked</v>
      </c>
      <c r="D236" s="335" t="str">
        <f ca="1">IF($A236="","",IFERROR(INDEX(PMIS_Data!$AD$3:$AD$40,30),""))</f>
        <v>No blocker documented</v>
      </c>
      <c r="E236" s="531">
        <f ca="1">IF($A236="","",IFERROR(INDEX(PMIS_Data!$AI$3:$AI$40,30),""))</f>
        <v>0</v>
      </c>
      <c r="F236" s="335" t="str">
        <f ca="1">IF($A236="","",IFERROR(INDEX(PMIS_Data!$AJ$3:$AJ$40,30),""))</f>
        <v>Not Ready</v>
      </c>
      <c r="G236" s="335">
        <f ca="1">IF($A236="","",IFERROR(INDEX(PMIS_Data!$AL$3:$AL$40,30),""))</f>
        <v>6</v>
      </c>
      <c r="H236" s="335" t="str">
        <f ca="1">IF($A236="","",IFERROR(INDEX(PMIS_Data!$AM$3:$AM$40,30),""))</f>
        <v>Resolve OIT Blocker</v>
      </c>
      <c r="I236" s="335"/>
      <c r="J236" s="335"/>
      <c r="K236" s="335"/>
      <c r="L236" s="335"/>
      <c r="M236" s="335"/>
      <c r="N236" s="335"/>
      <c r="O236" s="335"/>
      <c r="P236" s="335"/>
    </row>
    <row r="237" spans="1:16">
      <c r="A237" s="335"/>
      <c r="B237" s="335"/>
      <c r="C237" s="335"/>
      <c r="D237" s="335"/>
      <c r="E237" s="335"/>
      <c r="F237" s="335"/>
      <c r="G237" s="335"/>
      <c r="H237" s="335"/>
      <c r="I237" s="335"/>
      <c r="J237" s="335"/>
      <c r="K237" s="335"/>
      <c r="L237" s="335"/>
      <c r="M237" s="335"/>
      <c r="N237" s="335"/>
      <c r="O237" s="335"/>
      <c r="P237" s="335"/>
    </row>
    <row r="238" spans="1:16">
      <c r="A238" s="335"/>
      <c r="B238" s="335"/>
      <c r="C238" s="335"/>
      <c r="D238" s="335"/>
      <c r="E238" s="335"/>
      <c r="F238" s="335"/>
      <c r="G238" s="335"/>
      <c r="H238" s="335"/>
      <c r="I238" s="335"/>
      <c r="J238" s="335"/>
      <c r="K238" s="335"/>
      <c r="L238" s="335"/>
      <c r="M238" s="335"/>
      <c r="N238" s="335"/>
      <c r="O238" s="335"/>
      <c r="P238" s="335"/>
    </row>
    <row r="239" spans="1:16" ht="15">
      <c r="A239" s="914" t="s">
        <v>5872</v>
      </c>
      <c r="B239" s="914"/>
      <c r="C239" s="914"/>
      <c r="D239" s="914"/>
      <c r="E239" s="914"/>
      <c r="F239" s="914"/>
      <c r="G239" s="914"/>
      <c r="H239" s="914"/>
      <c r="I239" s="914"/>
      <c r="J239" s="914"/>
      <c r="K239" s="914"/>
      <c r="L239" s="914"/>
      <c r="M239" s="914"/>
      <c r="N239" s="914"/>
      <c r="O239" s="914"/>
      <c r="P239" s="914"/>
    </row>
    <row r="240" spans="1:16" ht="24">
      <c r="A240" s="530" t="s">
        <v>5762</v>
      </c>
      <c r="B240" s="530" t="s">
        <v>5763</v>
      </c>
      <c r="C240" s="530" t="s">
        <v>286</v>
      </c>
      <c r="D240" s="530" t="s">
        <v>142</v>
      </c>
      <c r="E240" s="530" t="s">
        <v>216</v>
      </c>
      <c r="F240" s="530" t="s">
        <v>224</v>
      </c>
      <c r="G240" s="530" t="s">
        <v>77</v>
      </c>
      <c r="H240" s="530" t="s">
        <v>5764</v>
      </c>
      <c r="I240" s="530" t="s">
        <v>266</v>
      </c>
      <c r="J240" s="530" t="s">
        <v>5766</v>
      </c>
      <c r="K240" s="530" t="s">
        <v>5767</v>
      </c>
      <c r="L240" s="530" t="s">
        <v>5768</v>
      </c>
      <c r="M240" s="530" t="s">
        <v>5802</v>
      </c>
      <c r="N240" s="530" t="s">
        <v>5765</v>
      </c>
      <c r="O240" s="530" t="s">
        <v>5566</v>
      </c>
      <c r="P240" s="530" t="s">
        <v>11</v>
      </c>
    </row>
    <row r="241" spans="1:16" ht="25.5">
      <c r="A241" s="335" t="str">
        <f>IF(Project_Register!$A6="","",Project_Register!$A6)</f>
        <v>DEL-001</v>
      </c>
      <c r="B241" s="335" t="str">
        <f>IF($A241="","",Project_Register!$B6)</f>
        <v>Deliverable</v>
      </c>
      <c r="C241" s="335" t="str">
        <f>IF($A241="","",Project_Register!$G6)</f>
        <v>Weekly Inspection Report</v>
      </c>
      <c r="D241" s="335" t="str">
        <f>IF($A241="","",Project_Register!$E6)</f>
        <v>ALL</v>
      </c>
      <c r="E241" s="335" t="str">
        <f>IF($A241="","",Project_Register!$K6)</f>
        <v>Aisha</v>
      </c>
      <c r="F241" s="335" t="str">
        <f>IF($A241="","",Project_Register!$M6)</f>
        <v>High</v>
      </c>
      <c r="G241" s="335" t="str">
        <f>IF($A241="","",Project_Register!$N6)</f>
        <v>Open</v>
      </c>
      <c r="H241" s="525">
        <f>IF($A241="","",Project_Register!$P6)</f>
        <v>46219</v>
      </c>
      <c r="I241" s="525">
        <f>IFERROR(IF($A241="","",Project_Register!$Q6),"")</f>
        <v>0</v>
      </c>
      <c r="J241" s="335" t="str">
        <f>IF($A241="","",Project_Register!$AA6)</f>
        <v>No</v>
      </c>
      <c r="K241" s="335" t="str">
        <f>IF($A241="","",Project_Register!$X6)</f>
        <v>Weekly</v>
      </c>
      <c r="L241" s="335" t="str">
        <f>IF($A241="","",Project_Register!$Z6)</f>
        <v>Yes</v>
      </c>
      <c r="M241" s="335" t="str">
        <f>IF($A241="","",Project_Register!$AD6)</f>
        <v>Submit every Friday.</v>
      </c>
      <c r="N241" s="335" t="str">
        <f>IF($A241="","",Project_Register!$AE6)</f>
        <v>Compile assessment, inspection, risk, question, shutdown, and look-ahead data; Paul final review.</v>
      </c>
      <c r="O241" s="335">
        <f>IF($A241="","",Project_Register!$AL6)</f>
        <v>0</v>
      </c>
      <c r="P241" s="335">
        <f>IFERROR(IF($A241="","",Project_Register!$AM6),"")</f>
        <v>0</v>
      </c>
    </row>
    <row r="242" spans="1:16" ht="25.5">
      <c r="A242" s="335" t="str">
        <f>IF(Project_Register!$A7="","",Project_Register!$A7)</f>
        <v>DEL-002</v>
      </c>
      <c r="B242" s="335" t="str">
        <f>IF($A242="","",Project_Register!$B7)</f>
        <v>PTR Update</v>
      </c>
      <c r="C242" s="335" t="str">
        <f>IF($A242="","",Project_Register!$G7)</f>
        <v>Biweekly PTR Update</v>
      </c>
      <c r="D242" s="335" t="str">
        <f>IF($A242="","",Project_Register!$E7)</f>
        <v>ALL</v>
      </c>
      <c r="E242" s="335" t="str">
        <f>IF($A242="","",Project_Register!$K7)</f>
        <v>Paul</v>
      </c>
      <c r="F242" s="335" t="str">
        <f>IF($A242="","",Project_Register!$M7)</f>
        <v>High</v>
      </c>
      <c r="G242" s="335" t="str">
        <f>IF($A242="","",Project_Register!$N7)</f>
        <v>Open</v>
      </c>
      <c r="H242" s="525">
        <f>IF($A242="","",Project_Register!$P7)</f>
        <v>46219</v>
      </c>
      <c r="I242" s="525">
        <f>IFERROR(IF($A242="","",Project_Register!$Q7),"")</f>
        <v>0</v>
      </c>
      <c r="J242" s="335" t="str">
        <f>IF($A242="","",Project_Register!$AA7)</f>
        <v>Yes</v>
      </c>
      <c r="K242" s="335" t="str">
        <f>IF($A242="","",Project_Register!$X7)</f>
        <v>Biweekly</v>
      </c>
      <c r="L242" s="335" t="str">
        <f>IF($A242="","",Project_Register!$Z7)</f>
        <v>Yes</v>
      </c>
      <c r="M242" s="335" t="str">
        <f>IF($A242="","",Project_Register!$AD7)</f>
        <v>Confirm PTR ownership and access.</v>
      </c>
      <c r="N242" s="335" t="str">
        <f>IF($A242="","",Project_Register!$AE7)</f>
        <v>Prepare current comments, dates, issues, and milestone status at least 24 hours before meeting.</v>
      </c>
      <c r="O242" s="335">
        <f>IF($A242="","",Project_Register!$AL7)</f>
        <v>0</v>
      </c>
      <c r="P242" s="335">
        <f>IFERROR(IF($A242="","",Project_Register!$AM7),"")</f>
        <v>0</v>
      </c>
    </row>
    <row r="243" spans="1:16" ht="38.25">
      <c r="A243" s="335" t="str">
        <f>IF(Project_Register!$A8="","",Project_Register!$A8)</f>
        <v>SCH-001</v>
      </c>
      <c r="B243" s="335" t="str">
        <f>IF($A243="","",Project_Register!$B8)</f>
        <v>Schedule Item</v>
      </c>
      <c r="C243" s="335" t="str">
        <f>IF($A243="","",Project_Register!$G8)</f>
        <v>Contractor Baseline Schedule</v>
      </c>
      <c r="D243" s="335" t="str">
        <f>IF($A243="","",Project_Register!$E8)</f>
        <v>ALL</v>
      </c>
      <c r="E243" s="335" t="str">
        <f>IF($A243="","",Project_Register!$K8)</f>
        <v>Paul</v>
      </c>
      <c r="F243" s="335" t="str">
        <f>IF($A243="","",Project_Register!$M8)</f>
        <v>Critical</v>
      </c>
      <c r="G243" s="335" t="str">
        <f>IF($A243="","",Project_Register!$N8)</f>
        <v>Waiting</v>
      </c>
      <c r="H243" s="525">
        <f>IF($A243="","",Project_Register!$P8)</f>
        <v>46219</v>
      </c>
      <c r="I243" s="525">
        <f>IFERROR(IF($A243="","",Project_Register!$Q8),"")</f>
        <v>0</v>
      </c>
      <c r="J243" s="335" t="str">
        <f>IF($A243="","",Project_Register!$AA8)</f>
        <v>Yes</v>
      </c>
      <c r="K243" s="335" t="str">
        <f>IF($A243="","",Project_Register!$X8)</f>
        <v>Biweekly</v>
      </c>
      <c r="L243" s="335" t="str">
        <f>IF($A243="","",Project_Register!$Z8)</f>
        <v>Yes</v>
      </c>
      <c r="M243" s="335" t="str">
        <f>IF($A243="","",Project_Register!$AD8)</f>
        <v>Contractor schedule has not been received.</v>
      </c>
      <c r="N243" s="335" t="str">
        <f>IF($A243="","",Project_Register!$AE8)</f>
        <v>Obtain and review logic, shutdowns, relocations, submittals, procurement, testing, and commissioning dependencies.</v>
      </c>
      <c r="O243" s="335">
        <f>IF($A243="","",Project_Register!$AL8)</f>
        <v>0</v>
      </c>
      <c r="P243" s="335">
        <f>IFERROR(IF($A243="","",Project_Register!$AM8),"")</f>
        <v>0</v>
      </c>
    </row>
    <row r="244" spans="1:16" ht="25.5">
      <c r="A244" s="335" t="str">
        <f>IF(Project_Register!$A9="","",Project_Register!$A9)</f>
        <v>ACT-001</v>
      </c>
      <c r="B244" s="335" t="str">
        <f>IF($A244="","",Project_Register!$B9)</f>
        <v>Action Item</v>
      </c>
      <c r="C244" s="335" t="str">
        <f>IF($A244="","",Project_Register!$G9)</f>
        <v>Confirm COR Reporting Expectations</v>
      </c>
      <c r="D244" s="335" t="str">
        <f>IF($A244="","",Project_Register!$E9)</f>
        <v>ALL</v>
      </c>
      <c r="E244" s="335" t="str">
        <f>IF($A244="","",Project_Register!$K9)</f>
        <v>Paul</v>
      </c>
      <c r="F244" s="335" t="str">
        <f>IF($A244="","",Project_Register!$M9)</f>
        <v>High</v>
      </c>
      <c r="G244" s="335" t="str">
        <f>IF($A244="","",Project_Register!$N9)</f>
        <v>Open</v>
      </c>
      <c r="H244" s="525">
        <f>IF($A244="","",Project_Register!$P9)</f>
        <v>46219</v>
      </c>
      <c r="I244" s="525">
        <f>IFERROR(IF($A244="","",Project_Register!$Q9),"")</f>
        <v>0</v>
      </c>
      <c r="J244" s="335" t="str">
        <f>IF($A244="","",Project_Register!$AA9)</f>
        <v>Yes</v>
      </c>
      <c r="K244" s="335" t="str">
        <f>IF($A244="","",Project_Register!$X9)</f>
        <v>Weekly</v>
      </c>
      <c r="L244" s="335" t="str">
        <f>IF($A244="","",Project_Register!$Z9)</f>
        <v>Yes</v>
      </c>
      <c r="M244" s="335" t="str">
        <f>IF($A244="","",Project_Register!$AD9)</f>
        <v>Confirm templates, routing, due dates, minutes, PTR, and storage.</v>
      </c>
      <c r="N244" s="335" t="str">
        <f>IF($A244="","",Project_Register!$AE9)</f>
        <v>Document agreed reporting workflow before first recurring submission.</v>
      </c>
      <c r="O244" s="335">
        <f>IF($A244="","",Project_Register!$AL9)</f>
        <v>0</v>
      </c>
      <c r="P244" s="335">
        <f>IFERROR(IF($A244="","",Project_Register!$AM9),"")</f>
        <v>0</v>
      </c>
    </row>
    <row r="245" spans="1:16" ht="25.5">
      <c r="A245" s="335" t="str">
        <f>IF(Project_Register!$A10="","",Project_Register!$A10)</f>
        <v>DQ-001</v>
      </c>
      <c r="B245" s="335" t="str">
        <f>IF($A245="","",Project_Register!$B10)</f>
        <v>Design Question</v>
      </c>
      <c r="C245" s="335" t="str">
        <f>IF($A245="","",Project_Register!$G10)</f>
        <v>Consolidate Building 61 A/E Questions</v>
      </c>
      <c r="D245" s="335" t="str">
        <f>IF($A245="","",Project_Register!$E10)</f>
        <v>61</v>
      </c>
      <c r="E245" s="335" t="str">
        <f>IF($A245="","",Project_Register!$K10)</f>
        <v>Paul</v>
      </c>
      <c r="F245" s="335" t="str">
        <f>IF($A245="","",Project_Register!$M10)</f>
        <v>High</v>
      </c>
      <c r="G245" s="335" t="str">
        <f>IF($A245="","",Project_Register!$N10)</f>
        <v>In Progress</v>
      </c>
      <c r="H245" s="525">
        <f>IF($A245="","",Project_Register!$P10)</f>
        <v>46217</v>
      </c>
      <c r="I245" s="525">
        <f>IFERROR(IF($A245="","",Project_Register!$Q10),"")</f>
        <v>0</v>
      </c>
      <c r="J245" s="335" t="str">
        <f>IF($A245="","",Project_Register!$AA10)</f>
        <v>Yes</v>
      </c>
      <c r="K245" s="335" t="str">
        <f>IF($A245="","",Project_Register!$X10)</f>
        <v>Weekly</v>
      </c>
      <c r="L245" s="335" t="str">
        <f>IF($A245="","",Project_Register!$Z10)</f>
        <v>Yes</v>
      </c>
      <c r="M245" s="335" t="str">
        <f>IF($A245="","",Project_Register!$AD10)</f>
        <v>A/E clarification required.</v>
      </c>
      <c r="N245" s="335" t="str">
        <f>IF($A245="","",Project_Register!$AE10)</f>
        <v>Issue coordinated question package through COR.</v>
      </c>
      <c r="O245" s="335" t="str">
        <f>IF($A245="","",Project_Register!$AL10)</f>
        <v>B61_Assessment</v>
      </c>
      <c r="P245" s="335">
        <f>IFERROR(IF($A245="","",Project_Register!$AM10),"")</f>
        <v>0</v>
      </c>
    </row>
    <row r="246" spans="1:16" ht="25.5">
      <c r="A246" s="335" t="str">
        <f>IF(Project_Register!$A11="","",Project_Register!$A11)</f>
        <v>ACT-002</v>
      </c>
      <c r="B246" s="335" t="str">
        <f>IF($A246="","",Project_Register!$B11)</f>
        <v>Action Item</v>
      </c>
      <c r="C246" s="335" t="str">
        <f>IF($A246="","",Project_Register!$G11)</f>
        <v>Occupied Room Relocation Planning</v>
      </c>
      <c r="D246" s="335" t="str">
        <f>IF($A246="","",Project_Register!$E11)</f>
        <v>ALL</v>
      </c>
      <c r="E246" s="335" t="str">
        <f>IF($A246="","",Project_Register!$K11)</f>
        <v>Aisha</v>
      </c>
      <c r="F246" s="335" t="str">
        <f>IF($A246="","",Project_Register!$M11)</f>
        <v>High</v>
      </c>
      <c r="G246" s="335" t="str">
        <f>IF($A246="","",Project_Register!$N11)</f>
        <v>Open</v>
      </c>
      <c r="H246" s="525">
        <f>IF($A246="","",Project_Register!$P11)</f>
        <v>46213</v>
      </c>
      <c r="I246" s="525">
        <f>IFERROR(IF($A246="","",Project_Register!$Q11),"")</f>
        <v>0</v>
      </c>
      <c r="J246" s="335" t="str">
        <f>IF($A246="","",Project_Register!$AA11)</f>
        <v>Yes</v>
      </c>
      <c r="K246" s="335" t="str">
        <f>IF($A246="","",Project_Register!$X11)</f>
        <v>Weekly</v>
      </c>
      <c r="L246" s="335" t="str">
        <f>IF($A246="","",Project_Register!$Z11)</f>
        <v>Yes</v>
      </c>
      <c r="M246" s="335" t="str">
        <f>IF($A246="","",Project_Register!$AD11)</f>
        <v>Hospital direction needed for relocation approach.</v>
      </c>
      <c r="N246" s="335" t="str">
        <f>IF($A246="","",Project_Register!$AE11)</f>
        <v>Coordinate stakeholders before contractor sequencing is accepted.</v>
      </c>
      <c r="O246" s="335" t="str">
        <f>IF($A246="","",Project_Register!$AL11)</f>
        <v>Building_Register</v>
      </c>
      <c r="P246" s="335">
        <f>IFERROR(IF($A246="","",Project_Register!$AM11),"")</f>
        <v>0</v>
      </c>
    </row>
    <row r="247" spans="1:16" ht="38.25">
      <c r="A247" s="335" t="str">
        <f>IF(Project_Register!$A12="","",Project_Register!$A12)</f>
        <v>DEL-003</v>
      </c>
      <c r="B247" s="335" t="str">
        <f>IF($A247="","",Project_Register!$B12)</f>
        <v>Pay Application</v>
      </c>
      <c r="C247" s="335" t="str">
        <f>IF($A247="","",Project_Register!$G12)</f>
        <v>GC Pay Application Review</v>
      </c>
      <c r="D247" s="335" t="str">
        <f>IF($A247="","",Project_Register!$E12)</f>
        <v>ALL</v>
      </c>
      <c r="E247" s="335" t="str">
        <f>IF($A247="","",Project_Register!$K12)</f>
        <v>Paul</v>
      </c>
      <c r="F247" s="335" t="str">
        <f>IF($A247="","",Project_Register!$M12)</f>
        <v>High</v>
      </c>
      <c r="G247" s="335" t="str">
        <f>IF($A247="","",Project_Register!$N12)</f>
        <v>Not Started</v>
      </c>
      <c r="H247" s="525">
        <f>IF($A247="","",Project_Register!$P12)</f>
        <v>46219</v>
      </c>
      <c r="I247" s="525">
        <f>IFERROR(IF($A247="","",Project_Register!$Q12),"")</f>
        <v>0</v>
      </c>
      <c r="J247" s="335" t="str">
        <f>IF($A247="","",Project_Register!$AA12)</f>
        <v>No</v>
      </c>
      <c r="K247" s="335" t="str">
        <f>IF($A247="","",Project_Register!$X12)</f>
        <v>Monthly</v>
      </c>
      <c r="L247" s="335" t="str">
        <f>IF($A247="","",Project_Register!$Z12)</f>
        <v>Yes</v>
      </c>
      <c r="M247" s="335" t="str">
        <f>IF($A247="","",Project_Register!$AD12)</f>
        <v>Review within five business days of receipt.</v>
      </c>
      <c r="N247" s="335" t="str">
        <f>IF($A247="","",Project_Register!$AE12)</f>
        <v>Verify work complete versus work billed using schedule, assessments, field records, and deficiencies.</v>
      </c>
      <c r="O247" s="335">
        <f>IF($A247="","",Project_Register!$AL12)</f>
        <v>0</v>
      </c>
      <c r="P247" s="335">
        <f>IFERROR(IF($A247="","",Project_Register!$AM12),"")</f>
        <v>0</v>
      </c>
    </row>
    <row r="248" spans="1:16" ht="25.5">
      <c r="A248" s="335" t="str">
        <f>IF(Project_Register!$A13="","",Project_Register!$A13)</f>
        <v>DEL-004</v>
      </c>
      <c r="B248" s="335" t="str">
        <f>IF($A248="","",Project_Register!$B13)</f>
        <v>Commissioning</v>
      </c>
      <c r="C248" s="335" t="str">
        <f>IF($A248="","",Project_Register!$G13)</f>
        <v>Commissioning Responsibility Matrix</v>
      </c>
      <c r="D248" s="335" t="str">
        <f>IF($A248="","",Project_Register!$E13)</f>
        <v>ALL</v>
      </c>
      <c r="E248" s="335" t="str">
        <f>IF($A248="","",Project_Register!$K13)</f>
        <v>Aisha</v>
      </c>
      <c r="F248" s="335" t="str">
        <f>IF($A248="","",Project_Register!$M13)</f>
        <v>High</v>
      </c>
      <c r="G248" s="335" t="str">
        <f>IF($A248="","",Project_Register!$N13)</f>
        <v>Not Started</v>
      </c>
      <c r="H248" s="525">
        <f>IF($A248="","",Project_Register!$P13)</f>
        <v>46219</v>
      </c>
      <c r="I248" s="525">
        <f>IFERROR(IF($A248="","",Project_Register!$Q13),"")</f>
        <v>0</v>
      </c>
      <c r="J248" s="335" t="str">
        <f>IF($A248="","",Project_Register!$AA13)</f>
        <v>Yes</v>
      </c>
      <c r="K248" s="335" t="str">
        <f>IF($A248="","",Project_Register!$X13)</f>
        <v>Monthly</v>
      </c>
      <c r="L248" s="335" t="str">
        <f>IF($A248="","",Project_Register!$Z13)</f>
        <v>Yes</v>
      </c>
      <c r="M248" s="335" t="str">
        <f>IF($A248="","",Project_Register!$AD13)</f>
        <v>Confirm roles after kickoff.</v>
      </c>
      <c r="N248" s="335" t="str">
        <f>IF($A248="","",Project_Register!$AE13)</f>
        <v>Establish prerequisites, testing, documentation, training, and acceptance responsibilities.</v>
      </c>
      <c r="O248" s="335" t="str">
        <f>IF($A248="","",Project_Register!$AL13)</f>
        <v>Pilot / Specs</v>
      </c>
      <c r="P248" s="335">
        <f>IFERROR(IF($A248="","",Project_Register!$AM13),"")</f>
        <v>0</v>
      </c>
    </row>
    <row r="249" spans="1:16">
      <c r="A249" s="335" t="str">
        <f>IF(Project_Register!$A14="","",Project_Register!$A14)</f>
        <v/>
      </c>
      <c r="B249" s="335" t="str">
        <f>IF($A249="","",Project_Register!$B14)</f>
        <v/>
      </c>
      <c r="C249" s="335" t="str">
        <f>IF($A249="","",Project_Register!$G14)</f>
        <v/>
      </c>
      <c r="D249" s="335" t="str">
        <f>IF($A249="","",Project_Register!$E14)</f>
        <v/>
      </c>
      <c r="E249" s="335" t="str">
        <f>IF($A249="","",Project_Register!$K14)</f>
        <v/>
      </c>
      <c r="F249" s="335" t="str">
        <f>IF($A249="","",Project_Register!$M14)</f>
        <v/>
      </c>
      <c r="G249" s="335" t="str">
        <f>IF($A249="","",Project_Register!$N14)</f>
        <v/>
      </c>
      <c r="H249" s="525" t="str">
        <f>IF($A249="","",Project_Register!$P14)</f>
        <v/>
      </c>
      <c r="I249" s="525" t="str">
        <f>IFERROR(IF($A249="","",Project_Register!$Q14),"")</f>
        <v/>
      </c>
      <c r="J249" s="335" t="str">
        <f>IF($A249="","",Project_Register!$AA14)</f>
        <v/>
      </c>
      <c r="K249" s="335" t="str">
        <f>IF($A249="","",Project_Register!$X14)</f>
        <v/>
      </c>
      <c r="L249" s="335" t="str">
        <f>IF($A249="","",Project_Register!$Z14)</f>
        <v/>
      </c>
      <c r="M249" s="335" t="str">
        <f>IF($A249="","",Project_Register!$AD14)</f>
        <v/>
      </c>
      <c r="N249" s="335" t="str">
        <f>IF($A249="","",Project_Register!$AE14)</f>
        <v/>
      </c>
      <c r="O249" s="335" t="str">
        <f>IF($A249="","",Project_Register!$AL14)</f>
        <v/>
      </c>
      <c r="P249" s="335" t="str">
        <f>IFERROR(IF($A249="","",Project_Register!$AM14),"")</f>
        <v/>
      </c>
    </row>
    <row r="250" spans="1:16">
      <c r="A250" s="335" t="str">
        <f>IF(Project_Register!$A15="","",Project_Register!$A15)</f>
        <v/>
      </c>
      <c r="B250" s="335" t="str">
        <f>IF($A250="","",Project_Register!$B15)</f>
        <v/>
      </c>
      <c r="C250" s="335" t="str">
        <f>IF($A250="","",Project_Register!$G15)</f>
        <v/>
      </c>
      <c r="D250" s="335" t="str">
        <f>IF($A250="","",Project_Register!$E15)</f>
        <v/>
      </c>
      <c r="E250" s="335" t="str">
        <f>IF($A250="","",Project_Register!$K15)</f>
        <v/>
      </c>
      <c r="F250" s="335" t="str">
        <f>IF($A250="","",Project_Register!$M15)</f>
        <v/>
      </c>
      <c r="G250" s="335" t="str">
        <f>IF($A250="","",Project_Register!$N15)</f>
        <v/>
      </c>
      <c r="H250" s="525" t="str">
        <f>IF($A250="","",Project_Register!$P15)</f>
        <v/>
      </c>
      <c r="I250" s="525" t="str">
        <f>IFERROR(IF($A250="","",Project_Register!$Q15),"")</f>
        <v/>
      </c>
      <c r="J250" s="335" t="str">
        <f>IF($A250="","",Project_Register!$AA15)</f>
        <v/>
      </c>
      <c r="K250" s="335" t="str">
        <f>IF($A250="","",Project_Register!$X15)</f>
        <v/>
      </c>
      <c r="L250" s="335" t="str">
        <f>IF($A250="","",Project_Register!$Z15)</f>
        <v/>
      </c>
      <c r="M250" s="335" t="str">
        <f>IF($A250="","",Project_Register!$AD15)</f>
        <v/>
      </c>
      <c r="N250" s="335" t="str">
        <f>IF($A250="","",Project_Register!$AE15)</f>
        <v/>
      </c>
      <c r="O250" s="335" t="str">
        <f>IF($A250="","",Project_Register!$AL15)</f>
        <v/>
      </c>
      <c r="P250" s="335" t="str">
        <f>IFERROR(IF($A250="","",Project_Register!$AM15),"")</f>
        <v/>
      </c>
    </row>
    <row r="251" spans="1:16">
      <c r="A251" s="335" t="str">
        <f>IF(Project_Register!$A16="","",Project_Register!$A16)</f>
        <v/>
      </c>
      <c r="B251" s="335" t="str">
        <f>IF($A251="","",Project_Register!$B16)</f>
        <v/>
      </c>
      <c r="C251" s="335" t="str">
        <f>IF($A251="","",Project_Register!$G16)</f>
        <v/>
      </c>
      <c r="D251" s="335" t="str">
        <f>IF($A251="","",Project_Register!$E16)</f>
        <v/>
      </c>
      <c r="E251" s="335" t="str">
        <f>IF($A251="","",Project_Register!$K16)</f>
        <v/>
      </c>
      <c r="F251" s="335" t="str">
        <f>IF($A251="","",Project_Register!$M16)</f>
        <v/>
      </c>
      <c r="G251" s="335" t="str">
        <f>IF($A251="","",Project_Register!$N16)</f>
        <v/>
      </c>
      <c r="H251" s="525" t="str">
        <f>IF($A251="","",Project_Register!$P16)</f>
        <v/>
      </c>
      <c r="I251" s="525" t="str">
        <f>IFERROR(IF($A251="","",Project_Register!$Q16),"")</f>
        <v/>
      </c>
      <c r="J251" s="335" t="str">
        <f>IF($A251="","",Project_Register!$AA16)</f>
        <v/>
      </c>
      <c r="K251" s="335" t="str">
        <f>IF($A251="","",Project_Register!$X16)</f>
        <v/>
      </c>
      <c r="L251" s="335" t="str">
        <f>IF($A251="","",Project_Register!$Z16)</f>
        <v/>
      </c>
      <c r="M251" s="335" t="str">
        <f>IF($A251="","",Project_Register!$AD16)</f>
        <v/>
      </c>
      <c r="N251" s="335" t="str">
        <f>IF($A251="","",Project_Register!$AE16)</f>
        <v/>
      </c>
      <c r="O251" s="335" t="str">
        <f>IF($A251="","",Project_Register!$AL16)</f>
        <v/>
      </c>
      <c r="P251" s="335" t="str">
        <f>IFERROR(IF($A251="","",Project_Register!$AM16),"")</f>
        <v/>
      </c>
    </row>
    <row r="252" spans="1:16">
      <c r="A252" s="335" t="str">
        <f>IF(Project_Register!$A17="","",Project_Register!$A17)</f>
        <v/>
      </c>
      <c r="B252" s="335" t="str">
        <f>IF($A252="","",Project_Register!$B17)</f>
        <v/>
      </c>
      <c r="C252" s="335" t="str">
        <f>IF($A252="","",Project_Register!$G17)</f>
        <v/>
      </c>
      <c r="D252" s="335" t="str">
        <f>IF($A252="","",Project_Register!$E17)</f>
        <v/>
      </c>
      <c r="E252" s="335" t="str">
        <f>IF($A252="","",Project_Register!$K17)</f>
        <v/>
      </c>
      <c r="F252" s="335" t="str">
        <f>IF($A252="","",Project_Register!$M17)</f>
        <v/>
      </c>
      <c r="G252" s="335" t="str">
        <f>IF($A252="","",Project_Register!$N17)</f>
        <v/>
      </c>
      <c r="H252" s="525" t="str">
        <f>IF($A252="","",Project_Register!$P17)</f>
        <v/>
      </c>
      <c r="I252" s="525" t="str">
        <f>IFERROR(IF($A252="","",Project_Register!$Q17),"")</f>
        <v/>
      </c>
      <c r="J252" s="335" t="str">
        <f>IF($A252="","",Project_Register!$AA17)</f>
        <v/>
      </c>
      <c r="K252" s="335" t="str">
        <f>IF($A252="","",Project_Register!$X17)</f>
        <v/>
      </c>
      <c r="L252" s="335" t="str">
        <f>IF($A252="","",Project_Register!$Z17)</f>
        <v/>
      </c>
      <c r="M252" s="335" t="str">
        <f>IF($A252="","",Project_Register!$AD17)</f>
        <v/>
      </c>
      <c r="N252" s="335" t="str">
        <f>IF($A252="","",Project_Register!$AE17)</f>
        <v/>
      </c>
      <c r="O252" s="335" t="str">
        <f>IF($A252="","",Project_Register!$AL17)</f>
        <v/>
      </c>
      <c r="P252" s="335" t="str">
        <f>IFERROR(IF($A252="","",Project_Register!$AM17),"")</f>
        <v/>
      </c>
    </row>
    <row r="253" spans="1:16">
      <c r="A253" s="335" t="str">
        <f>IF(Project_Register!$A18="","",Project_Register!$A18)</f>
        <v/>
      </c>
      <c r="B253" s="335" t="str">
        <f>IF($A253="","",Project_Register!$B18)</f>
        <v/>
      </c>
      <c r="C253" s="335" t="str">
        <f>IF($A253="","",Project_Register!$G18)</f>
        <v/>
      </c>
      <c r="D253" s="335" t="str">
        <f>IF($A253="","",Project_Register!$E18)</f>
        <v/>
      </c>
      <c r="E253" s="335" t="str">
        <f>IF($A253="","",Project_Register!$K18)</f>
        <v/>
      </c>
      <c r="F253" s="335" t="str">
        <f>IF($A253="","",Project_Register!$M18)</f>
        <v/>
      </c>
      <c r="G253" s="335" t="str">
        <f>IF($A253="","",Project_Register!$N18)</f>
        <v/>
      </c>
      <c r="H253" s="525" t="str">
        <f>IF($A253="","",Project_Register!$P18)</f>
        <v/>
      </c>
      <c r="I253" s="525" t="str">
        <f>IFERROR(IF($A253="","",Project_Register!$Q18),"")</f>
        <v/>
      </c>
      <c r="J253" s="335" t="str">
        <f>IF($A253="","",Project_Register!$AA18)</f>
        <v/>
      </c>
      <c r="K253" s="335" t="str">
        <f>IF($A253="","",Project_Register!$X18)</f>
        <v/>
      </c>
      <c r="L253" s="335" t="str">
        <f>IF($A253="","",Project_Register!$Z18)</f>
        <v/>
      </c>
      <c r="M253" s="335" t="str">
        <f>IF($A253="","",Project_Register!$AD18)</f>
        <v/>
      </c>
      <c r="N253" s="335" t="str">
        <f>IF($A253="","",Project_Register!$AE18)</f>
        <v/>
      </c>
      <c r="O253" s="335" t="str">
        <f>IF($A253="","",Project_Register!$AL18)</f>
        <v/>
      </c>
      <c r="P253" s="335" t="str">
        <f>IFERROR(IF($A253="","",Project_Register!$AM18),"")</f>
        <v/>
      </c>
    </row>
    <row r="254" spans="1:16">
      <c r="A254" s="335" t="str">
        <f>IF(Project_Register!$A19="","",Project_Register!$A19)</f>
        <v/>
      </c>
      <c r="B254" s="335" t="str">
        <f>IF($A254="","",Project_Register!$B19)</f>
        <v/>
      </c>
      <c r="C254" s="335" t="str">
        <f>IF($A254="","",Project_Register!$G19)</f>
        <v/>
      </c>
      <c r="D254" s="335" t="str">
        <f>IF($A254="","",Project_Register!$E19)</f>
        <v/>
      </c>
      <c r="E254" s="335" t="str">
        <f>IF($A254="","",Project_Register!$K19)</f>
        <v/>
      </c>
      <c r="F254" s="335" t="str">
        <f>IF($A254="","",Project_Register!$M19)</f>
        <v/>
      </c>
      <c r="G254" s="335" t="str">
        <f>IF($A254="","",Project_Register!$N19)</f>
        <v/>
      </c>
      <c r="H254" s="525" t="str">
        <f>IF($A254="","",Project_Register!$P19)</f>
        <v/>
      </c>
      <c r="I254" s="525" t="str">
        <f>IFERROR(IF($A254="","",Project_Register!$Q19),"")</f>
        <v/>
      </c>
      <c r="J254" s="335" t="str">
        <f>IF($A254="","",Project_Register!$AA19)</f>
        <v/>
      </c>
      <c r="K254" s="335" t="str">
        <f>IF($A254="","",Project_Register!$X19)</f>
        <v/>
      </c>
      <c r="L254" s="335" t="str">
        <f>IF($A254="","",Project_Register!$Z19)</f>
        <v/>
      </c>
      <c r="M254" s="335" t="str">
        <f>IF($A254="","",Project_Register!$AD19)</f>
        <v/>
      </c>
      <c r="N254" s="335" t="str">
        <f>IF($A254="","",Project_Register!$AE19)</f>
        <v/>
      </c>
      <c r="O254" s="335" t="str">
        <f>IF($A254="","",Project_Register!$AL19)</f>
        <v/>
      </c>
      <c r="P254" s="335" t="str">
        <f>IFERROR(IF($A254="","",Project_Register!$AM19),"")</f>
        <v/>
      </c>
    </row>
    <row r="255" spans="1:16">
      <c r="A255" s="335" t="str">
        <f>IF(Project_Register!$A20="","",Project_Register!$A20)</f>
        <v/>
      </c>
      <c r="B255" s="335" t="str">
        <f>IF($A255="","",Project_Register!$B20)</f>
        <v/>
      </c>
      <c r="C255" s="335" t="str">
        <f>IF($A255="","",Project_Register!$G20)</f>
        <v/>
      </c>
      <c r="D255" s="335" t="str">
        <f>IF($A255="","",Project_Register!$E20)</f>
        <v/>
      </c>
      <c r="E255" s="335" t="str">
        <f>IF($A255="","",Project_Register!$K20)</f>
        <v/>
      </c>
      <c r="F255" s="335" t="str">
        <f>IF($A255="","",Project_Register!$M20)</f>
        <v/>
      </c>
      <c r="G255" s="335" t="str">
        <f>IF($A255="","",Project_Register!$N20)</f>
        <v/>
      </c>
      <c r="H255" s="525" t="str">
        <f>IF($A255="","",Project_Register!$P20)</f>
        <v/>
      </c>
      <c r="I255" s="525" t="str">
        <f>IFERROR(IF($A255="","",Project_Register!$Q20),"")</f>
        <v/>
      </c>
      <c r="J255" s="335" t="str">
        <f>IF($A255="","",Project_Register!$AA20)</f>
        <v/>
      </c>
      <c r="K255" s="335" t="str">
        <f>IF($A255="","",Project_Register!$X20)</f>
        <v/>
      </c>
      <c r="L255" s="335" t="str">
        <f>IF($A255="","",Project_Register!$Z20)</f>
        <v/>
      </c>
      <c r="M255" s="335" t="str">
        <f>IF($A255="","",Project_Register!$AD20)</f>
        <v/>
      </c>
      <c r="N255" s="335" t="str">
        <f>IF($A255="","",Project_Register!$AE20)</f>
        <v/>
      </c>
      <c r="O255" s="335" t="str">
        <f>IF($A255="","",Project_Register!$AL20)</f>
        <v/>
      </c>
      <c r="P255" s="335" t="str">
        <f>IFERROR(IF($A255="","",Project_Register!$AM20),"")</f>
        <v/>
      </c>
    </row>
    <row r="256" spans="1:16">
      <c r="A256" s="335" t="str">
        <f>IF(Project_Register!$A21="","",Project_Register!$A21)</f>
        <v/>
      </c>
      <c r="B256" s="335" t="str">
        <f>IF($A256="","",Project_Register!$B21)</f>
        <v/>
      </c>
      <c r="C256" s="335" t="str">
        <f>IF($A256="","",Project_Register!$G21)</f>
        <v/>
      </c>
      <c r="D256" s="335" t="str">
        <f>IF($A256="","",Project_Register!$E21)</f>
        <v/>
      </c>
      <c r="E256" s="335" t="str">
        <f>IF($A256="","",Project_Register!$K21)</f>
        <v/>
      </c>
      <c r="F256" s="335" t="str">
        <f>IF($A256="","",Project_Register!$M21)</f>
        <v/>
      </c>
      <c r="G256" s="335" t="str">
        <f>IF($A256="","",Project_Register!$N21)</f>
        <v/>
      </c>
      <c r="H256" s="525" t="str">
        <f>IF($A256="","",Project_Register!$P21)</f>
        <v/>
      </c>
      <c r="I256" s="525" t="str">
        <f>IFERROR(IF($A256="","",Project_Register!$Q21),"")</f>
        <v/>
      </c>
      <c r="J256" s="335" t="str">
        <f>IF($A256="","",Project_Register!$AA21)</f>
        <v/>
      </c>
      <c r="K256" s="335" t="str">
        <f>IF($A256="","",Project_Register!$X21)</f>
        <v/>
      </c>
      <c r="L256" s="335" t="str">
        <f>IF($A256="","",Project_Register!$Z21)</f>
        <v/>
      </c>
      <c r="M256" s="335" t="str">
        <f>IF($A256="","",Project_Register!$AD21)</f>
        <v/>
      </c>
      <c r="N256" s="335" t="str">
        <f>IF($A256="","",Project_Register!$AE21)</f>
        <v/>
      </c>
      <c r="O256" s="335" t="str">
        <f>IF($A256="","",Project_Register!$AL21)</f>
        <v/>
      </c>
      <c r="P256" s="335" t="str">
        <f>IFERROR(IF($A256="","",Project_Register!$AM21),"")</f>
        <v/>
      </c>
    </row>
    <row r="257" spans="1:16">
      <c r="A257" s="335" t="str">
        <f>IF(Project_Register!$A22="","",Project_Register!$A22)</f>
        <v/>
      </c>
      <c r="B257" s="335" t="str">
        <f>IF($A257="","",Project_Register!$B22)</f>
        <v/>
      </c>
      <c r="C257" s="335" t="str">
        <f>IF($A257="","",Project_Register!$G22)</f>
        <v/>
      </c>
      <c r="D257" s="335" t="str">
        <f>IF($A257="","",Project_Register!$E22)</f>
        <v/>
      </c>
      <c r="E257" s="335" t="str">
        <f>IF($A257="","",Project_Register!$K22)</f>
        <v/>
      </c>
      <c r="F257" s="335" t="str">
        <f>IF($A257="","",Project_Register!$M22)</f>
        <v/>
      </c>
      <c r="G257" s="335" t="str">
        <f>IF($A257="","",Project_Register!$N22)</f>
        <v/>
      </c>
      <c r="H257" s="525" t="str">
        <f>IF($A257="","",Project_Register!$P22)</f>
        <v/>
      </c>
      <c r="I257" s="525" t="str">
        <f>IFERROR(IF($A257="","",Project_Register!$Q22),"")</f>
        <v/>
      </c>
      <c r="J257" s="335" t="str">
        <f>IF($A257="","",Project_Register!$AA22)</f>
        <v/>
      </c>
      <c r="K257" s="335" t="str">
        <f>IF($A257="","",Project_Register!$X22)</f>
        <v/>
      </c>
      <c r="L257" s="335" t="str">
        <f>IF($A257="","",Project_Register!$Z22)</f>
        <v/>
      </c>
      <c r="M257" s="335" t="str">
        <f>IF($A257="","",Project_Register!$AD22)</f>
        <v/>
      </c>
      <c r="N257" s="335" t="str">
        <f>IF($A257="","",Project_Register!$AE22)</f>
        <v/>
      </c>
      <c r="O257" s="335" t="str">
        <f>IF($A257="","",Project_Register!$AL22)</f>
        <v/>
      </c>
      <c r="P257" s="335" t="str">
        <f>IFERROR(IF($A257="","",Project_Register!$AM22),"")</f>
        <v/>
      </c>
    </row>
    <row r="258" spans="1:16">
      <c r="A258" s="335" t="str">
        <f>IF(Project_Register!$A23="","",Project_Register!$A23)</f>
        <v/>
      </c>
      <c r="B258" s="335" t="str">
        <f>IF($A258="","",Project_Register!$B23)</f>
        <v/>
      </c>
      <c r="C258" s="335" t="str">
        <f>IF($A258="","",Project_Register!$G23)</f>
        <v/>
      </c>
      <c r="D258" s="335" t="str">
        <f>IF($A258="","",Project_Register!$E23)</f>
        <v/>
      </c>
      <c r="E258" s="335" t="str">
        <f>IF($A258="","",Project_Register!$K23)</f>
        <v/>
      </c>
      <c r="F258" s="335" t="str">
        <f>IF($A258="","",Project_Register!$M23)</f>
        <v/>
      </c>
      <c r="G258" s="335" t="str">
        <f>IF($A258="","",Project_Register!$N23)</f>
        <v/>
      </c>
      <c r="H258" s="525" t="str">
        <f>IF($A258="","",Project_Register!$P23)</f>
        <v/>
      </c>
      <c r="I258" s="525" t="str">
        <f>IFERROR(IF($A258="","",Project_Register!$Q23),"")</f>
        <v/>
      </c>
      <c r="J258" s="335" t="str">
        <f>IF($A258="","",Project_Register!$AA23)</f>
        <v/>
      </c>
      <c r="K258" s="335" t="str">
        <f>IF($A258="","",Project_Register!$X23)</f>
        <v/>
      </c>
      <c r="L258" s="335" t="str">
        <f>IF($A258="","",Project_Register!$Z23)</f>
        <v/>
      </c>
      <c r="M258" s="335" t="str">
        <f>IF($A258="","",Project_Register!$AD23)</f>
        <v/>
      </c>
      <c r="N258" s="335" t="str">
        <f>IF($A258="","",Project_Register!$AE23)</f>
        <v/>
      </c>
      <c r="O258" s="335" t="str">
        <f>IF($A258="","",Project_Register!$AL23)</f>
        <v/>
      </c>
      <c r="P258" s="335" t="str">
        <f>IFERROR(IF($A258="","",Project_Register!$AM23),"")</f>
        <v/>
      </c>
    </row>
    <row r="259" spans="1:16">
      <c r="A259" s="335" t="str">
        <f>IF(Project_Register!$A24="","",Project_Register!$A24)</f>
        <v/>
      </c>
      <c r="B259" s="335" t="str">
        <f>IF($A259="","",Project_Register!$B24)</f>
        <v/>
      </c>
      <c r="C259" s="335" t="str">
        <f>IF($A259="","",Project_Register!$G24)</f>
        <v/>
      </c>
      <c r="D259" s="335" t="str">
        <f>IF($A259="","",Project_Register!$E24)</f>
        <v/>
      </c>
      <c r="E259" s="335" t="str">
        <f>IF($A259="","",Project_Register!$K24)</f>
        <v/>
      </c>
      <c r="F259" s="335" t="str">
        <f>IF($A259="","",Project_Register!$M24)</f>
        <v/>
      </c>
      <c r="G259" s="335" t="str">
        <f>IF($A259="","",Project_Register!$N24)</f>
        <v/>
      </c>
      <c r="H259" s="525" t="str">
        <f>IF($A259="","",Project_Register!$P24)</f>
        <v/>
      </c>
      <c r="I259" s="525" t="str">
        <f>IFERROR(IF($A259="","",Project_Register!$Q24),"")</f>
        <v/>
      </c>
      <c r="J259" s="335" t="str">
        <f>IF($A259="","",Project_Register!$AA24)</f>
        <v/>
      </c>
      <c r="K259" s="335" t="str">
        <f>IF($A259="","",Project_Register!$X24)</f>
        <v/>
      </c>
      <c r="L259" s="335" t="str">
        <f>IF($A259="","",Project_Register!$Z24)</f>
        <v/>
      </c>
      <c r="M259" s="335" t="str">
        <f>IF($A259="","",Project_Register!$AD24)</f>
        <v/>
      </c>
      <c r="N259" s="335" t="str">
        <f>IF($A259="","",Project_Register!$AE24)</f>
        <v/>
      </c>
      <c r="O259" s="335" t="str">
        <f>IF($A259="","",Project_Register!$AL24)</f>
        <v/>
      </c>
      <c r="P259" s="335" t="str">
        <f>IFERROR(IF($A259="","",Project_Register!$AM24),"")</f>
        <v/>
      </c>
    </row>
    <row r="260" spans="1:16">
      <c r="A260" s="335" t="str">
        <f>IF(Project_Register!$A25="","",Project_Register!$A25)</f>
        <v/>
      </c>
      <c r="B260" s="335" t="str">
        <f>IF($A260="","",Project_Register!$B25)</f>
        <v/>
      </c>
      <c r="C260" s="335" t="str">
        <f>IF($A260="","",Project_Register!$G25)</f>
        <v/>
      </c>
      <c r="D260" s="335" t="str">
        <f>IF($A260="","",Project_Register!$E25)</f>
        <v/>
      </c>
      <c r="E260" s="335" t="str">
        <f>IF($A260="","",Project_Register!$K25)</f>
        <v/>
      </c>
      <c r="F260" s="335" t="str">
        <f>IF($A260="","",Project_Register!$M25)</f>
        <v/>
      </c>
      <c r="G260" s="335" t="str">
        <f>IF($A260="","",Project_Register!$N25)</f>
        <v/>
      </c>
      <c r="H260" s="525" t="str">
        <f>IF($A260="","",Project_Register!$P25)</f>
        <v/>
      </c>
      <c r="I260" s="525" t="str">
        <f>IFERROR(IF($A260="","",Project_Register!$Q25),"")</f>
        <v/>
      </c>
      <c r="J260" s="335" t="str">
        <f>IF($A260="","",Project_Register!$AA25)</f>
        <v/>
      </c>
      <c r="K260" s="335" t="str">
        <f>IF($A260="","",Project_Register!$X25)</f>
        <v/>
      </c>
      <c r="L260" s="335" t="str">
        <f>IF($A260="","",Project_Register!$Z25)</f>
        <v/>
      </c>
      <c r="M260" s="335" t="str">
        <f>IF($A260="","",Project_Register!$AD25)</f>
        <v/>
      </c>
      <c r="N260" s="335" t="str">
        <f>IF($A260="","",Project_Register!$AE25)</f>
        <v/>
      </c>
      <c r="O260" s="335" t="str">
        <f>IF($A260="","",Project_Register!$AL25)</f>
        <v/>
      </c>
      <c r="P260" s="335" t="str">
        <f>IFERROR(IF($A260="","",Project_Register!$AM25),"")</f>
        <v/>
      </c>
    </row>
    <row r="261" spans="1:16">
      <c r="A261" s="335" t="str">
        <f>IF(Project_Register!$A26="","",Project_Register!$A26)</f>
        <v/>
      </c>
      <c r="B261" s="335" t="str">
        <f>IF($A261="","",Project_Register!$B26)</f>
        <v/>
      </c>
      <c r="C261" s="335" t="str">
        <f>IF($A261="","",Project_Register!$G26)</f>
        <v/>
      </c>
      <c r="D261" s="335" t="str">
        <f>IF($A261="","",Project_Register!$E26)</f>
        <v/>
      </c>
      <c r="E261" s="335" t="str">
        <f>IF($A261="","",Project_Register!$K26)</f>
        <v/>
      </c>
      <c r="F261" s="335" t="str">
        <f>IF($A261="","",Project_Register!$M26)</f>
        <v/>
      </c>
      <c r="G261" s="335" t="str">
        <f>IF($A261="","",Project_Register!$N26)</f>
        <v/>
      </c>
      <c r="H261" s="525" t="str">
        <f>IF($A261="","",Project_Register!$P26)</f>
        <v/>
      </c>
      <c r="I261" s="525" t="str">
        <f>IFERROR(IF($A261="","",Project_Register!$Q26),"")</f>
        <v/>
      </c>
      <c r="J261" s="335" t="str">
        <f>IF($A261="","",Project_Register!$AA26)</f>
        <v/>
      </c>
      <c r="K261" s="335" t="str">
        <f>IF($A261="","",Project_Register!$X26)</f>
        <v/>
      </c>
      <c r="L261" s="335" t="str">
        <f>IF($A261="","",Project_Register!$Z26)</f>
        <v/>
      </c>
      <c r="M261" s="335" t="str">
        <f>IF($A261="","",Project_Register!$AD26)</f>
        <v/>
      </c>
      <c r="N261" s="335" t="str">
        <f>IF($A261="","",Project_Register!$AE26)</f>
        <v/>
      </c>
      <c r="O261" s="335" t="str">
        <f>IF($A261="","",Project_Register!$AL26)</f>
        <v/>
      </c>
      <c r="P261" s="335" t="str">
        <f>IFERROR(IF($A261="","",Project_Register!$AM26),"")</f>
        <v/>
      </c>
    </row>
    <row r="262" spans="1:16">
      <c r="A262" s="335"/>
      <c r="B262" s="335"/>
      <c r="C262" s="335"/>
      <c r="D262" s="335"/>
      <c r="E262" s="335"/>
      <c r="F262" s="335"/>
      <c r="G262" s="335"/>
      <c r="H262" s="525"/>
      <c r="I262" s="525"/>
      <c r="J262" s="335"/>
      <c r="K262" s="335"/>
      <c r="L262" s="335"/>
      <c r="M262" s="335"/>
      <c r="N262" s="335"/>
      <c r="O262" s="335"/>
      <c r="P262" s="335"/>
    </row>
    <row r="263" spans="1:16">
      <c r="A263" s="335"/>
      <c r="B263" s="335"/>
      <c r="C263" s="335"/>
      <c r="D263" s="335"/>
      <c r="E263" s="335"/>
      <c r="F263" s="335"/>
      <c r="G263" s="335"/>
      <c r="H263" s="525"/>
      <c r="I263" s="525"/>
      <c r="J263" s="335"/>
      <c r="K263" s="335"/>
      <c r="L263" s="335"/>
      <c r="M263" s="335"/>
      <c r="N263" s="335"/>
      <c r="O263" s="335"/>
      <c r="P263" s="335"/>
    </row>
    <row r="264" spans="1:16">
      <c r="A264" s="335"/>
      <c r="B264" s="335"/>
      <c r="C264" s="335"/>
      <c r="D264" s="335"/>
      <c r="E264" s="335"/>
      <c r="F264" s="335"/>
      <c r="G264" s="335"/>
      <c r="H264" s="525"/>
      <c r="I264" s="525"/>
      <c r="J264" s="335"/>
      <c r="K264" s="335"/>
      <c r="L264" s="335"/>
      <c r="M264" s="335"/>
      <c r="N264" s="335"/>
      <c r="O264" s="335"/>
      <c r="P264" s="335"/>
    </row>
    <row r="265" spans="1:16">
      <c r="A265" s="335"/>
      <c r="B265" s="335"/>
      <c r="C265" s="335"/>
      <c r="D265" s="335"/>
      <c r="E265" s="335"/>
      <c r="F265" s="335"/>
      <c r="G265" s="335"/>
      <c r="H265" s="525"/>
      <c r="I265" s="525"/>
      <c r="J265" s="335"/>
      <c r="K265" s="335"/>
      <c r="L265" s="335"/>
      <c r="M265" s="335"/>
      <c r="N265" s="335"/>
      <c r="O265" s="335"/>
      <c r="P265" s="335"/>
    </row>
    <row r="266" spans="1:16">
      <c r="A266" s="335"/>
      <c r="B266" s="335"/>
      <c r="C266" s="335"/>
      <c r="D266" s="335"/>
      <c r="E266" s="335"/>
      <c r="F266" s="335"/>
      <c r="G266" s="335"/>
      <c r="H266" s="525"/>
      <c r="I266" s="525"/>
      <c r="J266" s="335"/>
      <c r="K266" s="335"/>
      <c r="L266" s="335"/>
      <c r="M266" s="335"/>
      <c r="N266" s="335"/>
      <c r="O266" s="335"/>
      <c r="P266" s="335"/>
    </row>
    <row r="267" spans="1:16">
      <c r="A267" s="335"/>
      <c r="B267" s="335"/>
      <c r="C267" s="335"/>
      <c r="D267" s="335"/>
      <c r="E267" s="335"/>
      <c r="F267" s="335"/>
      <c r="G267" s="335"/>
      <c r="H267" s="525"/>
      <c r="I267" s="525"/>
      <c r="J267" s="335"/>
      <c r="K267" s="335"/>
      <c r="L267" s="335"/>
      <c r="M267" s="335"/>
      <c r="N267" s="335"/>
      <c r="O267" s="335"/>
      <c r="P267" s="335"/>
    </row>
    <row r="268" spans="1:16">
      <c r="A268" s="335"/>
      <c r="B268" s="335"/>
      <c r="C268" s="335"/>
      <c r="D268" s="335"/>
      <c r="E268" s="335"/>
      <c r="F268" s="335"/>
      <c r="G268" s="335"/>
      <c r="H268" s="525"/>
      <c r="I268" s="525"/>
      <c r="J268" s="335"/>
      <c r="K268" s="335"/>
      <c r="L268" s="335"/>
      <c r="M268" s="335"/>
      <c r="N268" s="335"/>
      <c r="O268" s="335"/>
      <c r="P268" s="335"/>
    </row>
    <row r="269" spans="1:16">
      <c r="A269" s="335"/>
      <c r="B269" s="335"/>
      <c r="C269" s="335"/>
      <c r="D269" s="335"/>
      <c r="E269" s="335"/>
      <c r="F269" s="335"/>
      <c r="G269" s="335"/>
      <c r="H269" s="525"/>
      <c r="I269" s="525"/>
      <c r="J269" s="335"/>
      <c r="K269" s="335"/>
      <c r="L269" s="335"/>
      <c r="M269" s="335"/>
      <c r="N269" s="335"/>
      <c r="O269" s="335"/>
      <c r="P269" s="335"/>
    </row>
    <row r="270" spans="1:16">
      <c r="A270" s="335"/>
      <c r="B270" s="335"/>
      <c r="C270" s="335"/>
      <c r="D270" s="335"/>
      <c r="E270" s="335"/>
      <c r="F270" s="335"/>
      <c r="G270" s="335"/>
      <c r="H270" s="525"/>
      <c r="I270" s="525"/>
      <c r="J270" s="335"/>
      <c r="K270" s="335"/>
      <c r="L270" s="335"/>
      <c r="M270" s="335"/>
      <c r="N270" s="335"/>
      <c r="O270" s="335"/>
      <c r="P270" s="335"/>
    </row>
    <row r="271" spans="1:16">
      <c r="A271" s="335"/>
      <c r="B271" s="335"/>
      <c r="C271" s="335"/>
      <c r="D271" s="335"/>
      <c r="E271" s="335"/>
      <c r="F271" s="335"/>
      <c r="G271" s="335"/>
      <c r="H271" s="525"/>
      <c r="I271" s="525"/>
      <c r="J271" s="335"/>
      <c r="K271" s="335"/>
      <c r="L271" s="335"/>
      <c r="M271" s="335"/>
      <c r="N271" s="335"/>
      <c r="O271" s="335"/>
      <c r="P271" s="335"/>
    </row>
    <row r="272" spans="1:16">
      <c r="A272" s="335"/>
      <c r="B272" s="335"/>
      <c r="C272" s="335"/>
      <c r="D272" s="335"/>
      <c r="E272" s="335"/>
      <c r="F272" s="335"/>
      <c r="G272" s="335"/>
      <c r="H272" s="525"/>
      <c r="I272" s="525"/>
      <c r="J272" s="335"/>
      <c r="K272" s="335"/>
      <c r="L272" s="335"/>
      <c r="M272" s="335"/>
      <c r="N272" s="335"/>
      <c r="O272" s="335"/>
      <c r="P272" s="335"/>
    </row>
    <row r="273" spans="1:16">
      <c r="A273" s="335"/>
      <c r="B273" s="335"/>
      <c r="C273" s="335"/>
      <c r="D273" s="335"/>
      <c r="E273" s="335"/>
      <c r="F273" s="335"/>
      <c r="G273" s="335"/>
      <c r="H273" s="525"/>
      <c r="I273" s="525"/>
      <c r="J273" s="335"/>
      <c r="K273" s="335"/>
      <c r="L273" s="335"/>
      <c r="M273" s="335"/>
      <c r="N273" s="335"/>
      <c r="O273" s="335"/>
      <c r="P273" s="335"/>
    </row>
    <row r="274" spans="1:16">
      <c r="A274" s="335"/>
      <c r="B274" s="335"/>
      <c r="C274" s="335"/>
      <c r="D274" s="335"/>
      <c r="E274" s="335"/>
      <c r="F274" s="335"/>
      <c r="G274" s="335"/>
      <c r="H274" s="525"/>
      <c r="I274" s="525"/>
      <c r="J274" s="335"/>
      <c r="K274" s="335"/>
      <c r="L274" s="335"/>
      <c r="M274" s="335"/>
      <c r="N274" s="335"/>
      <c r="O274" s="335"/>
      <c r="P274" s="335"/>
    </row>
    <row r="275" spans="1:16">
      <c r="A275" s="335"/>
      <c r="B275" s="335"/>
      <c r="C275" s="335"/>
      <c r="D275" s="335"/>
      <c r="E275" s="335"/>
      <c r="F275" s="335"/>
      <c r="G275" s="335"/>
      <c r="H275" s="525"/>
      <c r="I275" s="525"/>
      <c r="J275" s="335"/>
      <c r="K275" s="335"/>
      <c r="L275" s="335"/>
      <c r="M275" s="335"/>
      <c r="N275" s="335"/>
      <c r="O275" s="335"/>
      <c r="P275" s="335"/>
    </row>
    <row r="276" spans="1:16">
      <c r="A276" s="335"/>
      <c r="B276" s="335"/>
      <c r="C276" s="335"/>
      <c r="D276" s="335"/>
      <c r="E276" s="335"/>
      <c r="F276" s="335"/>
      <c r="G276" s="335"/>
      <c r="H276" s="525"/>
      <c r="I276" s="525"/>
      <c r="J276" s="335"/>
      <c r="K276" s="335"/>
      <c r="L276" s="335"/>
      <c r="M276" s="335"/>
      <c r="N276" s="335"/>
      <c r="O276" s="335"/>
      <c r="P276" s="335"/>
    </row>
    <row r="277" spans="1:16">
      <c r="A277" s="335"/>
      <c r="B277" s="335"/>
      <c r="C277" s="335"/>
      <c r="D277" s="335"/>
      <c r="E277" s="335"/>
      <c r="F277" s="335"/>
      <c r="G277" s="335"/>
      <c r="H277" s="525"/>
      <c r="I277" s="525"/>
      <c r="J277" s="335"/>
      <c r="K277" s="335"/>
      <c r="L277" s="335"/>
      <c r="M277" s="335"/>
      <c r="N277" s="335"/>
      <c r="O277" s="335"/>
      <c r="P277" s="335"/>
    </row>
    <row r="278" spans="1:16">
      <c r="A278" s="335"/>
      <c r="B278" s="335"/>
      <c r="C278" s="335"/>
      <c r="D278" s="335"/>
      <c r="E278" s="335"/>
      <c r="F278" s="335"/>
      <c r="G278" s="335"/>
      <c r="H278" s="525"/>
      <c r="I278" s="525"/>
      <c r="J278" s="335"/>
      <c r="K278" s="335"/>
      <c r="L278" s="335"/>
      <c r="M278" s="335"/>
      <c r="N278" s="335"/>
      <c r="O278" s="335"/>
      <c r="P278" s="335"/>
    </row>
    <row r="279" spans="1:16">
      <c r="A279" s="335"/>
      <c r="B279" s="335"/>
      <c r="C279" s="335"/>
      <c r="D279" s="335"/>
      <c r="E279" s="335"/>
      <c r="F279" s="335"/>
      <c r="G279" s="335"/>
      <c r="H279" s="525"/>
      <c r="I279" s="525"/>
      <c r="J279" s="335"/>
      <c r="K279" s="335"/>
      <c r="L279" s="335"/>
      <c r="M279" s="335"/>
      <c r="N279" s="335"/>
      <c r="O279" s="335"/>
      <c r="P279" s="335"/>
    </row>
    <row r="280" spans="1:16">
      <c r="A280" s="335"/>
      <c r="B280" s="335"/>
      <c r="C280" s="335"/>
      <c r="D280" s="335"/>
      <c r="E280" s="335"/>
      <c r="F280" s="335"/>
      <c r="G280" s="335"/>
      <c r="H280" s="525"/>
      <c r="I280" s="525"/>
      <c r="J280" s="335"/>
      <c r="K280" s="335"/>
      <c r="L280" s="335"/>
      <c r="M280" s="335"/>
      <c r="N280" s="335"/>
      <c r="O280" s="335"/>
      <c r="P280" s="335"/>
    </row>
    <row r="281" spans="1:16">
      <c r="A281" s="335"/>
      <c r="B281" s="335"/>
      <c r="C281" s="335"/>
      <c r="D281" s="335"/>
      <c r="E281" s="335"/>
      <c r="F281" s="335"/>
      <c r="G281" s="335"/>
      <c r="H281" s="525"/>
      <c r="I281" s="525"/>
      <c r="J281" s="335"/>
      <c r="K281" s="335"/>
      <c r="L281" s="335"/>
      <c r="M281" s="335"/>
      <c r="N281" s="335"/>
      <c r="O281" s="335"/>
      <c r="P281" s="335"/>
    </row>
    <row r="282" spans="1:16">
      <c r="A282" s="335"/>
      <c r="B282" s="335"/>
      <c r="C282" s="335"/>
      <c r="D282" s="335"/>
      <c r="E282" s="335"/>
      <c r="F282" s="335"/>
      <c r="G282" s="335"/>
      <c r="H282" s="525"/>
      <c r="I282" s="525"/>
      <c r="J282" s="335"/>
      <c r="K282" s="335"/>
      <c r="L282" s="335"/>
      <c r="M282" s="335"/>
      <c r="N282" s="335"/>
      <c r="O282" s="335"/>
      <c r="P282" s="335"/>
    </row>
    <row r="283" spans="1:16">
      <c r="A283" s="335"/>
      <c r="B283" s="335"/>
      <c r="C283" s="335"/>
      <c r="D283" s="335"/>
      <c r="E283" s="335"/>
      <c r="F283" s="335"/>
      <c r="G283" s="335"/>
      <c r="H283" s="525"/>
      <c r="I283" s="525"/>
      <c r="J283" s="335"/>
      <c r="K283" s="335"/>
      <c r="L283" s="335"/>
      <c r="M283" s="335"/>
      <c r="N283" s="335"/>
      <c r="O283" s="335"/>
      <c r="P283" s="335"/>
    </row>
    <row r="284" spans="1:16">
      <c r="A284" s="335"/>
      <c r="B284" s="335"/>
      <c r="C284" s="335"/>
      <c r="D284" s="335"/>
      <c r="E284" s="335"/>
      <c r="F284" s="335"/>
      <c r="G284" s="335"/>
      <c r="H284" s="525"/>
      <c r="I284" s="525"/>
      <c r="J284" s="335"/>
      <c r="K284" s="335"/>
      <c r="L284" s="335"/>
      <c r="M284" s="335"/>
      <c r="N284" s="335"/>
      <c r="O284" s="335"/>
      <c r="P284" s="335"/>
    </row>
    <row r="285" spans="1:16">
      <c r="A285" s="335"/>
      <c r="B285" s="335"/>
      <c r="C285" s="335"/>
      <c r="D285" s="335"/>
      <c r="E285" s="335"/>
      <c r="F285" s="335"/>
      <c r="G285" s="335"/>
      <c r="H285" s="525"/>
      <c r="I285" s="525"/>
      <c r="J285" s="335"/>
      <c r="K285" s="335"/>
      <c r="L285" s="335"/>
      <c r="M285" s="335"/>
      <c r="N285" s="335"/>
      <c r="O285" s="335"/>
      <c r="P285" s="335"/>
    </row>
    <row r="286" spans="1:16">
      <c r="A286" s="335"/>
      <c r="B286" s="335"/>
      <c r="C286" s="335"/>
      <c r="D286" s="335"/>
      <c r="E286" s="335"/>
      <c r="F286" s="335"/>
      <c r="G286" s="335"/>
      <c r="H286" s="525"/>
      <c r="I286" s="525"/>
      <c r="J286" s="335"/>
      <c r="K286" s="335"/>
      <c r="L286" s="335"/>
      <c r="M286" s="335"/>
      <c r="N286" s="335"/>
      <c r="O286" s="335"/>
      <c r="P286" s="335"/>
    </row>
    <row r="287" spans="1:16">
      <c r="A287" s="335"/>
      <c r="B287" s="335"/>
      <c r="C287" s="335"/>
      <c r="D287" s="335"/>
      <c r="E287" s="335"/>
      <c r="F287" s="335"/>
      <c r="G287" s="335"/>
      <c r="H287" s="525"/>
      <c r="I287" s="525"/>
      <c r="J287" s="335"/>
      <c r="K287" s="335"/>
      <c r="L287" s="335"/>
      <c r="M287" s="335"/>
      <c r="N287" s="335"/>
      <c r="O287" s="335"/>
      <c r="P287" s="335"/>
    </row>
    <row r="288" spans="1:16">
      <c r="A288" s="335"/>
      <c r="B288" s="335"/>
      <c r="C288" s="335"/>
      <c r="D288" s="335"/>
      <c r="E288" s="335"/>
      <c r="F288" s="335"/>
      <c r="G288" s="335"/>
      <c r="H288" s="525"/>
      <c r="I288" s="525"/>
      <c r="J288" s="335"/>
      <c r="K288" s="335"/>
      <c r="L288" s="335"/>
      <c r="M288" s="335"/>
      <c r="N288" s="335"/>
      <c r="O288" s="335"/>
      <c r="P288" s="335"/>
    </row>
    <row r="289" spans="1:16">
      <c r="A289" s="335"/>
      <c r="B289" s="335"/>
      <c r="C289" s="335"/>
      <c r="D289" s="335"/>
      <c r="E289" s="335"/>
      <c r="F289" s="335"/>
      <c r="G289" s="335"/>
      <c r="H289" s="525"/>
      <c r="I289" s="525"/>
      <c r="J289" s="335"/>
      <c r="K289" s="335"/>
      <c r="L289" s="335"/>
      <c r="M289" s="335"/>
      <c r="N289" s="335"/>
      <c r="O289" s="335"/>
      <c r="P289" s="335"/>
    </row>
    <row r="290" spans="1:16">
      <c r="A290" s="335"/>
      <c r="B290" s="335"/>
      <c r="C290" s="335"/>
      <c r="D290" s="335"/>
      <c r="E290" s="335"/>
      <c r="F290" s="335"/>
      <c r="G290" s="335"/>
      <c r="H290" s="525"/>
      <c r="I290" s="525"/>
      <c r="J290" s="335"/>
      <c r="K290" s="335"/>
      <c r="L290" s="335"/>
      <c r="M290" s="335"/>
      <c r="N290" s="335"/>
      <c r="O290" s="335"/>
      <c r="P290" s="335"/>
    </row>
    <row r="291" spans="1:16">
      <c r="A291" s="335"/>
      <c r="B291" s="335"/>
      <c r="C291" s="335"/>
      <c r="D291" s="335"/>
      <c r="E291" s="335"/>
      <c r="F291" s="335"/>
      <c r="G291" s="335"/>
      <c r="H291" s="525"/>
      <c r="I291" s="525"/>
      <c r="J291" s="335"/>
      <c r="K291" s="335"/>
      <c r="L291" s="335"/>
      <c r="M291" s="335"/>
      <c r="N291" s="335"/>
      <c r="O291" s="335"/>
      <c r="P291" s="335"/>
    </row>
    <row r="292" spans="1:16">
      <c r="A292" s="335"/>
      <c r="B292" s="335"/>
      <c r="C292" s="335"/>
      <c r="D292" s="335"/>
      <c r="E292" s="335"/>
      <c r="F292" s="335"/>
      <c r="G292" s="335"/>
      <c r="H292" s="525"/>
      <c r="I292" s="525"/>
      <c r="J292" s="335"/>
      <c r="K292" s="335"/>
      <c r="L292" s="335"/>
      <c r="M292" s="335"/>
      <c r="N292" s="335"/>
      <c r="O292" s="335"/>
      <c r="P292" s="335"/>
    </row>
    <row r="293" spans="1:16">
      <c r="A293" s="335"/>
      <c r="B293" s="335"/>
      <c r="C293" s="335"/>
      <c r="D293" s="335"/>
      <c r="E293" s="335"/>
      <c r="F293" s="335"/>
      <c r="G293" s="335"/>
      <c r="H293" s="525"/>
      <c r="I293" s="525"/>
      <c r="J293" s="335"/>
      <c r="K293" s="335"/>
      <c r="L293" s="335"/>
      <c r="M293" s="335"/>
      <c r="N293" s="335"/>
      <c r="O293" s="335"/>
      <c r="P293" s="335"/>
    </row>
    <row r="294" spans="1:16">
      <c r="A294" s="335"/>
      <c r="B294" s="335"/>
      <c r="C294" s="335"/>
      <c r="D294" s="335"/>
      <c r="E294" s="335"/>
      <c r="F294" s="335"/>
      <c r="G294" s="335"/>
      <c r="H294" s="525"/>
      <c r="I294" s="525"/>
      <c r="J294" s="335"/>
      <c r="K294" s="335"/>
      <c r="L294" s="335"/>
      <c r="M294" s="335"/>
      <c r="N294" s="335"/>
      <c r="O294" s="335"/>
      <c r="P294" s="335"/>
    </row>
    <row r="295" spans="1:16">
      <c r="A295" s="335"/>
      <c r="B295" s="335"/>
      <c r="C295" s="335"/>
      <c r="D295" s="335"/>
      <c r="E295" s="335"/>
      <c r="F295" s="335"/>
      <c r="G295" s="335"/>
      <c r="H295" s="525"/>
      <c r="I295" s="525"/>
      <c r="J295" s="335"/>
      <c r="K295" s="335"/>
      <c r="L295" s="335"/>
      <c r="M295" s="335"/>
      <c r="N295" s="335"/>
      <c r="O295" s="335"/>
      <c r="P295" s="335"/>
    </row>
    <row r="296" spans="1:16">
      <c r="A296" s="335"/>
      <c r="B296" s="335"/>
      <c r="C296" s="335"/>
      <c r="D296" s="335"/>
      <c r="E296" s="335"/>
      <c r="F296" s="335"/>
      <c r="G296" s="335"/>
      <c r="H296" s="525"/>
      <c r="I296" s="525"/>
      <c r="J296" s="335"/>
      <c r="K296" s="335"/>
      <c r="L296" s="335"/>
      <c r="M296" s="335"/>
      <c r="N296" s="335"/>
      <c r="O296" s="335"/>
      <c r="P296" s="335"/>
    </row>
    <row r="297" spans="1:16">
      <c r="A297" s="335"/>
      <c r="B297" s="335"/>
      <c r="C297" s="335"/>
      <c r="D297" s="335"/>
      <c r="E297" s="335"/>
      <c r="F297" s="335"/>
      <c r="G297" s="335"/>
      <c r="H297" s="525"/>
      <c r="I297" s="525"/>
      <c r="J297" s="335"/>
      <c r="K297" s="335"/>
      <c r="L297" s="335"/>
      <c r="M297" s="335"/>
      <c r="N297" s="335"/>
      <c r="O297" s="335"/>
      <c r="P297" s="335"/>
    </row>
    <row r="298" spans="1:16">
      <c r="A298" s="335"/>
      <c r="B298" s="335"/>
      <c r="C298" s="335"/>
      <c r="D298" s="335"/>
      <c r="E298" s="335"/>
      <c r="F298" s="335"/>
      <c r="G298" s="335"/>
      <c r="H298" s="525"/>
      <c r="I298" s="525"/>
      <c r="J298" s="335"/>
      <c r="K298" s="335"/>
      <c r="L298" s="335"/>
      <c r="M298" s="335"/>
      <c r="N298" s="335"/>
      <c r="O298" s="335"/>
      <c r="P298" s="335"/>
    </row>
    <row r="299" spans="1:16">
      <c r="A299" s="335"/>
      <c r="B299" s="335"/>
      <c r="C299" s="335"/>
      <c r="D299" s="335"/>
      <c r="E299" s="335"/>
      <c r="F299" s="335"/>
      <c r="G299" s="335"/>
      <c r="H299" s="525"/>
      <c r="I299" s="525"/>
      <c r="J299" s="335"/>
      <c r="K299" s="335"/>
      <c r="L299" s="335"/>
      <c r="M299" s="335"/>
      <c r="N299" s="335"/>
      <c r="O299" s="335"/>
      <c r="P299" s="335"/>
    </row>
    <row r="300" spans="1:16">
      <c r="A300" s="335"/>
      <c r="B300" s="335"/>
      <c r="C300" s="335"/>
      <c r="D300" s="335"/>
      <c r="E300" s="335"/>
      <c r="F300" s="335"/>
      <c r="G300" s="335"/>
      <c r="H300" s="525"/>
      <c r="I300" s="525"/>
      <c r="J300" s="335"/>
      <c r="K300" s="335"/>
      <c r="L300" s="335"/>
      <c r="M300" s="335"/>
      <c r="N300" s="335"/>
      <c r="O300" s="335"/>
      <c r="P300" s="335"/>
    </row>
    <row r="301" spans="1:16">
      <c r="A301" s="335"/>
      <c r="B301" s="335"/>
      <c r="C301" s="335"/>
      <c r="D301" s="335"/>
      <c r="E301" s="335"/>
      <c r="F301" s="335"/>
      <c r="G301" s="335"/>
      <c r="H301" s="525"/>
      <c r="I301" s="525"/>
      <c r="J301" s="335"/>
      <c r="K301" s="335"/>
      <c r="L301" s="335"/>
      <c r="M301" s="335"/>
      <c r="N301" s="335"/>
      <c r="O301" s="335"/>
      <c r="P301" s="335"/>
    </row>
    <row r="302" spans="1:16">
      <c r="A302" s="335"/>
      <c r="B302" s="335"/>
      <c r="C302" s="335"/>
      <c r="D302" s="335"/>
      <c r="E302" s="335"/>
      <c r="F302" s="335"/>
      <c r="G302" s="335"/>
      <c r="H302" s="525"/>
      <c r="I302" s="525"/>
      <c r="J302" s="335"/>
      <c r="K302" s="335"/>
      <c r="L302" s="335"/>
      <c r="M302" s="335"/>
      <c r="N302" s="335"/>
      <c r="O302" s="335"/>
      <c r="P302" s="335"/>
    </row>
    <row r="303" spans="1:16">
      <c r="A303" s="335"/>
      <c r="B303" s="335"/>
      <c r="C303" s="335"/>
      <c r="D303" s="335"/>
      <c r="E303" s="335"/>
      <c r="F303" s="335"/>
      <c r="G303" s="335"/>
      <c r="H303" s="525"/>
      <c r="I303" s="525"/>
      <c r="J303" s="335"/>
      <c r="K303" s="335"/>
      <c r="L303" s="335"/>
      <c r="M303" s="335"/>
      <c r="N303" s="335"/>
      <c r="O303" s="335"/>
      <c r="P303" s="335"/>
    </row>
    <row r="304" spans="1:16">
      <c r="A304" s="335"/>
      <c r="B304" s="335"/>
      <c r="C304" s="335"/>
      <c r="D304" s="335"/>
      <c r="E304" s="335"/>
      <c r="F304" s="335"/>
      <c r="G304" s="335"/>
      <c r="H304" s="525"/>
      <c r="I304" s="525"/>
      <c r="J304" s="335"/>
      <c r="K304" s="335"/>
      <c r="L304" s="335"/>
      <c r="M304" s="335"/>
      <c r="N304" s="335"/>
      <c r="O304" s="335"/>
      <c r="P304" s="335"/>
    </row>
    <row r="305" spans="1:16">
      <c r="A305" s="335"/>
      <c r="B305" s="335"/>
      <c r="C305" s="335"/>
      <c r="D305" s="335"/>
      <c r="E305" s="335"/>
      <c r="F305" s="335"/>
      <c r="G305" s="335"/>
      <c r="H305" s="525"/>
      <c r="I305" s="525"/>
      <c r="J305" s="335"/>
      <c r="K305" s="335"/>
      <c r="L305" s="335"/>
      <c r="M305" s="335"/>
      <c r="N305" s="335"/>
      <c r="O305" s="335"/>
      <c r="P305" s="335"/>
    </row>
    <row r="306" spans="1:16">
      <c r="A306" s="335"/>
      <c r="B306" s="335"/>
      <c r="C306" s="335"/>
      <c r="D306" s="335"/>
      <c r="E306" s="335"/>
      <c r="F306" s="335"/>
      <c r="G306" s="335"/>
      <c r="H306" s="525"/>
      <c r="I306" s="525"/>
      <c r="J306" s="335"/>
      <c r="K306" s="335"/>
      <c r="L306" s="335"/>
      <c r="M306" s="335"/>
      <c r="N306" s="335"/>
      <c r="O306" s="335"/>
      <c r="P306" s="335"/>
    </row>
    <row r="307" spans="1:16">
      <c r="A307" s="335"/>
      <c r="B307" s="335"/>
      <c r="C307" s="335"/>
      <c r="D307" s="335"/>
      <c r="E307" s="335"/>
      <c r="F307" s="335"/>
      <c r="G307" s="335"/>
      <c r="H307" s="525"/>
      <c r="I307" s="525"/>
      <c r="J307" s="335"/>
      <c r="K307" s="335"/>
      <c r="L307" s="335"/>
      <c r="M307" s="335"/>
      <c r="N307" s="335"/>
      <c r="O307" s="335"/>
      <c r="P307" s="335"/>
    </row>
    <row r="308" spans="1:16">
      <c r="A308" s="335"/>
      <c r="B308" s="335"/>
      <c r="C308" s="335"/>
      <c r="D308" s="335"/>
      <c r="E308" s="335"/>
      <c r="F308" s="335"/>
      <c r="G308" s="335"/>
      <c r="H308" s="525"/>
      <c r="I308" s="525"/>
      <c r="J308" s="335"/>
      <c r="K308" s="335"/>
      <c r="L308" s="335"/>
      <c r="M308" s="335"/>
      <c r="N308" s="335"/>
      <c r="O308" s="335"/>
      <c r="P308" s="335"/>
    </row>
    <row r="309" spans="1:16">
      <c r="A309" s="335"/>
      <c r="B309" s="335"/>
      <c r="C309" s="335"/>
      <c r="D309" s="335"/>
      <c r="E309" s="335"/>
      <c r="F309" s="335"/>
      <c r="G309" s="335"/>
      <c r="H309" s="525"/>
      <c r="I309" s="525"/>
      <c r="J309" s="335"/>
      <c r="K309" s="335"/>
      <c r="L309" s="335"/>
      <c r="M309" s="335"/>
      <c r="N309" s="335"/>
      <c r="O309" s="335"/>
      <c r="P309" s="335"/>
    </row>
    <row r="310" spans="1:16">
      <c r="A310" s="335"/>
      <c r="B310" s="335"/>
      <c r="C310" s="335"/>
      <c r="D310" s="335"/>
      <c r="E310" s="335"/>
      <c r="F310" s="335"/>
      <c r="G310" s="335"/>
      <c r="H310" s="525"/>
      <c r="I310" s="525"/>
      <c r="J310" s="335"/>
      <c r="K310" s="335"/>
      <c r="L310" s="335"/>
      <c r="M310" s="335"/>
      <c r="N310" s="335"/>
      <c r="O310" s="335"/>
      <c r="P310" s="335"/>
    </row>
    <row r="311" spans="1:16">
      <c r="A311" s="335"/>
      <c r="B311" s="335"/>
      <c r="C311" s="335"/>
      <c r="D311" s="335"/>
      <c r="E311" s="335"/>
      <c r="F311" s="335"/>
      <c r="G311" s="335"/>
      <c r="H311" s="525"/>
      <c r="I311" s="525"/>
      <c r="J311" s="335"/>
      <c r="K311" s="335"/>
      <c r="L311" s="335"/>
      <c r="M311" s="335"/>
      <c r="N311" s="335"/>
      <c r="O311" s="335"/>
      <c r="P311" s="335"/>
    </row>
    <row r="312" spans="1:16">
      <c r="A312" s="335"/>
      <c r="B312" s="335"/>
      <c r="C312" s="335"/>
      <c r="D312" s="335"/>
      <c r="E312" s="335"/>
      <c r="F312" s="335"/>
      <c r="G312" s="335"/>
      <c r="H312" s="525"/>
      <c r="I312" s="525"/>
      <c r="J312" s="335"/>
      <c r="K312" s="335"/>
      <c r="L312" s="335"/>
      <c r="M312" s="335"/>
      <c r="N312" s="335"/>
      <c r="O312" s="335"/>
      <c r="P312" s="335"/>
    </row>
    <row r="313" spans="1:16">
      <c r="A313" s="335"/>
      <c r="B313" s="335"/>
      <c r="C313" s="335"/>
      <c r="D313" s="335"/>
      <c r="E313" s="335"/>
      <c r="F313" s="335"/>
      <c r="G313" s="335"/>
      <c r="H313" s="525"/>
      <c r="I313" s="525"/>
      <c r="J313" s="335"/>
      <c r="K313" s="335"/>
      <c r="L313" s="335"/>
      <c r="M313" s="335"/>
      <c r="N313" s="335"/>
      <c r="O313" s="335"/>
      <c r="P313" s="335"/>
    </row>
    <row r="314" spans="1:16">
      <c r="A314" s="335"/>
      <c r="B314" s="335"/>
      <c r="C314" s="335"/>
      <c r="D314" s="335"/>
      <c r="E314" s="335"/>
      <c r="F314" s="335"/>
      <c r="G314" s="335"/>
      <c r="H314" s="525"/>
      <c r="I314" s="525"/>
      <c r="J314" s="335"/>
      <c r="K314" s="335"/>
      <c r="L314" s="335"/>
      <c r="M314" s="335"/>
      <c r="N314" s="335"/>
      <c r="O314" s="335"/>
      <c r="P314" s="335"/>
    </row>
    <row r="315" spans="1:16">
      <c r="A315" s="335"/>
      <c r="B315" s="335"/>
      <c r="C315" s="335"/>
      <c r="D315" s="335"/>
      <c r="E315" s="335"/>
      <c r="F315" s="335"/>
      <c r="G315" s="335"/>
      <c r="H315" s="525"/>
      <c r="I315" s="525"/>
      <c r="J315" s="335"/>
      <c r="K315" s="335"/>
      <c r="L315" s="335"/>
      <c r="M315" s="335"/>
      <c r="N315" s="335"/>
      <c r="O315" s="335"/>
      <c r="P315" s="335"/>
    </row>
    <row r="316" spans="1:16">
      <c r="A316" s="335"/>
      <c r="B316" s="335"/>
      <c r="C316" s="335"/>
      <c r="D316" s="335"/>
      <c r="E316" s="335"/>
      <c r="F316" s="335"/>
      <c r="G316" s="335"/>
      <c r="H316" s="525"/>
      <c r="I316" s="525"/>
      <c r="J316" s="335"/>
      <c r="K316" s="335"/>
      <c r="L316" s="335"/>
      <c r="M316" s="335"/>
      <c r="N316" s="335"/>
      <c r="O316" s="335"/>
      <c r="P316" s="335"/>
    </row>
    <row r="317" spans="1:16">
      <c r="A317" s="335"/>
      <c r="B317" s="335"/>
      <c r="C317" s="335"/>
      <c r="D317" s="335"/>
      <c r="E317" s="335"/>
      <c r="F317" s="335"/>
      <c r="G317" s="335"/>
      <c r="H317" s="525"/>
      <c r="I317" s="525"/>
      <c r="J317" s="335"/>
      <c r="K317" s="335"/>
      <c r="L317" s="335"/>
      <c r="M317" s="335"/>
      <c r="N317" s="335"/>
      <c r="O317" s="335"/>
      <c r="P317" s="335"/>
    </row>
    <row r="318" spans="1:16">
      <c r="A318" s="335"/>
      <c r="B318" s="335"/>
      <c r="C318" s="335"/>
      <c r="D318" s="335"/>
      <c r="E318" s="335"/>
      <c r="F318" s="335"/>
      <c r="G318" s="335"/>
      <c r="H318" s="525"/>
      <c r="I318" s="525"/>
      <c r="J318" s="335"/>
      <c r="K318" s="335"/>
      <c r="L318" s="335"/>
      <c r="M318" s="335"/>
      <c r="N318" s="335"/>
      <c r="O318" s="335"/>
      <c r="P318" s="335"/>
    </row>
    <row r="319" spans="1:16">
      <c r="A319" s="335"/>
      <c r="B319" s="335"/>
      <c r="C319" s="335"/>
      <c r="D319" s="335"/>
      <c r="E319" s="335"/>
      <c r="F319" s="335"/>
      <c r="G319" s="335"/>
      <c r="H319" s="525"/>
      <c r="I319" s="525"/>
      <c r="J319" s="335"/>
      <c r="K319" s="335"/>
      <c r="L319" s="335"/>
      <c r="M319" s="335"/>
      <c r="N319" s="335"/>
      <c r="O319" s="335"/>
      <c r="P319" s="335"/>
    </row>
    <row r="320" spans="1:16">
      <c r="A320" s="335"/>
      <c r="B320" s="335"/>
      <c r="C320" s="335"/>
      <c r="D320" s="335"/>
      <c r="E320" s="335"/>
      <c r="F320" s="335"/>
      <c r="G320" s="335"/>
      <c r="H320" s="525"/>
      <c r="I320" s="525"/>
      <c r="J320" s="335"/>
      <c r="K320" s="335"/>
      <c r="L320" s="335"/>
      <c r="M320" s="335"/>
      <c r="N320" s="335"/>
      <c r="O320" s="335"/>
      <c r="P320" s="335"/>
    </row>
    <row r="321" spans="1:16">
      <c r="A321" s="335"/>
      <c r="B321" s="335"/>
      <c r="C321" s="335"/>
      <c r="D321" s="335"/>
      <c r="E321" s="335"/>
      <c r="F321" s="335"/>
      <c r="G321" s="335"/>
      <c r="H321" s="335"/>
      <c r="I321" s="335"/>
      <c r="J321" s="335"/>
      <c r="K321" s="335"/>
      <c r="L321" s="335"/>
      <c r="M321" s="335"/>
      <c r="N321" s="335"/>
      <c r="O321" s="335"/>
      <c r="P321" s="335"/>
    </row>
    <row r="322" spans="1:16" ht="15">
      <c r="A322" s="910" t="s">
        <v>5870</v>
      </c>
      <c r="B322" s="910"/>
      <c r="C322" s="910"/>
      <c r="D322" s="910"/>
      <c r="E322" s="910"/>
      <c r="F322" s="910"/>
      <c r="G322" s="910"/>
      <c r="H322" s="910"/>
      <c r="I322" s="910"/>
      <c r="J322" s="910"/>
      <c r="K322" s="910"/>
      <c r="L322" s="910"/>
      <c r="M322" s="910"/>
      <c r="N322" s="910"/>
      <c r="O322" s="910"/>
      <c r="P322" s="910"/>
    </row>
    <row r="323" spans="1:16" ht="24">
      <c r="A323" s="532" t="s">
        <v>5762</v>
      </c>
      <c r="B323" s="532" t="s">
        <v>286</v>
      </c>
      <c r="C323" s="532" t="s">
        <v>142</v>
      </c>
      <c r="D323" s="532" t="s">
        <v>5802</v>
      </c>
      <c r="E323" s="532" t="s">
        <v>216</v>
      </c>
      <c r="F323" s="532" t="s">
        <v>77</v>
      </c>
      <c r="G323" s="335"/>
      <c r="H323" s="335"/>
      <c r="I323" s="335"/>
      <c r="J323" s="335"/>
      <c r="K323" s="335"/>
      <c r="L323" s="335"/>
      <c r="M323" s="335"/>
      <c r="N323" s="335"/>
      <c r="O323" s="335"/>
      <c r="P323" s="335"/>
    </row>
    <row r="324" spans="1:16">
      <c r="A324" s="335" t="str">
        <f t="shared" ref="A324:A330" si="0">IF($J241&lt;&gt;"Yes","",$A241)</f>
        <v/>
      </c>
      <c r="B324" s="335" t="str">
        <f t="shared" ref="B324:B331" si="1">IF($A324="","",$C241)</f>
        <v/>
      </c>
      <c r="C324" s="335" t="str">
        <f t="shared" ref="C324:C331" si="2">IF($A324="","",$D241)</f>
        <v/>
      </c>
      <c r="D324" s="335" t="str">
        <f t="shared" ref="D324:D331" si="3">IF($A324="","",$M241)</f>
        <v/>
      </c>
      <c r="E324" s="335" t="str">
        <f t="shared" ref="E324:E331" si="4">IF($A324="","",$E241)</f>
        <v/>
      </c>
      <c r="F324" s="335" t="str">
        <f t="shared" ref="F324:F331" si="5">IF($A324="","",$G241)</f>
        <v/>
      </c>
      <c r="G324" s="335"/>
      <c r="H324" s="335"/>
      <c r="I324" s="335"/>
      <c r="J324" s="335"/>
      <c r="K324" s="335"/>
      <c r="L324" s="335"/>
      <c r="M324" s="335"/>
      <c r="N324" s="335"/>
      <c r="O324" s="335"/>
      <c r="P324" s="335"/>
    </row>
    <row r="325" spans="1:16" ht="38.25">
      <c r="A325" s="335" t="str">
        <f t="shared" si="0"/>
        <v>DEL-002</v>
      </c>
      <c r="B325" s="335" t="str">
        <f t="shared" si="1"/>
        <v>Biweekly PTR Update</v>
      </c>
      <c r="C325" s="335" t="str">
        <f t="shared" si="2"/>
        <v>ALL</v>
      </c>
      <c r="D325" s="335" t="str">
        <f t="shared" si="3"/>
        <v>Confirm PTR ownership and access.</v>
      </c>
      <c r="E325" s="335" t="str">
        <f t="shared" si="4"/>
        <v>Paul</v>
      </c>
      <c r="F325" s="335" t="str">
        <f t="shared" si="5"/>
        <v>Open</v>
      </c>
      <c r="G325" s="335"/>
      <c r="H325" s="335"/>
      <c r="I325" s="335"/>
      <c r="J325" s="335"/>
      <c r="K325" s="335"/>
      <c r="L325" s="335"/>
      <c r="M325" s="335"/>
      <c r="N325" s="335"/>
      <c r="O325" s="335"/>
      <c r="P325" s="335"/>
    </row>
    <row r="326" spans="1:16" ht="51">
      <c r="A326" s="335" t="str">
        <f t="shared" si="0"/>
        <v>SCH-001</v>
      </c>
      <c r="B326" s="335" t="str">
        <f t="shared" si="1"/>
        <v>Contractor Baseline Schedule</v>
      </c>
      <c r="C326" s="335" t="str">
        <f t="shared" si="2"/>
        <v>ALL</v>
      </c>
      <c r="D326" s="335" t="str">
        <f t="shared" si="3"/>
        <v>Contractor schedule has not been received.</v>
      </c>
      <c r="E326" s="335" t="str">
        <f t="shared" si="4"/>
        <v>Paul</v>
      </c>
      <c r="F326" s="335" t="str">
        <f t="shared" si="5"/>
        <v>Waiting</v>
      </c>
      <c r="G326" s="335"/>
      <c r="H326" s="335"/>
      <c r="I326" s="335"/>
      <c r="J326" s="335"/>
      <c r="K326" s="335"/>
      <c r="L326" s="335"/>
      <c r="M326" s="335"/>
      <c r="N326" s="335"/>
      <c r="O326" s="335"/>
      <c r="P326" s="335"/>
    </row>
    <row r="327" spans="1:16" ht="76.5">
      <c r="A327" s="335" t="str">
        <f t="shared" si="0"/>
        <v>ACT-001</v>
      </c>
      <c r="B327" s="335" t="str">
        <f t="shared" si="1"/>
        <v>Confirm COR Reporting Expectations</v>
      </c>
      <c r="C327" s="335" t="str">
        <f t="shared" si="2"/>
        <v>ALL</v>
      </c>
      <c r="D327" s="335" t="str">
        <f t="shared" si="3"/>
        <v>Confirm templates, routing, due dates, minutes, PTR, and storage.</v>
      </c>
      <c r="E327" s="335" t="str">
        <f t="shared" si="4"/>
        <v>Paul</v>
      </c>
      <c r="F327" s="335" t="str">
        <f t="shared" si="5"/>
        <v>Open</v>
      </c>
      <c r="G327" s="335"/>
      <c r="H327" s="335"/>
      <c r="I327" s="335"/>
      <c r="J327" s="335"/>
      <c r="K327" s="335"/>
      <c r="L327" s="335"/>
      <c r="M327" s="335"/>
      <c r="N327" s="335"/>
      <c r="O327" s="335"/>
      <c r="P327" s="335"/>
    </row>
    <row r="328" spans="1:16" ht="25.5">
      <c r="A328" s="335" t="str">
        <f t="shared" si="0"/>
        <v>DQ-001</v>
      </c>
      <c r="B328" s="335" t="str">
        <f t="shared" si="1"/>
        <v>Consolidate Building 61 A/E Questions</v>
      </c>
      <c r="C328" s="335" t="str">
        <f t="shared" si="2"/>
        <v>61</v>
      </c>
      <c r="D328" s="335" t="str">
        <f t="shared" si="3"/>
        <v>A/E clarification required.</v>
      </c>
      <c r="E328" s="335" t="str">
        <f t="shared" si="4"/>
        <v>Paul</v>
      </c>
      <c r="F328" s="335" t="str">
        <f t="shared" si="5"/>
        <v>In Progress</v>
      </c>
      <c r="G328" s="335"/>
      <c r="H328" s="335"/>
      <c r="I328" s="335"/>
      <c r="J328" s="335"/>
      <c r="K328" s="335"/>
      <c r="L328" s="335"/>
      <c r="M328" s="335"/>
      <c r="N328" s="335"/>
      <c r="O328" s="335"/>
      <c r="P328" s="335"/>
    </row>
    <row r="329" spans="1:16" ht="51">
      <c r="A329" s="335" t="str">
        <f t="shared" si="0"/>
        <v>ACT-002</v>
      </c>
      <c r="B329" s="335" t="str">
        <f t="shared" si="1"/>
        <v>Occupied Room Relocation Planning</v>
      </c>
      <c r="C329" s="335" t="str">
        <f t="shared" si="2"/>
        <v>ALL</v>
      </c>
      <c r="D329" s="335" t="str">
        <f t="shared" si="3"/>
        <v>Hospital direction needed for relocation approach.</v>
      </c>
      <c r="E329" s="335" t="str">
        <f t="shared" si="4"/>
        <v>Aisha</v>
      </c>
      <c r="F329" s="335" t="str">
        <f t="shared" si="5"/>
        <v>Open</v>
      </c>
      <c r="G329" s="335"/>
      <c r="H329" s="335"/>
      <c r="I329" s="335"/>
      <c r="J329" s="335"/>
      <c r="K329" s="335"/>
      <c r="L329" s="335"/>
      <c r="M329" s="335"/>
      <c r="N329" s="335"/>
      <c r="O329" s="335"/>
      <c r="P329" s="335"/>
    </row>
    <row r="330" spans="1:16">
      <c r="A330" s="335" t="str">
        <f t="shared" si="0"/>
        <v/>
      </c>
      <c r="B330" s="335" t="str">
        <f t="shared" si="1"/>
        <v/>
      </c>
      <c r="C330" s="335" t="str">
        <f t="shared" si="2"/>
        <v/>
      </c>
      <c r="D330" s="335" t="str">
        <f t="shared" si="3"/>
        <v/>
      </c>
      <c r="E330" s="335" t="str">
        <f t="shared" si="4"/>
        <v/>
      </c>
      <c r="F330" s="335" t="str">
        <f t="shared" si="5"/>
        <v/>
      </c>
      <c r="G330" s="335"/>
      <c r="H330" s="335"/>
      <c r="I330" s="335"/>
      <c r="J330" s="335"/>
      <c r="K330" s="335"/>
      <c r="L330" s="335"/>
      <c r="M330" s="335"/>
      <c r="N330" s="335"/>
      <c r="O330" s="335"/>
      <c r="P330" s="335"/>
    </row>
    <row r="331" spans="1:16" ht="25.5">
      <c r="A331" s="335" t="str">
        <f>IF($J248&lt;&gt;"Yes","",$A248)</f>
        <v>DEL-004</v>
      </c>
      <c r="B331" s="335" t="str">
        <f t="shared" si="1"/>
        <v>Commissioning Responsibility Matrix</v>
      </c>
      <c r="C331" s="335" t="str">
        <f t="shared" si="2"/>
        <v>ALL</v>
      </c>
      <c r="D331" s="335" t="str">
        <f t="shared" si="3"/>
        <v>Confirm roles after kickoff.</v>
      </c>
      <c r="E331" s="335" t="str">
        <f t="shared" si="4"/>
        <v>Aisha</v>
      </c>
      <c r="F331" s="335" t="str">
        <f t="shared" si="5"/>
        <v>Not Started</v>
      </c>
      <c r="G331" s="335"/>
      <c r="H331" s="335"/>
      <c r="I331" s="335"/>
      <c r="J331" s="335"/>
      <c r="K331" s="335"/>
      <c r="L331" s="335"/>
      <c r="M331" s="335"/>
      <c r="N331" s="335"/>
      <c r="O331" s="335"/>
      <c r="P331" s="335"/>
    </row>
    <row r="332" spans="1:16">
      <c r="A332" s="335"/>
      <c r="B332" s="335"/>
      <c r="C332" s="335"/>
      <c r="D332" s="335"/>
      <c r="E332" s="335"/>
      <c r="F332" s="335"/>
      <c r="G332" s="335"/>
      <c r="H332" s="335"/>
      <c r="I332" s="335"/>
      <c r="J332" s="335"/>
      <c r="K332" s="335"/>
      <c r="L332" s="335"/>
      <c r="M332" s="335"/>
      <c r="N332" s="335"/>
      <c r="O332" s="335"/>
      <c r="P332" s="335"/>
    </row>
    <row r="333" spans="1:16">
      <c r="A333" s="335"/>
      <c r="B333" s="335"/>
      <c r="C333" s="335"/>
      <c r="D333" s="335"/>
      <c r="E333" s="335"/>
      <c r="F333" s="335"/>
      <c r="G333" s="335"/>
      <c r="H333" s="335"/>
      <c r="I333" s="335"/>
      <c r="J333" s="335"/>
      <c r="K333" s="335"/>
      <c r="L333" s="335"/>
      <c r="M333" s="335"/>
      <c r="N333" s="335"/>
      <c r="O333" s="335"/>
      <c r="P333" s="335"/>
    </row>
    <row r="334" spans="1:16">
      <c r="A334" s="913" t="s">
        <v>5871</v>
      </c>
      <c r="B334" s="913"/>
      <c r="C334" s="913"/>
      <c r="D334" s="913"/>
      <c r="E334" s="913"/>
      <c r="F334" s="913"/>
      <c r="G334" s="913"/>
      <c r="H334" s="913"/>
      <c r="I334" s="913"/>
      <c r="J334" s="913"/>
      <c r="K334" s="913"/>
      <c r="L334" s="913"/>
      <c r="M334" s="913"/>
      <c r="N334" s="913"/>
      <c r="O334" s="913"/>
      <c r="P334" s="913"/>
    </row>
    <row r="335" spans="1:16">
      <c r="A335" s="913"/>
      <c r="B335" s="913"/>
      <c r="C335" s="913"/>
      <c r="D335" s="913"/>
      <c r="E335" s="913"/>
      <c r="F335" s="913"/>
      <c r="G335" s="913"/>
      <c r="H335" s="913"/>
      <c r="I335" s="913"/>
      <c r="J335" s="913"/>
      <c r="K335" s="913"/>
      <c r="L335" s="913"/>
      <c r="M335" s="913"/>
      <c r="N335" s="913"/>
      <c r="O335" s="913"/>
      <c r="P335" s="913"/>
    </row>
    <row r="336" spans="1:16">
      <c r="A336" s="913"/>
      <c r="B336" s="913"/>
      <c r="C336" s="913"/>
      <c r="D336" s="913"/>
      <c r="E336" s="913"/>
      <c r="F336" s="913"/>
      <c r="G336" s="913"/>
      <c r="H336" s="913"/>
      <c r="I336" s="913"/>
      <c r="J336" s="913"/>
      <c r="K336" s="913"/>
      <c r="L336" s="913"/>
      <c r="M336" s="913"/>
      <c r="N336" s="913"/>
      <c r="O336" s="913"/>
      <c r="P336" s="913"/>
    </row>
    <row r="337" spans="1:16">
      <c r="A337" s="913"/>
      <c r="B337" s="913"/>
      <c r="C337" s="913"/>
      <c r="D337" s="913"/>
      <c r="E337" s="913"/>
      <c r="F337" s="913"/>
      <c r="G337" s="913"/>
      <c r="H337" s="913"/>
      <c r="I337" s="913"/>
      <c r="J337" s="913"/>
      <c r="K337" s="913"/>
      <c r="L337" s="913"/>
      <c r="M337" s="913"/>
      <c r="N337" s="913"/>
      <c r="O337" s="913"/>
      <c r="P337" s="913"/>
    </row>
    <row r="338" spans="1:16">
      <c r="A338" s="335"/>
      <c r="B338" s="335"/>
      <c r="C338" s="335"/>
      <c r="D338" s="335"/>
      <c r="E338" s="335"/>
      <c r="F338" s="335"/>
      <c r="G338" s="335"/>
      <c r="H338" s="335"/>
      <c r="I338" s="335"/>
      <c r="J338" s="335"/>
      <c r="K338" s="335"/>
      <c r="L338" s="335"/>
      <c r="M338" s="335"/>
      <c r="N338" s="335"/>
      <c r="O338" s="335"/>
      <c r="P338" s="335"/>
    </row>
    <row r="339" spans="1:16">
      <c r="A339" s="335"/>
      <c r="B339" s="335"/>
      <c r="C339" s="335"/>
      <c r="D339" s="335"/>
      <c r="E339" s="335"/>
      <c r="F339" s="335"/>
      <c r="G339" s="335"/>
      <c r="H339" s="335"/>
      <c r="I339" s="335"/>
      <c r="J339" s="335"/>
      <c r="K339" s="335"/>
      <c r="L339" s="335"/>
      <c r="M339" s="335"/>
      <c r="N339" s="335"/>
      <c r="O339" s="335"/>
      <c r="P339" s="335"/>
    </row>
    <row r="340" spans="1:16">
      <c r="A340" s="335"/>
      <c r="B340" s="335"/>
      <c r="C340" s="335"/>
      <c r="D340" s="335"/>
      <c r="E340" s="335"/>
      <c r="F340" s="335"/>
      <c r="G340" s="335"/>
      <c r="H340" s="335"/>
      <c r="I340" s="335"/>
      <c r="J340" s="335"/>
      <c r="K340" s="335"/>
      <c r="L340" s="335"/>
      <c r="M340" s="335"/>
      <c r="N340" s="335"/>
      <c r="O340" s="335"/>
      <c r="P340" s="335"/>
    </row>
  </sheetData>
  <mergeCells count="30">
    <mergeCell ref="A205:P205"/>
    <mergeCell ref="A239:P239"/>
    <mergeCell ref="A322:P322"/>
    <mergeCell ref="A334:P337"/>
    <mergeCell ref="O11:P13"/>
    <mergeCell ref="A15:P15"/>
    <mergeCell ref="A49:P49"/>
    <mergeCell ref="A83:P83"/>
    <mergeCell ref="A117:P117"/>
    <mergeCell ref="C11:D13"/>
    <mergeCell ref="E11:F13"/>
    <mergeCell ref="G11:H13"/>
    <mergeCell ref="I11:J13"/>
    <mergeCell ref="K11:L13"/>
    <mergeCell ref="M11:N13"/>
    <mergeCell ref="A131:P131"/>
    <mergeCell ref="A11:B13"/>
    <mergeCell ref="A137:P137"/>
    <mergeCell ref="A171:P171"/>
    <mergeCell ref="A1:P2"/>
    <mergeCell ref="A3:P3"/>
    <mergeCell ref="A5:D5"/>
    <mergeCell ref="A10:B10"/>
    <mergeCell ref="C10:D10"/>
    <mergeCell ref="E10:F10"/>
    <mergeCell ref="G10:H10"/>
    <mergeCell ref="I10:J10"/>
    <mergeCell ref="K10:L10"/>
    <mergeCell ref="M10:N10"/>
    <mergeCell ref="O10:P10"/>
  </mergeCells>
  <conditionalFormatting sqref="F132:F220">
    <cfRule type="expression" dxfId="1450" priority="5">
      <formula>$F132="Critical"</formula>
    </cfRule>
  </conditionalFormatting>
  <conditionalFormatting sqref="F241:F261">
    <cfRule type="expression" dxfId="1449" priority="1">
      <formula>$F241="Critical"</formula>
    </cfRule>
  </conditionalFormatting>
  <conditionalFormatting sqref="F262:F320">
    <cfRule type="expression" dxfId="1448" priority="7">
      <formula>$F262="Critical"</formula>
    </cfRule>
  </conditionalFormatting>
  <conditionalFormatting sqref="G132:G220">
    <cfRule type="expression" dxfId="1447" priority="6">
      <formula>OR($G132="Complete",$G132="Closed")</formula>
    </cfRule>
  </conditionalFormatting>
  <conditionalFormatting sqref="G241:G261">
    <cfRule type="expression" dxfId="1446" priority="2">
      <formula>OR($G241="Complete",$G241="Closed")</formula>
    </cfRule>
  </conditionalFormatting>
  <conditionalFormatting sqref="G262:G320">
    <cfRule type="expression" dxfId="1445" priority="8">
      <formula>OR($G262="Complete",$G262="Closed")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J241:J320 L133:L220 L241:L3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workbookViewId="0">
      <selection activeCell="A11" sqref="A11"/>
    </sheetView>
  </sheetViews>
  <sheetFormatPr defaultColWidth="8.85546875" defaultRowHeight="12.75"/>
  <cols>
    <col min="1" max="1" width="15.5703125" style="192" customWidth="1"/>
    <col min="2" max="2" width="20" style="192" customWidth="1"/>
    <col min="3" max="3" width="31.140625" style="192" customWidth="1"/>
    <col min="4" max="4" width="17.7109375" style="192" customWidth="1"/>
    <col min="5" max="6" width="16.7109375" style="192" customWidth="1"/>
    <col min="7" max="7" width="17.7109375" style="192" customWidth="1"/>
    <col min="8" max="9" width="20" style="192" customWidth="1"/>
    <col min="10" max="10" width="26.7109375" style="192" customWidth="1"/>
    <col min="11" max="11" width="20" style="192" customWidth="1"/>
    <col min="12" max="12" width="37.7109375" style="192" customWidth="1"/>
    <col min="13" max="16384" width="8.85546875" style="192"/>
  </cols>
  <sheetData>
    <row r="1" spans="1:12" ht="19.899999999999999" customHeight="1">
      <c r="A1" s="912" t="s">
        <v>5805</v>
      </c>
      <c r="B1" s="912"/>
      <c r="C1" s="912"/>
      <c r="D1" s="912"/>
      <c r="E1" s="912"/>
      <c r="F1" s="912"/>
      <c r="G1" s="912"/>
      <c r="H1" s="912"/>
      <c r="I1" s="912"/>
      <c r="J1" s="912"/>
      <c r="K1" s="912"/>
      <c r="L1" s="912"/>
    </row>
    <row r="2" spans="1:12" ht="19.899999999999999" customHeight="1">
      <c r="A2" s="912"/>
      <c r="B2" s="912"/>
      <c r="C2" s="912"/>
      <c r="D2" s="912"/>
      <c r="E2" s="912"/>
      <c r="F2" s="912"/>
      <c r="G2" s="912"/>
      <c r="H2" s="912"/>
      <c r="I2" s="912"/>
      <c r="J2" s="912"/>
      <c r="K2" s="912"/>
      <c r="L2" s="912"/>
    </row>
    <row r="3" spans="1:12" ht="19.899999999999999" customHeight="1">
      <c r="A3" s="335"/>
      <c r="B3" s="335"/>
      <c r="C3" s="335"/>
      <c r="D3" s="335"/>
      <c r="E3" s="335"/>
      <c r="F3" s="335"/>
      <c r="G3" s="335"/>
      <c r="H3" s="335"/>
      <c r="I3" s="335"/>
      <c r="J3" s="335"/>
      <c r="K3" s="335"/>
      <c r="L3" s="335"/>
    </row>
    <row r="4" spans="1:12" ht="19.899999999999999" customHeight="1">
      <c r="A4" s="526" t="s">
        <v>5795</v>
      </c>
      <c r="B4" s="335" t="s">
        <v>5775</v>
      </c>
      <c r="C4" s="526" t="s">
        <v>5796</v>
      </c>
      <c r="D4" s="525">
        <v>46216</v>
      </c>
      <c r="E4" s="335"/>
      <c r="F4" s="335"/>
      <c r="G4" s="335"/>
      <c r="H4" s="335"/>
      <c r="I4" s="335"/>
      <c r="J4" s="335"/>
      <c r="K4" s="335"/>
      <c r="L4" s="335"/>
    </row>
    <row r="5" spans="1:12" ht="19.899999999999999" customHeight="1">
      <c r="A5" s="526" t="s">
        <v>5798</v>
      </c>
      <c r="B5" s="335" t="s">
        <v>721</v>
      </c>
      <c r="C5" s="526" t="s">
        <v>5797</v>
      </c>
      <c r="D5" s="525">
        <v>46220</v>
      </c>
      <c r="E5" s="335"/>
      <c r="F5" s="335"/>
      <c r="G5" s="335"/>
      <c r="H5" s="335"/>
      <c r="I5" s="335"/>
      <c r="J5" s="335"/>
      <c r="K5" s="335"/>
      <c r="L5" s="335"/>
    </row>
    <row r="6" spans="1:12" ht="19.899999999999999" customHeight="1">
      <c r="A6" s="526" t="s">
        <v>5799</v>
      </c>
      <c r="B6" s="335" t="s">
        <v>5774</v>
      </c>
      <c r="C6" s="526" t="s">
        <v>5715</v>
      </c>
      <c r="D6" s="335" t="s">
        <v>374</v>
      </c>
      <c r="E6" s="335"/>
      <c r="F6" s="335"/>
      <c r="G6" s="335"/>
      <c r="H6" s="335"/>
      <c r="I6" s="335"/>
      <c r="J6" s="335"/>
      <c r="K6" s="335"/>
      <c r="L6" s="335"/>
    </row>
    <row r="7" spans="1:12" ht="19.899999999999999" customHeight="1">
      <c r="A7" s="526" t="s">
        <v>5806</v>
      </c>
      <c r="B7" s="335" t="s">
        <v>499</v>
      </c>
      <c r="C7" s="526" t="s">
        <v>5807</v>
      </c>
      <c r="D7" s="335" t="s">
        <v>5808</v>
      </c>
      <c r="E7" s="335"/>
      <c r="F7" s="335"/>
      <c r="G7" s="335"/>
      <c r="H7" s="335"/>
      <c r="I7" s="335"/>
      <c r="J7" s="335"/>
      <c r="K7" s="335"/>
      <c r="L7" s="335"/>
    </row>
    <row r="8" spans="1:12" ht="34.15" customHeight="1">
      <c r="A8" s="526" t="s">
        <v>5809</v>
      </c>
      <c r="B8" s="335" t="s">
        <v>5810</v>
      </c>
      <c r="C8" s="526"/>
      <c r="D8" s="335"/>
      <c r="E8" s="335"/>
      <c r="F8" s="335"/>
      <c r="G8" s="335"/>
      <c r="H8" s="335"/>
      <c r="I8" s="335"/>
      <c r="J8" s="335"/>
      <c r="K8" s="335"/>
      <c r="L8" s="335"/>
    </row>
    <row r="9" spans="1:12" ht="19.899999999999999" customHeight="1">
      <c r="A9" s="335"/>
      <c r="B9" s="335"/>
      <c r="C9" s="335"/>
      <c r="D9" s="335"/>
      <c r="E9" s="335"/>
      <c r="F9" s="335"/>
      <c r="G9" s="335"/>
      <c r="H9" s="335"/>
      <c r="I9" s="335"/>
      <c r="J9" s="335"/>
      <c r="K9" s="335"/>
      <c r="L9" s="335"/>
    </row>
    <row r="10" spans="1:12" ht="34.15" customHeight="1">
      <c r="A10" s="527" t="s">
        <v>358</v>
      </c>
      <c r="B10" s="527" t="s">
        <v>538</v>
      </c>
      <c r="C10" s="527" t="s">
        <v>145</v>
      </c>
      <c r="D10" s="527" t="s">
        <v>161</v>
      </c>
      <c r="E10" s="527" t="s">
        <v>199</v>
      </c>
      <c r="F10" s="527" t="s">
        <v>179</v>
      </c>
      <c r="G10" s="527" t="s">
        <v>171</v>
      </c>
      <c r="H10" s="527" t="s">
        <v>5760</v>
      </c>
      <c r="I10" s="335"/>
      <c r="J10" s="335"/>
      <c r="K10" s="335"/>
      <c r="L10" s="335"/>
    </row>
    <row r="11" spans="1:12" ht="19.899999999999999" customHeight="1">
      <c r="A11" s="528">
        <f>'CM_PM Operations'!A11</f>
        <v>30</v>
      </c>
      <c r="B11" s="529">
        <f>'CM_PM Operations'!C11</f>
        <v>0.5</v>
      </c>
      <c r="C11" s="528">
        <f>'CM_PM Operations'!E11</f>
        <v>814</v>
      </c>
      <c r="D11" s="528">
        <f>'CM_PM Operations'!G11</f>
        <v>0</v>
      </c>
      <c r="E11" s="528">
        <f>'CM_PM Operations'!I11</f>
        <v>0</v>
      </c>
      <c r="F11" s="528">
        <f>'CM_PM Operations'!K11</f>
        <v>1</v>
      </c>
      <c r="G11" s="528">
        <f>'CM_PM Operations'!M11</f>
        <v>29</v>
      </c>
      <c r="H11" s="528">
        <f>'CM_PM Operations'!O11</f>
        <v>6</v>
      </c>
      <c r="I11" s="335"/>
      <c r="J11" s="335"/>
      <c r="K11" s="335"/>
      <c r="L11" s="335"/>
    </row>
    <row r="12" spans="1:12" ht="19.899999999999999" customHeight="1">
      <c r="A12" s="335"/>
      <c r="B12" s="335"/>
      <c r="C12" s="335"/>
      <c r="D12" s="335"/>
      <c r="E12" s="335"/>
      <c r="F12" s="335"/>
      <c r="G12" s="335"/>
      <c r="H12" s="335"/>
      <c r="I12" s="335"/>
      <c r="J12" s="335"/>
      <c r="K12" s="335"/>
      <c r="L12" s="335"/>
    </row>
    <row r="13" spans="1:12" ht="19.899999999999999" customHeight="1">
      <c r="A13" s="335"/>
      <c r="B13" s="335"/>
      <c r="C13" s="335"/>
      <c r="D13" s="335"/>
      <c r="E13" s="335"/>
      <c r="F13" s="335"/>
      <c r="G13" s="335"/>
      <c r="H13" s="335"/>
      <c r="I13" s="335"/>
      <c r="J13" s="335"/>
      <c r="K13" s="335"/>
      <c r="L13" s="335"/>
    </row>
    <row r="14" spans="1:12" ht="19.899999999999999" customHeight="1">
      <c r="A14" s="914" t="s">
        <v>5800</v>
      </c>
      <c r="B14" s="914"/>
      <c r="C14" s="914"/>
      <c r="D14" s="914"/>
      <c r="E14" s="914"/>
      <c r="F14" s="914"/>
      <c r="G14" s="914"/>
      <c r="H14" s="914"/>
      <c r="I14" s="914"/>
      <c r="J14" s="914"/>
      <c r="K14" s="914"/>
      <c r="L14" s="914"/>
    </row>
    <row r="15" spans="1:12" ht="19.899999999999999" customHeight="1">
      <c r="A15" s="917"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50%. Assessment sheets remain the source of truth and currently reflect 814 rooms, 0 open risks, 0 open questions, 1 active shutdowns, and 29 buildings not ready. CM/PM Operations identifies 6 open COR decisions. The contractor baseline schedule status is: Not Received.</v>
      </c>
      <c r="B15" s="917"/>
      <c r="C15" s="917"/>
      <c r="D15" s="917"/>
      <c r="E15" s="917"/>
      <c r="F15" s="917"/>
      <c r="G15" s="917"/>
      <c r="H15" s="917"/>
      <c r="I15" s="917"/>
      <c r="J15" s="917"/>
      <c r="K15" s="917"/>
      <c r="L15" s="917"/>
    </row>
    <row r="16" spans="1:12" ht="19.899999999999999" customHeight="1">
      <c r="A16" s="917"/>
      <c r="B16" s="917"/>
      <c r="C16" s="917"/>
      <c r="D16" s="917"/>
      <c r="E16" s="917"/>
      <c r="F16" s="917"/>
      <c r="G16" s="917"/>
      <c r="H16" s="917"/>
      <c r="I16" s="917"/>
      <c r="J16" s="917"/>
      <c r="K16" s="917"/>
      <c r="L16" s="917"/>
    </row>
    <row r="17" spans="1:12" ht="19.899999999999999" customHeight="1">
      <c r="A17" s="917"/>
      <c r="B17" s="917"/>
      <c r="C17" s="917"/>
      <c r="D17" s="917"/>
      <c r="E17" s="917"/>
      <c r="F17" s="917"/>
      <c r="G17" s="917"/>
      <c r="H17" s="917"/>
      <c r="I17" s="917"/>
      <c r="J17" s="917"/>
      <c r="K17" s="917"/>
      <c r="L17" s="917"/>
    </row>
    <row r="18" spans="1:12" ht="19.899999999999999" customHeight="1">
      <c r="A18" s="917"/>
      <c r="B18" s="917"/>
      <c r="C18" s="917"/>
      <c r="D18" s="917"/>
      <c r="E18" s="917"/>
      <c r="F18" s="917"/>
      <c r="G18" s="917"/>
      <c r="H18" s="917"/>
      <c r="I18" s="917"/>
      <c r="J18" s="917"/>
      <c r="K18" s="917"/>
      <c r="L18" s="917"/>
    </row>
    <row r="19" spans="1:12" ht="19.899999999999999" customHeight="1">
      <c r="A19" s="335"/>
      <c r="B19" s="335"/>
      <c r="C19" s="335"/>
      <c r="D19" s="335"/>
      <c r="E19" s="335"/>
      <c r="F19" s="335"/>
      <c r="G19" s="335"/>
      <c r="H19" s="335"/>
      <c r="I19" s="335"/>
      <c r="J19" s="335"/>
      <c r="K19" s="335"/>
      <c r="L19" s="335"/>
    </row>
    <row r="20" spans="1:12" ht="19.899999999999999" customHeight="1">
      <c r="A20" s="914" t="s">
        <v>5811</v>
      </c>
      <c r="B20" s="914"/>
      <c r="C20" s="914"/>
      <c r="D20" s="914"/>
      <c r="E20" s="914"/>
      <c r="F20" s="914"/>
      <c r="G20" s="914"/>
      <c r="H20" s="914"/>
      <c r="I20" s="914"/>
      <c r="J20" s="914"/>
      <c r="K20" s="914"/>
      <c r="L20" s="914"/>
    </row>
    <row r="21" spans="1:12" ht="19.899999999999999" customHeight="1">
      <c r="A21" s="530" t="s">
        <v>142</v>
      </c>
      <c r="B21" s="530" t="s">
        <v>77</v>
      </c>
      <c r="C21" s="530" t="s">
        <v>174</v>
      </c>
      <c r="D21" s="530" t="s">
        <v>145</v>
      </c>
      <c r="E21" s="530" t="s">
        <v>176</v>
      </c>
      <c r="F21" s="530" t="s">
        <v>177</v>
      </c>
      <c r="G21" s="530" t="s">
        <v>869</v>
      </c>
      <c r="H21" s="530" t="s">
        <v>870</v>
      </c>
      <c r="I21" s="335"/>
      <c r="J21" s="335"/>
      <c r="K21" s="335"/>
      <c r="L21" s="335"/>
    </row>
    <row r="22" spans="1:12" ht="19.899999999999999" customHeight="1">
      <c r="A22" s="335" t="str">
        <f>'CM_PM Operations'!A17</f>
        <v>01</v>
      </c>
      <c r="B22" s="335" t="str">
        <f>'CM_PM Operations'!C17</f>
        <v>Yellow</v>
      </c>
      <c r="C22" s="531">
        <f>'CM_PM Operations'!D17</f>
        <v>0.5</v>
      </c>
      <c r="D22" s="335">
        <f>'CM_PM Operations'!F17</f>
        <v>29</v>
      </c>
      <c r="E22" s="335">
        <f>'CM_PM Operations'!G17</f>
        <v>0</v>
      </c>
      <c r="F22" s="335">
        <f>'CM_PM Operations'!H17</f>
        <v>0</v>
      </c>
      <c r="G22" s="335"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5"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5"/>
      <c r="J22" s="335"/>
      <c r="K22" s="335"/>
      <c r="L22" s="335"/>
    </row>
    <row r="23" spans="1:12" ht="19.899999999999999" customHeight="1">
      <c r="A23" s="335" t="str">
        <f>'CM_PM Operations'!A18</f>
        <v>02</v>
      </c>
      <c r="B23" s="335" t="str">
        <f>'CM_PM Operations'!C18</f>
        <v>Yellow</v>
      </c>
      <c r="C23" s="531">
        <f>'CM_PM Operations'!D18</f>
        <v>0.5</v>
      </c>
      <c r="D23" s="335">
        <f>'CM_PM Operations'!F18</f>
        <v>30</v>
      </c>
      <c r="E23" s="335">
        <f>'CM_PM Operations'!G18</f>
        <v>0</v>
      </c>
      <c r="F23" s="335">
        <f>'CM_PM Operations'!H18</f>
        <v>0</v>
      </c>
      <c r="G23" s="335"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5"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5"/>
      <c r="J23" s="335"/>
      <c r="K23" s="335"/>
      <c r="L23" s="335"/>
    </row>
    <row r="24" spans="1:12" ht="19.899999999999999" customHeight="1">
      <c r="A24" s="335" t="str">
        <f>'CM_PM Operations'!A19</f>
        <v>03</v>
      </c>
      <c r="B24" s="335" t="str">
        <f>'CM_PM Operations'!C19</f>
        <v>Yellow</v>
      </c>
      <c r="C24" s="531">
        <f>'CM_PM Operations'!D19</f>
        <v>0.5</v>
      </c>
      <c r="D24" s="335">
        <f>'CM_PM Operations'!F19</f>
        <v>29</v>
      </c>
      <c r="E24" s="335">
        <f>'CM_PM Operations'!G19</f>
        <v>0</v>
      </c>
      <c r="F24" s="335">
        <f>'CM_PM Operations'!H19</f>
        <v>0</v>
      </c>
      <c r="G24" s="335"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5"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5"/>
      <c r="J24" s="335"/>
      <c r="K24" s="335"/>
      <c r="L24" s="335"/>
    </row>
    <row r="25" spans="1:12" ht="19.899999999999999" customHeight="1">
      <c r="A25" s="335" t="str">
        <f>'CM_PM Operations'!A20</f>
        <v>04</v>
      </c>
      <c r="B25" s="335" t="str">
        <f>'CM_PM Operations'!C20</f>
        <v>Yellow</v>
      </c>
      <c r="C25" s="531">
        <f>'CM_PM Operations'!D20</f>
        <v>0.5</v>
      </c>
      <c r="D25" s="335">
        <f>'CM_PM Operations'!F20</f>
        <v>27</v>
      </c>
      <c r="E25" s="335">
        <f>'CM_PM Operations'!G20</f>
        <v>0</v>
      </c>
      <c r="F25" s="335">
        <f>'CM_PM Operations'!H20</f>
        <v>0</v>
      </c>
      <c r="G25" s="335" t="str">
        <f>'CM_PM Operations'!I20</f>
        <v>Field verify TR rooms B05, 141, and 244A; confirm cooling, panel/circuiting, fire alarm/sprinkler impacts, FEC locations, and cutover/phasing plan.</v>
      </c>
      <c r="H25" s="335" t="str">
        <f>'CM_PM Operations'!J20</f>
        <v>B04 has multiple TRs across basement/first/second levels; field verification, abatement coordination, cooling power, firestopping, and cutover phasing remain open.</v>
      </c>
      <c r="I25" s="335"/>
      <c r="J25" s="335"/>
      <c r="K25" s="335"/>
      <c r="L25" s="335"/>
    </row>
    <row r="26" spans="1:12" ht="19.899999999999999" customHeight="1">
      <c r="A26" s="335" t="str">
        <f>'CM_PM Operations'!A21</f>
        <v>05</v>
      </c>
      <c r="B26" s="335" t="str">
        <f>'CM_PM Operations'!C21</f>
        <v>Yellow</v>
      </c>
      <c r="C26" s="531">
        <f>'CM_PM Operations'!D21</f>
        <v>0.5</v>
      </c>
      <c r="D26" s="335">
        <f>'CM_PM Operations'!F21</f>
        <v>26</v>
      </c>
      <c r="E26" s="335">
        <f>'CM_PM Operations'!G21</f>
        <v>0</v>
      </c>
      <c r="F26" s="335">
        <f>'CM_PM Operations'!H21</f>
        <v>0</v>
      </c>
      <c r="G26" s="335" t="str">
        <f>'CM_PM Operations'!I21</f>
        <v>Field verify Room 150 TE location, existing 153-A equipment to remain/transition, electrical source, UPS/PDU receptacles, PACS/CCTV requirements, firestopping, and cutover sequence.</v>
      </c>
      <c r="H26" s="335" t="str">
        <f>'CM_PM Operations'!J21</f>
        <v>Building 05 receives a Telecom Enclosure only; mechanical and fire protection scope is excluded, so TE power, telecom cutover, existing room conditions, and fire/life-safety interfaces must be verified.</v>
      </c>
      <c r="I26" s="335"/>
      <c r="J26" s="335"/>
      <c r="K26" s="335"/>
      <c r="L26" s="335"/>
    </row>
    <row r="27" spans="1:12" ht="19.899999999999999" customHeight="1">
      <c r="A27" s="335" t="str">
        <f>'CM_PM Operations'!A22</f>
        <v>06</v>
      </c>
      <c r="B27" s="335" t="str">
        <f>'CM_PM Operations'!C22</f>
        <v>Yellow</v>
      </c>
      <c r="C27" s="531">
        <f>'CM_PM Operations'!D22</f>
        <v>0.5</v>
      </c>
      <c r="D27" s="335">
        <f>'CM_PM Operations'!F22</f>
        <v>27</v>
      </c>
      <c r="E27" s="335">
        <f>'CM_PM Operations'!G22</f>
        <v>0</v>
      </c>
      <c r="F27" s="335">
        <f>'CM_PM Operations'!H22</f>
        <v>0</v>
      </c>
      <c r="G27" s="335" t="str">
        <f>'CM_PM Operations'!I22</f>
        <v>Field verify existing B-01 equipment, Rooms 178 and 233, panel sources, IU/CU cooling, fire alarm/sprinkler impacts, FEC locations, and telecom cutover sequence.</v>
      </c>
      <c r="H27" s="335" t="str">
        <f>'CM_PM Operations'!J22</f>
        <v>Building 06 has active existing telecom equipment plus new TR work in Rooms 178 and 233; field verification, cutover phasing, cooling, firestopping, and emergency power remain open.</v>
      </c>
      <c r="I27" s="335"/>
      <c r="J27" s="335"/>
      <c r="K27" s="335"/>
      <c r="L27" s="335"/>
    </row>
    <row r="28" spans="1:12" ht="19.899999999999999" customHeight="1">
      <c r="A28" s="335" t="str">
        <f>'CM_PM Operations'!A23</f>
        <v>07</v>
      </c>
      <c r="B28" s="335" t="str">
        <f>'CM_PM Operations'!C23</f>
        <v>Yellow</v>
      </c>
      <c r="C28" s="531">
        <f>'CM_PM Operations'!D23</f>
        <v>0.5</v>
      </c>
      <c r="D28" s="335">
        <f>'CM_PM Operations'!F23</f>
        <v>26</v>
      </c>
      <c r="E28" s="335">
        <f>'CM_PM Operations'!G23</f>
        <v>0</v>
      </c>
      <c r="F28" s="335">
        <f>'CM_PM Operations'!H23</f>
        <v>0</v>
      </c>
      <c r="G28" s="335" t="str">
        <f>'CM_PM Operations'!I23</f>
        <v>Field verify TR B-18 and 228A; confirm rack/equipment layout, panel sources, IU/CU cooling, fire alarm/sprinkler impacts, FEC locations, PACS/CCTV scope, and telecom cutover sequence.</v>
      </c>
      <c r="H28" s="335" t="str">
        <f>'CM_PM Operations'!J23</f>
        <v>Building 07 includes basement TR B-18 and second-level TR 228A; field verification, active-service cutover, cooling, firestopping, rated construction, and power source confirmation remain open.</v>
      </c>
      <c r="I28" s="335"/>
      <c r="J28" s="335"/>
      <c r="K28" s="335"/>
      <c r="L28" s="335"/>
    </row>
    <row r="29" spans="1:12" ht="19.899999999999999" customHeight="1">
      <c r="A29" s="335" t="str">
        <f>'CM_PM Operations'!A24</f>
        <v>08</v>
      </c>
      <c r="B29" s="335" t="str">
        <f>'CM_PM Operations'!C24</f>
        <v>Yellow</v>
      </c>
      <c r="C29" s="531">
        <f>'CM_PM Operations'!D24</f>
        <v>0.5</v>
      </c>
      <c r="D29" s="335">
        <f>'CM_PM Operations'!F24</f>
        <v>27</v>
      </c>
      <c r="E29" s="335">
        <f>'CM_PM Operations'!G24</f>
        <v>0</v>
      </c>
      <c r="F29" s="335">
        <f>'CM_PM Operations'!H24</f>
        <v>0</v>
      </c>
      <c r="G29" s="335" t="str">
        <f>'CM_PM Operations'!I24</f>
        <v>Field verify B-15, B12B, and 2065A; confirm active services, 2065A rack layout, panel/power source, IU/CU cooling, hazardous material/abatement impacts, FEC locations, PACS/CCTV, and telecom cutover sequence.</v>
      </c>
      <c r="H29" s="335" t="str">
        <f>'CM_PM Operations'!J24</f>
        <v>Building 08 includes existing basement telecom equipment at B-15, basement TE/cabling scope at B12B, and new second-level TR 2065A; field verification, abatement, rated construction, cooling/power, firestopping, and cutover phasing remain open.</v>
      </c>
      <c r="I29" s="335"/>
      <c r="J29" s="335"/>
      <c r="K29" s="335"/>
      <c r="L29" s="335"/>
    </row>
    <row r="30" spans="1:12" ht="19.899999999999999" customHeight="1">
      <c r="A30" s="335" t="str">
        <f>'CM_PM Operations'!A25</f>
        <v>09</v>
      </c>
      <c r="B30" s="335" t="str">
        <f>'CM_PM Operations'!C25</f>
        <v>Yellow</v>
      </c>
      <c r="C30" s="531">
        <f>'CM_PM Operations'!D25</f>
        <v>0.5</v>
      </c>
      <c r="D30" s="335">
        <f>'CM_PM Operations'!F25</f>
        <v>27</v>
      </c>
      <c r="E30" s="335">
        <f>'CM_PM Operations'!G25</f>
        <v>0</v>
      </c>
      <c r="F30" s="335">
        <f>'CM_PM Operations'!H25</f>
        <v>0</v>
      </c>
      <c r="G30" s="335" t="str">
        <f>'CM_PM Operations'!I25</f>
        <v>Field verify B01, 104B, and 206A; confirm existing equipment and active services, panel sources, IU/CU cooling, fire alarm/sprinkler impacts, FEC locations, PACS/CCTV scope, hazardous/abatement impacts, and telecom cutover sequence.</v>
      </c>
      <c r="H30" s="335" t="str">
        <f>'CM_PM Operations'!J25</f>
        <v>Building 09 includes three telecom spaces across basement, first, and second levels; field verification, hazardous material coordination, active service cutover, cooling, power/panel source, firestopping, and rated wall/door work remain open.</v>
      </c>
      <c r="I30" s="335"/>
      <c r="J30" s="335"/>
      <c r="K30" s="335"/>
      <c r="L30" s="335"/>
    </row>
    <row r="31" spans="1:12" ht="19.899999999999999" customHeight="1">
      <c r="A31" s="335" t="str">
        <f>'CM_PM Operations'!A26</f>
        <v>10</v>
      </c>
      <c r="B31" s="335" t="str">
        <f>'CM_PM Operations'!C26</f>
        <v>Yellow</v>
      </c>
      <c r="C31" s="531">
        <f>'CM_PM Operations'!D26</f>
        <v>0.5</v>
      </c>
      <c r="D31" s="335">
        <f>'CM_PM Operations'!F26</f>
        <v>27</v>
      </c>
      <c r="E31" s="335">
        <f>'CM_PM Operations'!G26</f>
        <v>0</v>
      </c>
      <c r="F31" s="335">
        <f>'CM_PM Operations'!H26</f>
        <v>0</v>
      </c>
      <c r="G31" s="335"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5" t="str">
        <f>'CM_PM Operations'!J26</f>
        <v>Building 10 scope centers on attic Telecom Room 200A with related basement electrical source rooms B24/B25, attic hazardous material abatement, dedicated cooling, new telecom panels, rack/UPS/PDU equipment, firestopping, and cutover coordination.</v>
      </c>
      <c r="I31" s="335"/>
      <c r="J31" s="335"/>
      <c r="K31" s="335"/>
      <c r="L31" s="335"/>
    </row>
    <row r="32" spans="1:12" ht="19.899999999999999" customHeight="1">
      <c r="A32" s="335" t="str">
        <f>'CM_PM Operations'!A27</f>
        <v>12</v>
      </c>
      <c r="B32" s="335" t="str">
        <f>'CM_PM Operations'!C27</f>
        <v>Yellow</v>
      </c>
      <c r="C32" s="531">
        <f>'CM_PM Operations'!D27</f>
        <v>0.5</v>
      </c>
      <c r="D32" s="335">
        <f>'CM_PM Operations'!F27</f>
        <v>26</v>
      </c>
      <c r="E32" s="335">
        <f>'CM_PM Operations'!G27</f>
        <v>0</v>
      </c>
      <c r="F32" s="335">
        <f>'CM_PM Operations'!H27</f>
        <v>0</v>
      </c>
      <c r="G32" s="335" t="str">
        <f>'CM_PM Operations'!I27</f>
        <v>Field verify existing fiber pathway through Building 12, existing rack/demarc/serving closet condition, floor/wall penetrations, routing from basement/first/second level telecom plans, phasing/cutover approach, and test/label/as-built deliverables.</v>
      </c>
      <c r="H32" s="335"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5"/>
      <c r="J32" s="335"/>
      <c r="K32" s="335"/>
      <c r="L32" s="335"/>
    </row>
    <row r="33" spans="1:12" ht="19.899999999999999" customHeight="1">
      <c r="A33" s="335" t="str">
        <f>'CM_PM Operations'!A28</f>
        <v>13</v>
      </c>
      <c r="B33" s="335" t="str">
        <f>'CM_PM Operations'!C28</f>
        <v>Yellow</v>
      </c>
      <c r="C33" s="531">
        <f>'CM_PM Operations'!D28</f>
        <v>0.5</v>
      </c>
      <c r="D33" s="335">
        <f>'CM_PM Operations'!F28</f>
        <v>26</v>
      </c>
      <c r="E33" s="335">
        <f>'CM_PM Operations'!G28</f>
        <v>0</v>
      </c>
      <c r="F33" s="335">
        <f>'CM_PM Operations'!H28</f>
        <v>0</v>
      </c>
      <c r="G33" s="335"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5"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5"/>
      <c r="J33" s="335"/>
      <c r="K33" s="335"/>
      <c r="L33" s="335"/>
    </row>
    <row r="34" spans="1:12" ht="19.899999999999999" customHeight="1">
      <c r="A34" s="335"/>
      <c r="B34" s="335"/>
      <c r="C34" s="335"/>
      <c r="D34" s="335"/>
      <c r="E34" s="335"/>
      <c r="F34" s="335"/>
      <c r="G34" s="335"/>
      <c r="H34" s="335"/>
      <c r="I34" s="335"/>
      <c r="J34" s="335"/>
      <c r="K34" s="335"/>
      <c r="L34" s="335"/>
    </row>
    <row r="35" spans="1:12" ht="19.899999999999999" customHeight="1">
      <c r="A35" s="335"/>
      <c r="B35" s="335"/>
      <c r="C35" s="335"/>
      <c r="D35" s="335"/>
      <c r="E35" s="335"/>
      <c r="F35" s="335"/>
      <c r="G35" s="335"/>
      <c r="H35" s="335"/>
      <c r="I35" s="335"/>
      <c r="J35" s="335"/>
      <c r="K35" s="335"/>
      <c r="L35" s="335"/>
    </row>
    <row r="36" spans="1:12" ht="19.899999999999999" customHeight="1">
      <c r="A36" s="914" t="s">
        <v>5812</v>
      </c>
      <c r="B36" s="914"/>
      <c r="C36" s="914"/>
      <c r="D36" s="914"/>
      <c r="E36" s="914"/>
      <c r="F36" s="914"/>
      <c r="G36" s="914"/>
      <c r="H36" s="914"/>
      <c r="I36" s="914"/>
      <c r="J36" s="914"/>
      <c r="K36" s="914"/>
      <c r="L36" s="914"/>
    </row>
    <row r="37" spans="1:12" ht="19.899999999999999" customHeight="1">
      <c r="A37" s="530" t="s">
        <v>142</v>
      </c>
      <c r="B37" s="530" t="s">
        <v>161</v>
      </c>
      <c r="C37" s="530" t="s">
        <v>199</v>
      </c>
      <c r="D37" s="530" t="s">
        <v>871</v>
      </c>
      <c r="E37" s="530" t="s">
        <v>872</v>
      </c>
      <c r="F37" s="530" t="s">
        <v>874</v>
      </c>
      <c r="G37" s="530" t="s">
        <v>875</v>
      </c>
      <c r="H37" s="530" t="s">
        <v>5569</v>
      </c>
      <c r="I37" s="335"/>
      <c r="J37" s="335"/>
      <c r="K37" s="335"/>
      <c r="L37" s="335"/>
    </row>
    <row r="38" spans="1:12" ht="19.899999999999999" customHeight="1">
      <c r="A38" s="335" t="str">
        <f>'CM_PM Operations'!A85</f>
        <v>01</v>
      </c>
      <c r="B38" s="531">
        <f>'CM_PM Operations'!B85</f>
        <v>0</v>
      </c>
      <c r="C38" s="335">
        <f>'CM_PM Operations'!C85</f>
        <v>0</v>
      </c>
      <c r="D38" s="335">
        <f>'CM_PM Operations'!D85</f>
        <v>0</v>
      </c>
      <c r="E38" s="335">
        <f>'CM_PM Operations'!E85</f>
        <v>0</v>
      </c>
      <c r="F38" s="335" t="str">
        <f>'CM_PM Operations'!F85</f>
        <v>Monitor</v>
      </c>
      <c r="G38" s="335" t="str">
        <f>'CM_PM Operations'!G85</f>
        <v>Review</v>
      </c>
      <c r="H38" s="335" t="str">
        <f ca="1">'CM_PM Operations'!H85</f>
        <v>🔴 ATTENTION</v>
      </c>
      <c r="I38" s="335"/>
      <c r="J38" s="335"/>
      <c r="K38" s="335"/>
      <c r="L38" s="335"/>
    </row>
    <row r="39" spans="1:12" ht="19.899999999999999" customHeight="1">
      <c r="A39" s="335" t="str">
        <f>'CM_PM Operations'!A86</f>
        <v>02</v>
      </c>
      <c r="B39" s="531">
        <f>'CM_PM Operations'!B86</f>
        <v>0</v>
      </c>
      <c r="C39" s="335">
        <f>'CM_PM Operations'!C86</f>
        <v>0</v>
      </c>
      <c r="D39" s="335">
        <f>'CM_PM Operations'!D86</f>
        <v>0</v>
      </c>
      <c r="E39" s="335">
        <f>'CM_PM Operations'!E86</f>
        <v>0</v>
      </c>
      <c r="F39" s="335" t="str">
        <f>'CM_PM Operations'!F86</f>
        <v>Monitor</v>
      </c>
      <c r="G39" s="335" t="str">
        <f>'CM_PM Operations'!G86</f>
        <v>Review</v>
      </c>
      <c r="H39" s="335" t="str">
        <f ca="1">'CM_PM Operations'!H86</f>
        <v>🔴 ATTENTION</v>
      </c>
      <c r="I39" s="335"/>
      <c r="J39" s="335"/>
      <c r="K39" s="335"/>
      <c r="L39" s="335"/>
    </row>
    <row r="40" spans="1:12" ht="19.899999999999999" customHeight="1">
      <c r="A40" s="335" t="str">
        <f>'CM_PM Operations'!A87</f>
        <v>03</v>
      </c>
      <c r="B40" s="531">
        <f>'CM_PM Operations'!B87</f>
        <v>0</v>
      </c>
      <c r="C40" s="335">
        <f>'CM_PM Operations'!C87</f>
        <v>0</v>
      </c>
      <c r="D40" s="335">
        <f>'CM_PM Operations'!D87</f>
        <v>0</v>
      </c>
      <c r="E40" s="335">
        <f>'CM_PM Operations'!E87</f>
        <v>0</v>
      </c>
      <c r="F40" s="335" t="str">
        <f>'CM_PM Operations'!F87</f>
        <v>Monitor</v>
      </c>
      <c r="G40" s="335" t="str">
        <f>'CM_PM Operations'!G87</f>
        <v>Review</v>
      </c>
      <c r="H40" s="335" t="str">
        <f ca="1">'CM_PM Operations'!H87</f>
        <v>🔴 ATTENTION</v>
      </c>
      <c r="I40" s="335"/>
      <c r="J40" s="335"/>
      <c r="K40" s="335"/>
      <c r="L40" s="335"/>
    </row>
    <row r="41" spans="1:12" ht="19.899999999999999" customHeight="1">
      <c r="A41" s="335" t="str">
        <f>'CM_PM Operations'!A88</f>
        <v>04</v>
      </c>
      <c r="B41" s="531">
        <f>'CM_PM Operations'!B88</f>
        <v>0</v>
      </c>
      <c r="C41" s="335">
        <f>'CM_PM Operations'!C88</f>
        <v>0</v>
      </c>
      <c r="D41" s="335">
        <f>'CM_PM Operations'!D88</f>
        <v>0</v>
      </c>
      <c r="E41" s="335">
        <f>'CM_PM Operations'!E88</f>
        <v>0</v>
      </c>
      <c r="F41" s="335" t="str">
        <f>'CM_PM Operations'!F88</f>
        <v>Monitor</v>
      </c>
      <c r="G41" s="335" t="str">
        <f>'CM_PM Operations'!G88</f>
        <v>Review</v>
      </c>
      <c r="H41" s="335" t="str">
        <f ca="1">'CM_PM Operations'!H88</f>
        <v>🔴 ATTENTION</v>
      </c>
      <c r="I41" s="335"/>
      <c r="J41" s="335"/>
      <c r="K41" s="335"/>
      <c r="L41" s="335"/>
    </row>
    <row r="42" spans="1:12" ht="19.899999999999999" customHeight="1">
      <c r="A42" s="335" t="str">
        <f>'CM_PM Operations'!A89</f>
        <v>05</v>
      </c>
      <c r="B42" s="531">
        <f>'CM_PM Operations'!B89</f>
        <v>0</v>
      </c>
      <c r="C42" s="335">
        <f>'CM_PM Operations'!C89</f>
        <v>0</v>
      </c>
      <c r="D42" s="335">
        <f>'CM_PM Operations'!D89</f>
        <v>0</v>
      </c>
      <c r="E42" s="335">
        <f>'CM_PM Operations'!E89</f>
        <v>0</v>
      </c>
      <c r="F42" s="335" t="str">
        <f>'CM_PM Operations'!F89</f>
        <v>Monitor</v>
      </c>
      <c r="G42" s="335" t="str">
        <f>'CM_PM Operations'!G89</f>
        <v>Review</v>
      </c>
      <c r="H42" s="335" t="str">
        <f ca="1">'CM_PM Operations'!H89</f>
        <v>🔴 ATTENTION</v>
      </c>
      <c r="I42" s="335"/>
      <c r="J42" s="335"/>
      <c r="K42" s="335"/>
      <c r="L42" s="335"/>
    </row>
    <row r="43" spans="1:12" ht="19.899999999999999" customHeight="1">
      <c r="A43" s="335" t="str">
        <f>'CM_PM Operations'!A90</f>
        <v>06</v>
      </c>
      <c r="B43" s="531">
        <f>'CM_PM Operations'!B90</f>
        <v>0</v>
      </c>
      <c r="C43" s="335">
        <f>'CM_PM Operations'!C90</f>
        <v>0</v>
      </c>
      <c r="D43" s="335">
        <f>'CM_PM Operations'!D90</f>
        <v>0</v>
      </c>
      <c r="E43" s="335">
        <f>'CM_PM Operations'!E90</f>
        <v>0</v>
      </c>
      <c r="F43" s="335" t="str">
        <f>'CM_PM Operations'!F90</f>
        <v>Monitor</v>
      </c>
      <c r="G43" s="335" t="str">
        <f>'CM_PM Operations'!G90</f>
        <v>Review</v>
      </c>
      <c r="H43" s="335" t="str">
        <f ca="1">'CM_PM Operations'!H90</f>
        <v>🔴 ATTENTION</v>
      </c>
      <c r="I43" s="335"/>
      <c r="J43" s="335"/>
      <c r="K43" s="335"/>
      <c r="L43" s="335"/>
    </row>
    <row r="44" spans="1:12" ht="19.899999999999999" customHeight="1">
      <c r="A44" s="335" t="str">
        <f>'CM_PM Operations'!A91</f>
        <v>07</v>
      </c>
      <c r="B44" s="531">
        <f>'CM_PM Operations'!B91</f>
        <v>0</v>
      </c>
      <c r="C44" s="335">
        <f>'CM_PM Operations'!C91</f>
        <v>0</v>
      </c>
      <c r="D44" s="335">
        <f>'CM_PM Operations'!D91</f>
        <v>0</v>
      </c>
      <c r="E44" s="335">
        <f>'CM_PM Operations'!E91</f>
        <v>0</v>
      </c>
      <c r="F44" s="335" t="str">
        <f>'CM_PM Operations'!F91</f>
        <v>Monitor</v>
      </c>
      <c r="G44" s="335" t="str">
        <f>'CM_PM Operations'!G91</f>
        <v>Review</v>
      </c>
      <c r="H44" s="335" t="str">
        <f ca="1">'CM_PM Operations'!H91</f>
        <v>🔴 ATTENTION</v>
      </c>
      <c r="I44" s="335"/>
      <c r="J44" s="335"/>
      <c r="K44" s="335"/>
      <c r="L44" s="335"/>
    </row>
    <row r="45" spans="1:12" ht="19.899999999999999" customHeight="1">
      <c r="A45" s="335" t="str">
        <f>'CM_PM Operations'!A92</f>
        <v>08</v>
      </c>
      <c r="B45" s="531">
        <f>'CM_PM Operations'!B92</f>
        <v>0</v>
      </c>
      <c r="C45" s="335">
        <f>'CM_PM Operations'!C92</f>
        <v>0</v>
      </c>
      <c r="D45" s="335">
        <f>'CM_PM Operations'!D92</f>
        <v>0</v>
      </c>
      <c r="E45" s="335">
        <f>'CM_PM Operations'!E92</f>
        <v>0</v>
      </c>
      <c r="F45" s="335" t="str">
        <f>'CM_PM Operations'!F92</f>
        <v>Monitor</v>
      </c>
      <c r="G45" s="335" t="str">
        <f>'CM_PM Operations'!G92</f>
        <v>Review</v>
      </c>
      <c r="H45" s="335" t="str">
        <f ca="1">'CM_PM Operations'!H92</f>
        <v>🔴 ATTENTION</v>
      </c>
      <c r="I45" s="335"/>
      <c r="J45" s="335"/>
      <c r="K45" s="335"/>
      <c r="L45" s="335"/>
    </row>
    <row r="46" spans="1:12" ht="19.899999999999999" customHeight="1">
      <c r="A46" s="335" t="str">
        <f>'CM_PM Operations'!A93</f>
        <v>09</v>
      </c>
      <c r="B46" s="531">
        <f>'CM_PM Operations'!B93</f>
        <v>0</v>
      </c>
      <c r="C46" s="335">
        <f>'CM_PM Operations'!C93</f>
        <v>0</v>
      </c>
      <c r="D46" s="335">
        <f>'CM_PM Operations'!D93</f>
        <v>0</v>
      </c>
      <c r="E46" s="335">
        <f>'CM_PM Operations'!E93</f>
        <v>0</v>
      </c>
      <c r="F46" s="335" t="str">
        <f>'CM_PM Operations'!F93</f>
        <v>Monitor</v>
      </c>
      <c r="G46" s="335" t="str">
        <f>'CM_PM Operations'!G93</f>
        <v>Review</v>
      </c>
      <c r="H46" s="335" t="str">
        <f ca="1">'CM_PM Operations'!H93</f>
        <v>🔴 ATTENTION</v>
      </c>
      <c r="I46" s="335"/>
      <c r="J46" s="335"/>
      <c r="K46" s="335"/>
      <c r="L46" s="335"/>
    </row>
    <row r="47" spans="1:12" ht="19.899999999999999" customHeight="1">
      <c r="A47" s="335" t="str">
        <f>'CM_PM Operations'!A94</f>
        <v>10</v>
      </c>
      <c r="B47" s="531">
        <f>'CM_PM Operations'!B94</f>
        <v>0</v>
      </c>
      <c r="C47" s="335">
        <f>'CM_PM Operations'!C94</f>
        <v>0</v>
      </c>
      <c r="D47" s="335">
        <f>'CM_PM Operations'!D94</f>
        <v>0</v>
      </c>
      <c r="E47" s="335">
        <f>'CM_PM Operations'!E94</f>
        <v>0</v>
      </c>
      <c r="F47" s="335" t="str">
        <f>'CM_PM Operations'!F94</f>
        <v>Monitor</v>
      </c>
      <c r="G47" s="335" t="str">
        <f>'CM_PM Operations'!G94</f>
        <v>Review</v>
      </c>
      <c r="H47" s="335" t="str">
        <f ca="1">'CM_PM Operations'!H94</f>
        <v>🔴 ATTENTION</v>
      </c>
      <c r="I47" s="335"/>
      <c r="J47" s="335"/>
      <c r="K47" s="335"/>
      <c r="L47" s="335"/>
    </row>
    <row r="48" spans="1:12" ht="19.899999999999999" customHeight="1">
      <c r="A48" s="335" t="str">
        <f>'CM_PM Operations'!A95</f>
        <v>12</v>
      </c>
      <c r="B48" s="531">
        <f>'CM_PM Operations'!B95</f>
        <v>0</v>
      </c>
      <c r="C48" s="335">
        <f>'CM_PM Operations'!C95</f>
        <v>0</v>
      </c>
      <c r="D48" s="335">
        <f>'CM_PM Operations'!D95</f>
        <v>0</v>
      </c>
      <c r="E48" s="335">
        <f>'CM_PM Operations'!E95</f>
        <v>0</v>
      </c>
      <c r="F48" s="335" t="str">
        <f>'CM_PM Operations'!F95</f>
        <v>Monitor</v>
      </c>
      <c r="G48" s="335" t="str">
        <f>'CM_PM Operations'!G95</f>
        <v>Review</v>
      </c>
      <c r="H48" s="335" t="str">
        <f ca="1">'CM_PM Operations'!H95</f>
        <v>🔴 ATTENTION</v>
      </c>
      <c r="I48" s="335"/>
      <c r="J48" s="335"/>
      <c r="K48" s="335"/>
      <c r="L48" s="335"/>
    </row>
    <row r="49" spans="1:12" ht="19.899999999999999" customHeight="1">
      <c r="A49" s="335" t="str">
        <f>'CM_PM Operations'!A96</f>
        <v>13</v>
      </c>
      <c r="B49" s="531">
        <f>'CM_PM Operations'!B96</f>
        <v>0</v>
      </c>
      <c r="C49" s="335">
        <f>'CM_PM Operations'!C96</f>
        <v>0</v>
      </c>
      <c r="D49" s="335">
        <f>'CM_PM Operations'!D96</f>
        <v>0</v>
      </c>
      <c r="E49" s="335">
        <f>'CM_PM Operations'!E96</f>
        <v>0</v>
      </c>
      <c r="F49" s="335" t="str">
        <f>'CM_PM Operations'!F96</f>
        <v>Monitor</v>
      </c>
      <c r="G49" s="335" t="str">
        <f>'CM_PM Operations'!G96</f>
        <v>Review</v>
      </c>
      <c r="H49" s="335" t="str">
        <f ca="1">'CM_PM Operations'!H96</f>
        <v>🔴 ATTENTION</v>
      </c>
      <c r="I49" s="335"/>
      <c r="J49" s="335"/>
      <c r="K49" s="335"/>
      <c r="L49" s="335"/>
    </row>
    <row r="50" spans="1:12" ht="19.899999999999999" customHeight="1">
      <c r="A50" s="335"/>
      <c r="B50" s="335"/>
      <c r="C50" s="335"/>
      <c r="D50" s="335"/>
      <c r="E50" s="335"/>
      <c r="F50" s="335"/>
      <c r="G50" s="335"/>
      <c r="H50" s="335"/>
      <c r="I50" s="335"/>
      <c r="J50" s="335"/>
      <c r="K50" s="335"/>
      <c r="L50" s="335"/>
    </row>
    <row r="51" spans="1:12" ht="19.899999999999999" customHeight="1">
      <c r="A51" s="335"/>
      <c r="B51" s="335"/>
      <c r="C51" s="335"/>
      <c r="D51" s="335"/>
      <c r="E51" s="335"/>
      <c r="F51" s="335"/>
      <c r="G51" s="335"/>
      <c r="H51" s="335"/>
      <c r="I51" s="335"/>
      <c r="J51" s="335"/>
      <c r="K51" s="335"/>
      <c r="L51" s="335"/>
    </row>
    <row r="52" spans="1:12" ht="19.899999999999999" customHeight="1">
      <c r="A52" s="914" t="s">
        <v>5813</v>
      </c>
      <c r="B52" s="914"/>
      <c r="C52" s="914"/>
      <c r="D52" s="914"/>
      <c r="E52" s="914"/>
      <c r="F52" s="914"/>
      <c r="G52" s="914"/>
      <c r="H52" s="914"/>
      <c r="I52" s="914"/>
      <c r="J52" s="914"/>
      <c r="K52" s="914"/>
      <c r="L52" s="914"/>
    </row>
    <row r="53" spans="1:12" ht="19.899999999999999" customHeight="1">
      <c r="A53" s="530" t="s">
        <v>295</v>
      </c>
      <c r="B53" s="530" t="s">
        <v>218</v>
      </c>
      <c r="C53" s="530" t="s">
        <v>142</v>
      </c>
      <c r="D53" s="530" t="s">
        <v>5814</v>
      </c>
      <c r="E53" s="530" t="s">
        <v>5620</v>
      </c>
      <c r="F53" s="530" t="s">
        <v>219</v>
      </c>
      <c r="G53" s="530" t="s">
        <v>299</v>
      </c>
      <c r="H53" s="530" t="s">
        <v>255</v>
      </c>
      <c r="I53" s="530" t="s">
        <v>77</v>
      </c>
      <c r="J53" s="530" t="s">
        <v>11</v>
      </c>
      <c r="K53" s="335"/>
      <c r="L53" s="335"/>
    </row>
    <row r="54" spans="1:12" ht="19.899999999999999" customHeight="1">
      <c r="A54" s="335">
        <f>'CM_PM Operations'!A119</f>
        <v>0</v>
      </c>
      <c r="B54" s="335">
        <f>'CM_PM Operations'!B119</f>
        <v>0</v>
      </c>
      <c r="C54" s="335">
        <f>'CM_PM Operations'!C119</f>
        <v>0</v>
      </c>
      <c r="D54" s="525">
        <f>'CM_PM Operations'!D119</f>
        <v>0</v>
      </c>
      <c r="E54" s="525">
        <f>'CM_PM Operations'!E119</f>
        <v>0</v>
      </c>
      <c r="F54" s="525">
        <f>'CM_PM Operations'!F119</f>
        <v>0</v>
      </c>
      <c r="G54" s="335">
        <f>'CM_PM Operations'!G119</f>
        <v>0</v>
      </c>
      <c r="H54" s="335">
        <f>'CM_PM Operations'!H119</f>
        <v>0</v>
      </c>
      <c r="I54" s="335">
        <f>'CM_PM Operations'!I119</f>
        <v>0</v>
      </c>
      <c r="J54" s="335">
        <f>'CM_PM Operations'!J119</f>
        <v>0</v>
      </c>
      <c r="K54" s="335"/>
      <c r="L54" s="335"/>
    </row>
    <row r="55" spans="1:12" ht="19.899999999999999" customHeight="1">
      <c r="A55" s="335">
        <f>'CM_PM Operations'!A120</f>
        <v>0</v>
      </c>
      <c r="B55" s="335">
        <f>'CM_PM Operations'!B120</f>
        <v>0</v>
      </c>
      <c r="C55" s="335">
        <f>'CM_PM Operations'!C120</f>
        <v>0</v>
      </c>
      <c r="D55" s="525">
        <f>'CM_PM Operations'!D120</f>
        <v>0</v>
      </c>
      <c r="E55" s="525">
        <f>'CM_PM Operations'!E120</f>
        <v>0</v>
      </c>
      <c r="F55" s="525">
        <f>'CM_PM Operations'!F120</f>
        <v>0</v>
      </c>
      <c r="G55" s="335">
        <f>'CM_PM Operations'!G120</f>
        <v>0</v>
      </c>
      <c r="H55" s="335">
        <f>'CM_PM Operations'!H120</f>
        <v>0</v>
      </c>
      <c r="I55" s="335">
        <f>'CM_PM Operations'!I120</f>
        <v>0</v>
      </c>
      <c r="J55" s="335">
        <f>'CM_PM Operations'!J120</f>
        <v>0</v>
      </c>
      <c r="K55" s="335"/>
      <c r="L55" s="335"/>
    </row>
    <row r="56" spans="1:12" ht="19.899999999999999" customHeight="1">
      <c r="A56" s="335">
        <f>'CM_PM Operations'!A121</f>
        <v>0</v>
      </c>
      <c r="B56" s="335">
        <f>'CM_PM Operations'!B121</f>
        <v>0</v>
      </c>
      <c r="C56" s="335">
        <f>'CM_PM Operations'!C121</f>
        <v>0</v>
      </c>
      <c r="D56" s="525">
        <f>'CM_PM Operations'!D121</f>
        <v>0</v>
      </c>
      <c r="E56" s="525">
        <f>'CM_PM Operations'!E121</f>
        <v>0</v>
      </c>
      <c r="F56" s="525">
        <f>'CM_PM Operations'!F121</f>
        <v>0</v>
      </c>
      <c r="G56" s="335">
        <f>'CM_PM Operations'!G121</f>
        <v>0</v>
      </c>
      <c r="H56" s="335">
        <f>'CM_PM Operations'!H121</f>
        <v>0</v>
      </c>
      <c r="I56" s="335">
        <f>'CM_PM Operations'!I121</f>
        <v>0</v>
      </c>
      <c r="J56" s="335">
        <f>'CM_PM Operations'!J121</f>
        <v>0</v>
      </c>
      <c r="K56" s="335"/>
      <c r="L56" s="335"/>
    </row>
    <row r="57" spans="1:12" ht="19.899999999999999" customHeight="1">
      <c r="A57" s="335">
        <f>'CM_PM Operations'!A122</f>
        <v>0</v>
      </c>
      <c r="B57" s="335">
        <f>'CM_PM Operations'!B122</f>
        <v>0</v>
      </c>
      <c r="C57" s="335">
        <f>'CM_PM Operations'!C122</f>
        <v>0</v>
      </c>
      <c r="D57" s="525">
        <f>'CM_PM Operations'!D122</f>
        <v>0</v>
      </c>
      <c r="E57" s="525">
        <f>'CM_PM Operations'!E122</f>
        <v>0</v>
      </c>
      <c r="F57" s="525">
        <f>'CM_PM Operations'!F122</f>
        <v>0</v>
      </c>
      <c r="G57" s="335">
        <f>'CM_PM Operations'!G122</f>
        <v>0</v>
      </c>
      <c r="H57" s="335">
        <f>'CM_PM Operations'!H122</f>
        <v>0</v>
      </c>
      <c r="I57" s="335">
        <f>'CM_PM Operations'!I122</f>
        <v>0</v>
      </c>
      <c r="J57" s="335">
        <f>'CM_PM Operations'!J122</f>
        <v>0</v>
      </c>
      <c r="K57" s="335"/>
      <c r="L57" s="335"/>
    </row>
    <row r="58" spans="1:12" ht="19.899999999999999" customHeight="1">
      <c r="A58" s="335">
        <f>'CM_PM Operations'!A123</f>
        <v>0</v>
      </c>
      <c r="B58" s="335">
        <f>'CM_PM Operations'!B123</f>
        <v>0</v>
      </c>
      <c r="C58" s="335">
        <f>'CM_PM Operations'!C123</f>
        <v>0</v>
      </c>
      <c r="D58" s="525">
        <f>'CM_PM Operations'!D123</f>
        <v>0</v>
      </c>
      <c r="E58" s="525">
        <f>'CM_PM Operations'!E123</f>
        <v>0</v>
      </c>
      <c r="F58" s="525">
        <f>'CM_PM Operations'!F123</f>
        <v>0</v>
      </c>
      <c r="G58" s="335">
        <f>'CM_PM Operations'!G123</f>
        <v>0</v>
      </c>
      <c r="H58" s="335">
        <f>'CM_PM Operations'!H123</f>
        <v>0</v>
      </c>
      <c r="I58" s="335">
        <f>'CM_PM Operations'!I123</f>
        <v>0</v>
      </c>
      <c r="J58" s="335">
        <f>'CM_PM Operations'!J123</f>
        <v>0</v>
      </c>
      <c r="K58" s="335"/>
      <c r="L58" s="335"/>
    </row>
    <row r="59" spans="1:12" ht="19.899999999999999" customHeight="1">
      <c r="A59" s="335">
        <f>'CM_PM Operations'!A124</f>
        <v>0</v>
      </c>
      <c r="B59" s="335">
        <f>'CM_PM Operations'!B124</f>
        <v>0</v>
      </c>
      <c r="C59" s="335">
        <f>'CM_PM Operations'!C124</f>
        <v>0</v>
      </c>
      <c r="D59" s="525">
        <f>'CM_PM Operations'!D124</f>
        <v>0</v>
      </c>
      <c r="E59" s="525">
        <f>'CM_PM Operations'!E124</f>
        <v>0</v>
      </c>
      <c r="F59" s="525">
        <f>'CM_PM Operations'!F124</f>
        <v>0</v>
      </c>
      <c r="G59" s="335">
        <f>'CM_PM Operations'!G124</f>
        <v>0</v>
      </c>
      <c r="H59" s="335">
        <f>'CM_PM Operations'!H124</f>
        <v>0</v>
      </c>
      <c r="I59" s="335">
        <f>'CM_PM Operations'!I124</f>
        <v>0</v>
      </c>
      <c r="J59" s="335">
        <f>'CM_PM Operations'!J124</f>
        <v>0</v>
      </c>
      <c r="K59" s="335"/>
      <c r="L59" s="335"/>
    </row>
    <row r="60" spans="1:12" ht="19.899999999999999" customHeight="1">
      <c r="A60" s="335">
        <f>'CM_PM Operations'!A125</f>
        <v>0</v>
      </c>
      <c r="B60" s="335">
        <f>'CM_PM Operations'!B125</f>
        <v>0</v>
      </c>
      <c r="C60" s="335">
        <f>'CM_PM Operations'!C125</f>
        <v>0</v>
      </c>
      <c r="D60" s="525">
        <f>'CM_PM Operations'!D125</f>
        <v>0</v>
      </c>
      <c r="E60" s="525">
        <f>'CM_PM Operations'!E125</f>
        <v>0</v>
      </c>
      <c r="F60" s="525">
        <f>'CM_PM Operations'!F125</f>
        <v>0</v>
      </c>
      <c r="G60" s="335">
        <f>'CM_PM Operations'!G125</f>
        <v>0</v>
      </c>
      <c r="H60" s="335">
        <f>'CM_PM Operations'!H125</f>
        <v>0</v>
      </c>
      <c r="I60" s="335">
        <f>'CM_PM Operations'!I125</f>
        <v>0</v>
      </c>
      <c r="J60" s="335">
        <f>'CM_PM Operations'!J125</f>
        <v>0</v>
      </c>
      <c r="K60" s="335"/>
      <c r="L60" s="335"/>
    </row>
    <row r="61" spans="1:12" ht="19.899999999999999" customHeight="1">
      <c r="A61" s="335">
        <f>'CM_PM Operations'!A126</f>
        <v>0</v>
      </c>
      <c r="B61" s="335">
        <f>'CM_PM Operations'!B126</f>
        <v>0</v>
      </c>
      <c r="C61" s="335">
        <f>'CM_PM Operations'!C126</f>
        <v>0</v>
      </c>
      <c r="D61" s="525">
        <f>'CM_PM Operations'!D126</f>
        <v>0</v>
      </c>
      <c r="E61" s="525">
        <f>'CM_PM Operations'!E126</f>
        <v>0</v>
      </c>
      <c r="F61" s="525">
        <f>'CM_PM Operations'!F126</f>
        <v>0</v>
      </c>
      <c r="G61" s="335">
        <f>'CM_PM Operations'!G126</f>
        <v>0</v>
      </c>
      <c r="H61" s="335">
        <f>'CM_PM Operations'!H126</f>
        <v>0</v>
      </c>
      <c r="I61" s="335">
        <f>'CM_PM Operations'!I126</f>
        <v>0</v>
      </c>
      <c r="J61" s="335">
        <f>'CM_PM Operations'!J126</f>
        <v>0</v>
      </c>
      <c r="K61" s="335"/>
      <c r="L61" s="335"/>
    </row>
    <row r="62" spans="1:12" ht="19.899999999999999" customHeight="1">
      <c r="A62" s="335">
        <f>'CM_PM Operations'!A127</f>
        <v>0</v>
      </c>
      <c r="B62" s="335">
        <f>'CM_PM Operations'!B127</f>
        <v>0</v>
      </c>
      <c r="C62" s="335">
        <f>'CM_PM Operations'!C127</f>
        <v>0</v>
      </c>
      <c r="D62" s="525">
        <f>'CM_PM Operations'!D127</f>
        <v>0</v>
      </c>
      <c r="E62" s="525">
        <f>'CM_PM Operations'!E127</f>
        <v>0</v>
      </c>
      <c r="F62" s="525">
        <f>'CM_PM Operations'!F127</f>
        <v>0</v>
      </c>
      <c r="G62" s="335">
        <f>'CM_PM Operations'!G127</f>
        <v>0</v>
      </c>
      <c r="H62" s="335">
        <f>'CM_PM Operations'!H127</f>
        <v>0</v>
      </c>
      <c r="I62" s="335">
        <f>'CM_PM Operations'!I127</f>
        <v>0</v>
      </c>
      <c r="J62" s="335">
        <f>'CM_PM Operations'!J127</f>
        <v>0</v>
      </c>
      <c r="K62" s="335"/>
      <c r="L62" s="335"/>
    </row>
    <row r="63" spans="1:12" ht="19.899999999999999" customHeight="1">
      <c r="A63" s="335"/>
      <c r="B63" s="335"/>
      <c r="C63" s="335"/>
      <c r="D63" s="335"/>
      <c r="E63" s="335"/>
      <c r="F63" s="335"/>
      <c r="G63" s="335"/>
      <c r="H63" s="335"/>
      <c r="I63" s="335"/>
      <c r="J63" s="335"/>
      <c r="K63" s="335"/>
      <c r="L63" s="335"/>
    </row>
    <row r="64" spans="1:12" ht="19.899999999999999" customHeight="1">
      <c r="A64" s="913" t="s">
        <v>5815</v>
      </c>
      <c r="B64" s="913"/>
      <c r="C64" s="913"/>
      <c r="D64" s="913"/>
      <c r="E64" s="913"/>
      <c r="F64" s="913"/>
      <c r="G64" s="913"/>
      <c r="H64" s="913"/>
      <c r="I64" s="913"/>
      <c r="J64" s="913"/>
      <c r="K64" s="913"/>
      <c r="L64" s="913"/>
    </row>
    <row r="65" spans="1:12" ht="19.899999999999999" customHeight="1">
      <c r="A65" s="913"/>
      <c r="B65" s="913"/>
      <c r="C65" s="913"/>
      <c r="D65" s="913"/>
      <c r="E65" s="913"/>
      <c r="F65" s="913"/>
      <c r="G65" s="913"/>
      <c r="H65" s="913"/>
      <c r="I65" s="913"/>
      <c r="J65" s="913"/>
      <c r="K65" s="913"/>
      <c r="L65" s="913"/>
    </row>
    <row r="66" spans="1:12" ht="19.899999999999999" customHeight="1">
      <c r="A66" s="913"/>
      <c r="B66" s="913"/>
      <c r="C66" s="913"/>
      <c r="D66" s="913"/>
      <c r="E66" s="913"/>
      <c r="F66" s="913"/>
      <c r="G66" s="913"/>
      <c r="H66" s="913"/>
      <c r="I66" s="913"/>
      <c r="J66" s="913"/>
      <c r="K66" s="913"/>
      <c r="L66" s="913"/>
    </row>
    <row r="67" spans="1:12" ht="19.899999999999999" customHeight="1">
      <c r="A67" s="335"/>
      <c r="B67" s="335"/>
      <c r="C67" s="335"/>
      <c r="D67" s="335"/>
      <c r="E67" s="335"/>
      <c r="F67" s="335"/>
      <c r="G67" s="335"/>
      <c r="H67" s="335"/>
      <c r="I67" s="335"/>
      <c r="J67" s="335"/>
      <c r="K67" s="335"/>
      <c r="L67" s="335"/>
    </row>
    <row r="68" spans="1:12" ht="19.899999999999999" customHeight="1">
      <c r="A68" s="914" t="s">
        <v>5816</v>
      </c>
      <c r="B68" s="914"/>
      <c r="C68" s="914"/>
      <c r="D68" s="914"/>
      <c r="E68" s="914"/>
      <c r="F68" s="914"/>
      <c r="G68" s="914"/>
      <c r="H68" s="914"/>
      <c r="I68" s="914"/>
      <c r="J68" s="914"/>
      <c r="K68" s="914"/>
      <c r="L68" s="914"/>
    </row>
    <row r="69" spans="1:12" ht="19.899999999999999" customHeight="1">
      <c r="A69" s="530" t="s">
        <v>142</v>
      </c>
      <c r="B69" s="530" t="s">
        <v>199</v>
      </c>
      <c r="C69" s="530" t="s">
        <v>870</v>
      </c>
      <c r="D69" s="530" t="s">
        <v>5455</v>
      </c>
      <c r="E69" s="530" t="s">
        <v>3348</v>
      </c>
      <c r="F69" s="530" t="s">
        <v>3349</v>
      </c>
      <c r="G69" s="530" t="s">
        <v>5456</v>
      </c>
      <c r="H69" s="532"/>
      <c r="I69" s="532"/>
      <c r="J69" s="532"/>
      <c r="K69" s="335"/>
      <c r="L69" s="335"/>
    </row>
    <row r="70" spans="1:12" ht="19.899999999999999" customHeight="1">
      <c r="A70" s="335" t="str">
        <f>'CM_PM Operations'!A139</f>
        <v>01</v>
      </c>
      <c r="B70" s="335"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70" s="335"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5"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5"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5"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5"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5"/>
      <c r="I70" s="335"/>
      <c r="J70" s="335"/>
      <c r="K70" s="335"/>
      <c r="L70" s="335"/>
    </row>
    <row r="71" spans="1:12" ht="19.899999999999999" customHeight="1">
      <c r="A71" s="335" t="str">
        <f>'CM_PM Operations'!A140</f>
        <v>02</v>
      </c>
      <c r="B71" s="335" t="str">
        <f>'CM_PM Operations'!B140</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71" s="335"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5"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5"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5"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5"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5"/>
      <c r="I71" s="335"/>
      <c r="J71" s="335"/>
      <c r="K71" s="335"/>
      <c r="L71" s="335"/>
    </row>
    <row r="72" spans="1:12" ht="19.899999999999999" customHeight="1">
      <c r="A72" s="335" t="str">
        <f>'CM_PM Operations'!A141</f>
        <v>03</v>
      </c>
      <c r="B72" s="335" t="str">
        <f>'CM_PM Operations'!B141</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72" s="335"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5"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5"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5"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5"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5"/>
      <c r="I72" s="335"/>
      <c r="J72" s="335"/>
      <c r="K72" s="335"/>
      <c r="L72" s="335"/>
    </row>
    <row r="73" spans="1:12" ht="19.899999999999999" customHeight="1">
      <c r="A73" s="335" t="str">
        <f>'CM_PM Operations'!A142</f>
        <v>04</v>
      </c>
      <c r="B73" s="335" t="str">
        <f>'CM_PM Operations'!B142</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73" s="335" t="str">
        <f>'CM_PM Operations'!C142</f>
        <v>B04 has multiple TRs across basement/first/second levels; field verification, abatement coordination, cooling power, firestopping, and cutover phasing remain open.</v>
      </c>
      <c r="D73" s="525"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5"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5"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5"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5"/>
      <c r="I73" s="335"/>
      <c r="J73" s="335"/>
      <c r="K73" s="335"/>
      <c r="L73" s="335"/>
    </row>
    <row r="74" spans="1:12" ht="19.899999999999999" customHeight="1">
      <c r="A74" s="335" t="str">
        <f>'CM_PM Operations'!A143</f>
        <v>05</v>
      </c>
      <c r="B74" s="335" t="str">
        <f>'CM_PM Operations'!B143</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74" s="335" t="str">
        <f>'CM_PM Operations'!C143</f>
        <v>Building 05 receives a Telecom Enclosure only; mechanical and fire protection scope is excluded, so TE power, telecom cutover, existing room conditions, and fire/life-safety interfaces must be verified.</v>
      </c>
      <c r="D74" s="525" t="str">
        <f>'CM_PM Operations'!D143</f>
        <v>• Cover sheet note states mechanical and fire protection scope excluded; still verify firestopping and existing fire alarm/life safety impacts.
• Existing conditions only; verify protection-in-place and no unsealed penetrations after cabling.</v>
      </c>
      <c r="E74" s="525" t="str">
        <f>'CM_PM Operations'!E143</f>
        <v>• Mechanical scope is excluded for Building 05; verify TE heat load is acceptable in existing space and does not require added cooling.
• Existing wall/wall-mount TE area; verify existing environmental conditions during field survey.</v>
      </c>
      <c r="F74" s="525"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5"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5"/>
      <c r="I74" s="335"/>
      <c r="J74" s="335"/>
      <c r="K74" s="335"/>
      <c r="L74" s="335"/>
    </row>
    <row r="75" spans="1:12" ht="19.899999999999999" customHeight="1">
      <c r="A75" s="335" t="str">
        <f>'CM_PM Operations'!A144</f>
        <v>06</v>
      </c>
      <c r="B75" s="335" t="str">
        <f>'CM_PM Operations'!B144</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75" s="335" t="str">
        <f>'CM_PM Operations'!C144</f>
        <v>Building 06 has active existing telecom equipment plus new TR work in Rooms 178 and 233; field verification, cutover phasing, cooling, firestopping, and emergency power remain open.</v>
      </c>
      <c r="D75" s="525"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5"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5"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5"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5"/>
      <c r="I75" s="335"/>
      <c r="J75" s="335"/>
      <c r="K75" s="335"/>
      <c r="L75" s="335"/>
    </row>
    <row r="76" spans="1:12" ht="19.899999999999999" customHeight="1">
      <c r="A76" s="335" t="str">
        <f>'CM_PM Operations'!A145</f>
        <v>07</v>
      </c>
      <c r="B76" s="335" t="str">
        <f>'CM_PM Operations'!B145</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76" s="335" t="str">
        <f>'CM_PM Operations'!C145</f>
        <v>Building 07 includes basement TR B-18 and second-level TR 228A; field verification, active-service cutover, cooling, firestopping, rated construction, and power source confirmation remain open.</v>
      </c>
      <c r="D76" s="525"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5"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5"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5"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5"/>
      <c r="I76" s="335"/>
      <c r="J76" s="335"/>
      <c r="K76" s="335"/>
      <c r="L76" s="335"/>
    </row>
    <row r="77" spans="1:12" ht="19.899999999999999" customHeight="1">
      <c r="A77" s="335" t="str">
        <f>'CM_PM Operations'!A146</f>
        <v>08</v>
      </c>
      <c r="B77" s="335" t="str">
        <f>'CM_PM Operations'!B146</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77" s="335" t="str">
        <f>'CM_PM Operations'!C146</f>
        <v>Building 08 includes existing basement telecom equipment at B-15, basement TE/cabling scope at B12B, and new second-level TR 2065A; field verification, abatement, rated construction, cooling/power, firestopping, and cutover phasing remain open.</v>
      </c>
      <c r="D77" s="525"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5"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5"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5"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5"/>
      <c r="I77" s="335"/>
      <c r="J77" s="335"/>
      <c r="K77" s="335"/>
      <c r="L77" s="335"/>
    </row>
    <row r="78" spans="1:12" ht="19.899999999999999" customHeight="1">
      <c r="A78" s="335" t="str">
        <f>'CM_PM Operations'!A147</f>
        <v>09</v>
      </c>
      <c r="B78" s="335" t="str">
        <f>'CM_PM Operations'!B147</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78" s="335" t="str">
        <f>'CM_PM Operations'!C147</f>
        <v>Building 09 includes three telecom spaces across basement, first, and second levels; field verification, hazardous material coordination, active service cutover, cooling, power/panel source, firestopping, and rated wall/door work remain open.</v>
      </c>
      <c r="D78" s="525"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5"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5"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5"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5"/>
      <c r="I78" s="335"/>
      <c r="J78" s="335"/>
      <c r="K78" s="335"/>
      <c r="L78" s="335"/>
    </row>
    <row r="79" spans="1:12" ht="19.899999999999999" customHeight="1">
      <c r="A79" s="335" t="str">
        <f>'CM_PM Operations'!A148</f>
        <v>10</v>
      </c>
      <c r="B79" s="335" t="str">
        <f>'CM_PM Operations'!B148</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79" s="335"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5"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5"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5"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5"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5"/>
      <c r="I79" s="335"/>
      <c r="J79" s="335"/>
      <c r="K79" s="335"/>
      <c r="L79" s="335"/>
    </row>
    <row r="80" spans="1:12" ht="19.899999999999999" customHeight="1">
      <c r="A80" s="335" t="str">
        <f>'CM_PM Operations'!A149</f>
        <v>12</v>
      </c>
      <c r="B80" s="335" t="str">
        <f>'CM_PM Operations'!B149</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80" s="335"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5" t="str">
        <f>'CM_PM Operations'!D149</f>
        <v>• No fire protection drawing package beyond general notes; verify penetrations/firestopping for fiber pull-through route.
• No new TR/FEC shown; verify no rated assemblies are compromised by fiber pathway work.</v>
      </c>
      <c r="E80" s="335" t="str">
        <f>'CM_PM Operations'!E149</f>
        <v>• No HVAC drawing package for Building 12; fiber-only scope does not indicate new cooling equipment.
• Field verify existing environmental conditions only if existing service point/equipment is accessed.</v>
      </c>
      <c r="F80" s="335" t="str">
        <f>'CM_PM Operations'!F149</f>
        <v>• No electrical drawing package for Building 12; no new panel/UPS/PDU/rack receptacle scope shown.
• Confirm whether any existing equipment is touched. Scope appears limited to fiber pull-through and testing/labeling.</v>
      </c>
      <c r="G80" s="335"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5"/>
      <c r="I80" s="335"/>
      <c r="J80" s="335"/>
      <c r="K80" s="335"/>
      <c r="L80" s="335"/>
    </row>
    <row r="81" spans="1:12" ht="19.899999999999999" customHeight="1">
      <c r="A81" s="335" t="str">
        <f>'CM_PM Operations'!A150</f>
        <v>13</v>
      </c>
      <c r="B81" s="335" t="str">
        <f>'CM_PM Operations'!B150</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81" s="335"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5"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5"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5"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5"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5"/>
      <c r="I81" s="335"/>
      <c r="J81" s="335"/>
      <c r="K81" s="335"/>
      <c r="L81" s="335"/>
    </row>
    <row r="82" spans="1:12" ht="19.899999999999999" customHeight="1">
      <c r="A82" s="910"/>
      <c r="B82" s="910"/>
      <c r="C82" s="910"/>
      <c r="D82" s="910"/>
      <c r="E82" s="910"/>
      <c r="F82" s="910"/>
      <c r="G82" s="910"/>
      <c r="H82" s="910"/>
      <c r="I82" s="910"/>
      <c r="J82" s="910"/>
      <c r="K82" s="910"/>
      <c r="L82" s="910"/>
    </row>
    <row r="83" spans="1:12" ht="19.899999999999999" customHeight="1">
      <c r="A83" s="532"/>
      <c r="B83" s="532"/>
      <c r="C83" s="532"/>
      <c r="D83" s="532"/>
      <c r="E83" s="532"/>
      <c r="F83" s="532"/>
      <c r="G83" s="532"/>
      <c r="H83" s="532"/>
      <c r="I83" s="532"/>
      <c r="J83" s="532"/>
      <c r="K83" s="335"/>
      <c r="L83" s="335"/>
    </row>
    <row r="84" spans="1:12" ht="19.899999999999999" customHeight="1">
      <c r="A84" s="914" t="s">
        <v>5817</v>
      </c>
      <c r="B84" s="914"/>
      <c r="C84" s="914"/>
      <c r="D84" s="914"/>
      <c r="E84" s="914"/>
      <c r="F84" s="914"/>
      <c r="G84" s="919"/>
      <c r="H84" s="914"/>
      <c r="I84" s="919"/>
      <c r="J84" s="914"/>
      <c r="K84" s="914"/>
      <c r="L84" s="914"/>
    </row>
    <row r="85" spans="1:12" ht="19.899999999999999" customHeight="1">
      <c r="A85" s="530" t="s">
        <v>142</v>
      </c>
      <c r="B85" s="530" t="s">
        <v>151</v>
      </c>
      <c r="C85" s="530" t="s">
        <v>154</v>
      </c>
      <c r="D85" s="530" t="s">
        <v>896</v>
      </c>
      <c r="E85" s="530" t="s">
        <v>148</v>
      </c>
      <c r="F85" s="530" t="s">
        <v>153</v>
      </c>
      <c r="G85" s="533" t="s">
        <v>155</v>
      </c>
      <c r="H85" s="530" t="s">
        <v>556</v>
      </c>
      <c r="I85" s="531"/>
      <c r="J85" s="335"/>
      <c r="K85" s="335"/>
      <c r="L85" s="335"/>
    </row>
    <row r="86" spans="1:12" ht="19.899999999999999" customHeight="1">
      <c r="A86" s="335" t="str">
        <f>'CM_PM Operations'!A173</f>
        <v>01</v>
      </c>
      <c r="B86" s="335" t="str">
        <f>'CM_PM Operations'!B173</f>
        <v>Yellow</v>
      </c>
      <c r="C86" s="335" t="str">
        <f>'CM_PM Operations'!C173</f>
        <v>No</v>
      </c>
      <c r="D86" s="335" t="str">
        <f>'CM_PM Operations'!D173</f>
        <v>Verify</v>
      </c>
      <c r="E86" s="335" t="str">
        <f>'CM_PM Operations'!E173</f>
        <v>Verify</v>
      </c>
      <c r="F86" s="335" t="str">
        <f>'CM_PM Operations'!F173</f>
        <v>Verify</v>
      </c>
      <c r="G86" s="531" t="str">
        <f>'CM_PM Operations'!G173</f>
        <v>Verify</v>
      </c>
      <c r="H86" s="335" t="str">
        <f>'CM_PM Operations'!H173</f>
        <v>Verify</v>
      </c>
      <c r="I86" s="531"/>
      <c r="J86" s="335"/>
      <c r="K86" s="335"/>
      <c r="L86" s="335"/>
    </row>
    <row r="87" spans="1:12" ht="19.899999999999999" customHeight="1">
      <c r="A87" s="335" t="str">
        <f>'CM_PM Operations'!A174</f>
        <v>02</v>
      </c>
      <c r="B87" s="335" t="str">
        <f>'CM_PM Operations'!B174</f>
        <v>Yellow</v>
      </c>
      <c r="C87" s="335" t="str">
        <f>'CM_PM Operations'!C174</f>
        <v>No</v>
      </c>
      <c r="D87" s="335" t="str">
        <f>'CM_PM Operations'!D174</f>
        <v>Verify</v>
      </c>
      <c r="E87" s="335" t="str">
        <f>'CM_PM Operations'!E174</f>
        <v>Verify</v>
      </c>
      <c r="F87" s="335" t="str">
        <f>'CM_PM Operations'!F174</f>
        <v>Verify</v>
      </c>
      <c r="G87" s="531" t="str">
        <f>'CM_PM Operations'!G174</f>
        <v>Verify</v>
      </c>
      <c r="H87" s="335" t="str">
        <f>'CM_PM Operations'!H174</f>
        <v>Verify</v>
      </c>
      <c r="I87" s="531"/>
      <c r="J87" s="335"/>
      <c r="K87" s="335"/>
      <c r="L87" s="335"/>
    </row>
    <row r="88" spans="1:12" ht="19.899999999999999" customHeight="1">
      <c r="A88" s="335" t="str">
        <f>'CM_PM Operations'!A175</f>
        <v>03</v>
      </c>
      <c r="B88" s="335" t="str">
        <f>'CM_PM Operations'!B175</f>
        <v>Yellow</v>
      </c>
      <c r="C88" s="335" t="str">
        <f>'CM_PM Operations'!C175</f>
        <v>No</v>
      </c>
      <c r="D88" s="335" t="str">
        <f>'CM_PM Operations'!D175</f>
        <v>Verify</v>
      </c>
      <c r="E88" s="335" t="str">
        <f>'CM_PM Operations'!E175</f>
        <v>Verify</v>
      </c>
      <c r="F88" s="335" t="str">
        <f>'CM_PM Operations'!F175</f>
        <v>Verify</v>
      </c>
      <c r="G88" s="531" t="str">
        <f>'CM_PM Operations'!G175</f>
        <v>Verify</v>
      </c>
      <c r="H88" s="335" t="str">
        <f>'CM_PM Operations'!H175</f>
        <v>Verify</v>
      </c>
      <c r="I88" s="531"/>
      <c r="J88" s="335"/>
      <c r="K88" s="335"/>
      <c r="L88" s="335"/>
    </row>
    <row r="89" spans="1:12" ht="19.899999999999999" customHeight="1">
      <c r="A89" s="335" t="str">
        <f>'CM_PM Operations'!A176</f>
        <v>04</v>
      </c>
      <c r="B89" s="335" t="str">
        <f>'CM_PM Operations'!B176</f>
        <v>Yellow</v>
      </c>
      <c r="C89" s="335" t="str">
        <f>'CM_PM Operations'!C176</f>
        <v>No</v>
      </c>
      <c r="D89" s="335" t="str">
        <f>'CM_PM Operations'!D176</f>
        <v>Verify</v>
      </c>
      <c r="E89" s="335" t="str">
        <f>'CM_PM Operations'!E176</f>
        <v>Verify</v>
      </c>
      <c r="F89" s="335" t="str">
        <f>'CM_PM Operations'!F176</f>
        <v>Verify</v>
      </c>
      <c r="G89" s="531" t="str">
        <f>'CM_PM Operations'!G176</f>
        <v>Verify</v>
      </c>
      <c r="H89" s="335" t="str">
        <f>'CM_PM Operations'!H176</f>
        <v>Verify</v>
      </c>
      <c r="I89" s="531"/>
      <c r="J89" s="335"/>
      <c r="K89" s="335"/>
      <c r="L89" s="335"/>
    </row>
    <row r="90" spans="1:12" ht="19.899999999999999" customHeight="1">
      <c r="A90" s="335" t="str">
        <f>'CM_PM Operations'!A177</f>
        <v>05</v>
      </c>
      <c r="B90" s="335" t="str">
        <f>'CM_PM Operations'!B177</f>
        <v>Yellow</v>
      </c>
      <c r="C90" s="335" t="str">
        <f>'CM_PM Operations'!C177</f>
        <v>No</v>
      </c>
      <c r="D90" s="335" t="str">
        <f>'CM_PM Operations'!D177</f>
        <v>N/A</v>
      </c>
      <c r="E90" s="335" t="str">
        <f>'CM_PM Operations'!E177</f>
        <v>N/A</v>
      </c>
      <c r="F90" s="335" t="str">
        <f>'CM_PM Operations'!F177</f>
        <v>Verify</v>
      </c>
      <c r="G90" s="531" t="str">
        <f>'CM_PM Operations'!G177</f>
        <v>Verify</v>
      </c>
      <c r="H90" s="335" t="str">
        <f>'CM_PM Operations'!H177</f>
        <v>Verify</v>
      </c>
      <c r="I90" s="531"/>
      <c r="J90" s="335"/>
      <c r="K90" s="335"/>
      <c r="L90" s="335"/>
    </row>
    <row r="91" spans="1:12" ht="19.899999999999999" customHeight="1">
      <c r="A91" s="335" t="str">
        <f>'CM_PM Operations'!A178</f>
        <v>06</v>
      </c>
      <c r="B91" s="335" t="str">
        <f>'CM_PM Operations'!B178</f>
        <v>Yellow</v>
      </c>
      <c r="C91" s="335" t="str">
        <f>'CM_PM Operations'!C178</f>
        <v>No</v>
      </c>
      <c r="D91" s="335" t="str">
        <f>'CM_PM Operations'!D178</f>
        <v>Verify</v>
      </c>
      <c r="E91" s="335" t="str">
        <f>'CM_PM Operations'!E178</f>
        <v>Verify</v>
      </c>
      <c r="F91" s="335" t="str">
        <f>'CM_PM Operations'!F178</f>
        <v>Verify</v>
      </c>
      <c r="G91" s="531" t="str">
        <f>'CM_PM Operations'!G178</f>
        <v>Verify</v>
      </c>
      <c r="H91" s="335" t="str">
        <f>'CM_PM Operations'!H178</f>
        <v>Verify</v>
      </c>
      <c r="I91" s="531"/>
      <c r="J91" s="335"/>
      <c r="K91" s="335"/>
      <c r="L91" s="335"/>
    </row>
    <row r="92" spans="1:12" ht="19.899999999999999" customHeight="1">
      <c r="A92" s="335" t="str">
        <f>'CM_PM Operations'!A179</f>
        <v>07</v>
      </c>
      <c r="B92" s="335" t="str">
        <f>'CM_PM Operations'!B179</f>
        <v>Yellow</v>
      </c>
      <c r="C92" s="335" t="str">
        <f>'CM_PM Operations'!C179</f>
        <v>No</v>
      </c>
      <c r="D92" s="335" t="str">
        <f>'CM_PM Operations'!D179</f>
        <v>Verify</v>
      </c>
      <c r="E92" s="335" t="str">
        <f>'CM_PM Operations'!E179</f>
        <v>Verify</v>
      </c>
      <c r="F92" s="335" t="str">
        <f>'CM_PM Operations'!F179</f>
        <v>Verify</v>
      </c>
      <c r="G92" s="531" t="str">
        <f>'CM_PM Operations'!G179</f>
        <v>Verify</v>
      </c>
      <c r="H92" s="335" t="str">
        <f>'CM_PM Operations'!H179</f>
        <v>Verify</v>
      </c>
      <c r="I92" s="531"/>
      <c r="J92" s="335"/>
      <c r="K92" s="335"/>
      <c r="L92" s="335"/>
    </row>
    <row r="93" spans="1:12" ht="19.899999999999999" customHeight="1">
      <c r="A93" s="335" t="str">
        <f>'CM_PM Operations'!A180</f>
        <v>08</v>
      </c>
      <c r="B93" s="335" t="str">
        <f>'CM_PM Operations'!B180</f>
        <v>Yellow</v>
      </c>
      <c r="C93" s="335" t="str">
        <f>'CM_PM Operations'!C180</f>
        <v>No</v>
      </c>
      <c r="D93" s="335" t="str">
        <f>'CM_PM Operations'!D180</f>
        <v>Verify</v>
      </c>
      <c r="E93" s="335" t="str">
        <f>'CM_PM Operations'!E180</f>
        <v>Verify</v>
      </c>
      <c r="F93" s="335" t="str">
        <f>'CM_PM Operations'!F180</f>
        <v>Verify</v>
      </c>
      <c r="G93" s="531" t="str">
        <f>'CM_PM Operations'!G180</f>
        <v>Verify</v>
      </c>
      <c r="H93" s="335" t="str">
        <f>'CM_PM Operations'!H180</f>
        <v>Verify</v>
      </c>
      <c r="I93" s="531"/>
      <c r="J93" s="335"/>
      <c r="K93" s="335"/>
      <c r="L93" s="335"/>
    </row>
    <row r="94" spans="1:12" ht="19.899999999999999" customHeight="1">
      <c r="A94" s="335" t="str">
        <f>'CM_PM Operations'!A181</f>
        <v>09</v>
      </c>
      <c r="B94" s="335" t="str">
        <f>'CM_PM Operations'!B181</f>
        <v>Yellow</v>
      </c>
      <c r="C94" s="335" t="str">
        <f>'CM_PM Operations'!C181</f>
        <v>No</v>
      </c>
      <c r="D94" s="335" t="str">
        <f>'CM_PM Operations'!D181</f>
        <v>Verify</v>
      </c>
      <c r="E94" s="335" t="str">
        <f>'CM_PM Operations'!E181</f>
        <v>Verify</v>
      </c>
      <c r="F94" s="335" t="str">
        <f>'CM_PM Operations'!F181</f>
        <v>Verify</v>
      </c>
      <c r="G94" s="531" t="str">
        <f>'CM_PM Operations'!G181</f>
        <v>Verify</v>
      </c>
      <c r="H94" s="335" t="str">
        <f>'CM_PM Operations'!H181</f>
        <v>Verify</v>
      </c>
      <c r="I94" s="531"/>
      <c r="J94" s="335"/>
      <c r="K94" s="335"/>
      <c r="L94" s="335"/>
    </row>
    <row r="95" spans="1:12" ht="19.899999999999999" customHeight="1">
      <c r="A95" s="335" t="str">
        <f>'CM_PM Operations'!A182</f>
        <v>10</v>
      </c>
      <c r="B95" s="335" t="str">
        <f>'CM_PM Operations'!B182</f>
        <v>Yellow</v>
      </c>
      <c r="C95" s="335" t="str">
        <f>'CM_PM Operations'!C182</f>
        <v>No</v>
      </c>
      <c r="D95" s="335" t="str">
        <f>'CM_PM Operations'!D182</f>
        <v>Verify</v>
      </c>
      <c r="E95" s="335" t="str">
        <f>'CM_PM Operations'!E182</f>
        <v>Verify</v>
      </c>
      <c r="F95" s="335" t="str">
        <f>'CM_PM Operations'!F182</f>
        <v>Verify</v>
      </c>
      <c r="G95" s="335" t="str">
        <f>'CM_PM Operations'!G182</f>
        <v>Verify</v>
      </c>
      <c r="H95" s="335" t="str">
        <f>'CM_PM Operations'!H182</f>
        <v>Verify</v>
      </c>
      <c r="I95" s="335"/>
      <c r="J95" s="335"/>
      <c r="K95" s="335"/>
      <c r="L95" s="335"/>
    </row>
    <row r="96" spans="1:12" ht="19.899999999999999" customHeight="1">
      <c r="A96" s="335" t="str">
        <f>'CM_PM Operations'!A183</f>
        <v>12</v>
      </c>
      <c r="B96" s="335" t="str">
        <f>'CM_PM Operations'!B183</f>
        <v>Yellow</v>
      </c>
      <c r="C96" s="335" t="str">
        <f>'CM_PM Operations'!C183</f>
        <v>No</v>
      </c>
      <c r="D96" s="335" t="str">
        <f>'CM_PM Operations'!D183</f>
        <v>N/A / Verify</v>
      </c>
      <c r="E96" s="335" t="str">
        <f>'CM_PM Operations'!E183</f>
        <v>N/A</v>
      </c>
      <c r="F96" s="335" t="str">
        <f>'CM_PM Operations'!F183</f>
        <v>N/A / Verify</v>
      </c>
      <c r="G96" s="335" t="str">
        <f>'CM_PM Operations'!G183</f>
        <v>Verify</v>
      </c>
      <c r="H96" s="335" t="str">
        <f>'CM_PM Operations'!H183</f>
        <v>N/A / Verify</v>
      </c>
      <c r="I96" s="335"/>
      <c r="J96" s="335"/>
      <c r="K96" s="335"/>
      <c r="L96" s="335"/>
    </row>
    <row r="97" spans="1:12" ht="19.899999999999999" customHeight="1">
      <c r="A97" s="335" t="str">
        <f>'CM_PM Operations'!A184</f>
        <v>13</v>
      </c>
      <c r="B97" s="335" t="str">
        <f>'CM_PM Operations'!B184</f>
        <v>Yellow</v>
      </c>
      <c r="C97" s="335" t="str">
        <f>'CM_PM Operations'!C184</f>
        <v>No</v>
      </c>
      <c r="D97" s="335" t="str">
        <f>'CM_PM Operations'!D184</f>
        <v>Verify</v>
      </c>
      <c r="E97" s="335" t="str">
        <f>'CM_PM Operations'!E184</f>
        <v>Verify</v>
      </c>
      <c r="F97" s="335" t="str">
        <f>'CM_PM Operations'!F184</f>
        <v>Verify</v>
      </c>
      <c r="G97" s="335" t="str">
        <f>'CM_PM Operations'!G184</f>
        <v>Verify</v>
      </c>
      <c r="H97" s="335" t="str">
        <f>'CM_PM Operations'!H184</f>
        <v>Verify</v>
      </c>
      <c r="I97" s="335"/>
      <c r="J97" s="335"/>
      <c r="K97" s="335"/>
      <c r="L97" s="335"/>
    </row>
    <row r="98" spans="1:12" ht="19.899999999999999" customHeight="1">
      <c r="A98" s="910"/>
      <c r="B98" s="910"/>
      <c r="C98" s="910"/>
      <c r="D98" s="910"/>
      <c r="E98" s="910"/>
      <c r="F98" s="910"/>
      <c r="G98" s="910"/>
      <c r="H98" s="910"/>
      <c r="I98" s="910"/>
      <c r="J98" s="910"/>
      <c r="K98" s="910"/>
      <c r="L98" s="910"/>
    </row>
    <row r="99" spans="1:12" ht="19.899999999999999" customHeight="1">
      <c r="A99" s="532"/>
      <c r="B99" s="532"/>
      <c r="C99" s="532"/>
      <c r="D99" s="532"/>
      <c r="E99" s="532"/>
      <c r="F99" s="532"/>
      <c r="G99" s="532"/>
      <c r="H99" s="532"/>
      <c r="I99" s="532"/>
      <c r="J99" s="532"/>
      <c r="K99" s="532"/>
      <c r="L99" s="532"/>
    </row>
    <row r="100" spans="1:12" ht="19.899999999999999" customHeight="1">
      <c r="A100" s="914" t="s">
        <v>5818</v>
      </c>
      <c r="B100" s="914"/>
      <c r="C100" s="914"/>
      <c r="D100" s="914"/>
      <c r="E100" s="914"/>
      <c r="F100" s="914"/>
      <c r="G100" s="914"/>
      <c r="H100" s="920"/>
      <c r="I100" s="920"/>
      <c r="J100" s="914"/>
      <c r="K100" s="914"/>
      <c r="L100" s="914"/>
    </row>
    <row r="101" spans="1:12" ht="19.899999999999999" customHeight="1">
      <c r="A101" s="530" t="s">
        <v>142</v>
      </c>
      <c r="B101" s="530" t="s">
        <v>5641</v>
      </c>
      <c r="C101" s="530" t="s">
        <v>5699</v>
      </c>
      <c r="D101" s="530" t="s">
        <v>5718</v>
      </c>
      <c r="E101" s="530" t="s">
        <v>5651</v>
      </c>
      <c r="F101" s="530" t="s">
        <v>5705</v>
      </c>
      <c r="G101" s="530" t="s">
        <v>5720</v>
      </c>
      <c r="H101" s="534" t="s">
        <v>5707</v>
      </c>
      <c r="I101" s="525"/>
      <c r="J101" s="335"/>
      <c r="K101" s="335"/>
      <c r="L101" s="335"/>
    </row>
    <row r="102" spans="1:12" ht="19.899999999999999" customHeight="1">
      <c r="A102" s="335" t="str">
        <f>'CM_PM Operations'!A207</f>
        <v>01</v>
      </c>
      <c r="B102" s="531">
        <f ca="1">'CM_PM Operations'!B207</f>
        <v>0</v>
      </c>
      <c r="C102" s="335" t="str">
        <f ca="1">'CM_PM Operations'!C207</f>
        <v>Blocked</v>
      </c>
      <c r="D102" s="335" t="str">
        <f ca="1">'CM_PM Operations'!D207</f>
        <v>No blocker documented</v>
      </c>
      <c r="E102" s="531">
        <f ca="1">'CM_PM Operations'!E207</f>
        <v>0</v>
      </c>
      <c r="F102" s="335" t="str">
        <f ca="1">'CM_PM Operations'!F207</f>
        <v>Not Ready</v>
      </c>
      <c r="G102" s="335">
        <f ca="1">'CM_PM Operations'!G207</f>
        <v>6</v>
      </c>
      <c r="H102" s="525" t="str">
        <f ca="1">'CM_PM Operations'!H207</f>
        <v>Resolve OIT Blocker</v>
      </c>
      <c r="I102" s="525"/>
      <c r="J102" s="335"/>
      <c r="K102" s="335"/>
      <c r="L102" s="335"/>
    </row>
    <row r="103" spans="1:12" ht="19.899999999999999" customHeight="1">
      <c r="A103" s="335" t="str">
        <f>'CM_PM Operations'!A208</f>
        <v>02</v>
      </c>
      <c r="B103" s="531">
        <f ca="1">'CM_PM Operations'!B208</f>
        <v>0</v>
      </c>
      <c r="C103" s="335" t="str">
        <f ca="1">'CM_PM Operations'!C208</f>
        <v>Blocked</v>
      </c>
      <c r="D103" s="335" t="str">
        <f ca="1">'CM_PM Operations'!D208</f>
        <v>No blocker documented</v>
      </c>
      <c r="E103" s="531">
        <f ca="1">'CM_PM Operations'!E208</f>
        <v>0</v>
      </c>
      <c r="F103" s="335" t="str">
        <f ca="1">'CM_PM Operations'!F208</f>
        <v>Not Ready</v>
      </c>
      <c r="G103" s="335">
        <f ca="1">'CM_PM Operations'!G208</f>
        <v>6</v>
      </c>
      <c r="H103" s="525" t="str">
        <f ca="1">'CM_PM Operations'!H208</f>
        <v>Resolve OIT Blocker</v>
      </c>
      <c r="I103" s="525"/>
      <c r="J103" s="335"/>
      <c r="K103" s="335"/>
      <c r="L103" s="335"/>
    </row>
    <row r="104" spans="1:12" ht="19.899999999999999" customHeight="1">
      <c r="A104" s="335" t="str">
        <f>'CM_PM Operations'!A209</f>
        <v>03</v>
      </c>
      <c r="B104" s="531">
        <f ca="1">'CM_PM Operations'!B209</f>
        <v>0</v>
      </c>
      <c r="C104" s="335" t="str">
        <f ca="1">'CM_PM Operations'!C209</f>
        <v>Blocked</v>
      </c>
      <c r="D104" s="335" t="str">
        <f ca="1">'CM_PM Operations'!D209</f>
        <v>No blocker documented</v>
      </c>
      <c r="E104" s="531">
        <f ca="1">'CM_PM Operations'!E209</f>
        <v>0</v>
      </c>
      <c r="F104" s="335" t="str">
        <f ca="1">'CM_PM Operations'!F209</f>
        <v>Not Ready</v>
      </c>
      <c r="G104" s="335">
        <f ca="1">'CM_PM Operations'!G209</f>
        <v>6</v>
      </c>
      <c r="H104" s="525" t="str">
        <f ca="1">'CM_PM Operations'!H209</f>
        <v>Resolve OIT Blocker</v>
      </c>
      <c r="I104" s="525"/>
      <c r="J104" s="335"/>
      <c r="K104" s="335"/>
      <c r="L104" s="335"/>
    </row>
    <row r="105" spans="1:12" ht="19.899999999999999" customHeight="1">
      <c r="A105" s="335" t="str">
        <f>'CM_PM Operations'!A210</f>
        <v>04</v>
      </c>
      <c r="B105" s="531">
        <f ca="1">'CM_PM Operations'!B210</f>
        <v>0</v>
      </c>
      <c r="C105" s="335" t="str">
        <f ca="1">'CM_PM Operations'!C210</f>
        <v>Blocked</v>
      </c>
      <c r="D105" s="335" t="str">
        <f ca="1">'CM_PM Operations'!D210</f>
        <v>No blocker documented</v>
      </c>
      <c r="E105" s="531">
        <f ca="1">'CM_PM Operations'!E210</f>
        <v>0</v>
      </c>
      <c r="F105" s="335" t="str">
        <f ca="1">'CM_PM Operations'!F210</f>
        <v>Not Ready</v>
      </c>
      <c r="G105" s="335">
        <f ca="1">'CM_PM Operations'!G210</f>
        <v>6</v>
      </c>
      <c r="H105" s="525" t="str">
        <f ca="1">'CM_PM Operations'!H210</f>
        <v>Resolve OIT Blocker</v>
      </c>
      <c r="I105" s="525"/>
      <c r="J105" s="335"/>
      <c r="K105" s="335"/>
      <c r="L105" s="335"/>
    </row>
    <row r="106" spans="1:12" ht="19.899999999999999" customHeight="1">
      <c r="A106" s="335" t="str">
        <f>'CM_PM Operations'!A211</f>
        <v>05</v>
      </c>
      <c r="B106" s="531">
        <f ca="1">'CM_PM Operations'!B211</f>
        <v>0</v>
      </c>
      <c r="C106" s="335" t="str">
        <f ca="1">'CM_PM Operations'!C211</f>
        <v>Blocked</v>
      </c>
      <c r="D106" s="335" t="str">
        <f ca="1">'CM_PM Operations'!D211</f>
        <v>No blocker documented</v>
      </c>
      <c r="E106" s="531">
        <f ca="1">'CM_PM Operations'!E211</f>
        <v>0</v>
      </c>
      <c r="F106" s="335" t="str">
        <f ca="1">'CM_PM Operations'!F211</f>
        <v>Not Ready</v>
      </c>
      <c r="G106" s="335">
        <f ca="1">'CM_PM Operations'!G211</f>
        <v>6</v>
      </c>
      <c r="H106" s="525" t="str">
        <f ca="1">'CM_PM Operations'!H211</f>
        <v>Resolve OIT Blocker</v>
      </c>
      <c r="I106" s="525"/>
      <c r="J106" s="335"/>
      <c r="K106" s="335"/>
      <c r="L106" s="335"/>
    </row>
    <row r="107" spans="1:12" ht="19.899999999999999" customHeight="1">
      <c r="A107" s="335" t="str">
        <f>'CM_PM Operations'!A212</f>
        <v>06</v>
      </c>
      <c r="B107" s="531">
        <f ca="1">'CM_PM Operations'!B212</f>
        <v>0</v>
      </c>
      <c r="C107" s="335" t="str">
        <f ca="1">'CM_PM Operations'!C212</f>
        <v>Blocked</v>
      </c>
      <c r="D107" s="335" t="str">
        <f ca="1">'CM_PM Operations'!D212</f>
        <v>No blocker documented</v>
      </c>
      <c r="E107" s="531">
        <f ca="1">'CM_PM Operations'!E212</f>
        <v>0</v>
      </c>
      <c r="F107" s="335" t="str">
        <f ca="1">'CM_PM Operations'!F212</f>
        <v>Not Ready</v>
      </c>
      <c r="G107" s="335">
        <f ca="1">'CM_PM Operations'!G212</f>
        <v>6</v>
      </c>
      <c r="H107" s="525" t="str">
        <f ca="1">'CM_PM Operations'!H212</f>
        <v>Resolve OIT Blocker</v>
      </c>
      <c r="I107" s="525"/>
      <c r="J107" s="335"/>
      <c r="K107" s="335"/>
      <c r="L107" s="335"/>
    </row>
    <row r="108" spans="1:12" ht="19.899999999999999" customHeight="1">
      <c r="A108" s="335" t="str">
        <f>'CM_PM Operations'!A213</f>
        <v>07</v>
      </c>
      <c r="B108" s="531">
        <f ca="1">'CM_PM Operations'!B213</f>
        <v>0</v>
      </c>
      <c r="C108" s="335" t="str">
        <f ca="1">'CM_PM Operations'!C213</f>
        <v>Blocked</v>
      </c>
      <c r="D108" s="335" t="str">
        <f ca="1">'CM_PM Operations'!D213</f>
        <v>No blocker documented</v>
      </c>
      <c r="E108" s="531">
        <f ca="1">'CM_PM Operations'!E213</f>
        <v>0</v>
      </c>
      <c r="F108" s="335" t="str">
        <f ca="1">'CM_PM Operations'!F213</f>
        <v>Not Ready</v>
      </c>
      <c r="G108" s="335">
        <f ca="1">'CM_PM Operations'!G213</f>
        <v>6</v>
      </c>
      <c r="H108" s="525" t="str">
        <f ca="1">'CM_PM Operations'!H213</f>
        <v>Resolve OIT Blocker</v>
      </c>
      <c r="I108" s="525"/>
      <c r="J108" s="335"/>
      <c r="K108" s="335"/>
      <c r="L108" s="335"/>
    </row>
    <row r="109" spans="1:12" ht="19.899999999999999" customHeight="1">
      <c r="A109" s="335" t="str">
        <f>'CM_PM Operations'!A214</f>
        <v>08</v>
      </c>
      <c r="B109" s="531">
        <f ca="1">'CM_PM Operations'!B214</f>
        <v>0</v>
      </c>
      <c r="C109" s="335" t="str">
        <f ca="1">'CM_PM Operations'!C214</f>
        <v>Blocked</v>
      </c>
      <c r="D109" s="335" t="str">
        <f ca="1">'CM_PM Operations'!D214</f>
        <v>No blocker documented</v>
      </c>
      <c r="E109" s="531">
        <f ca="1">'CM_PM Operations'!E214</f>
        <v>0</v>
      </c>
      <c r="F109" s="335" t="str">
        <f ca="1">'CM_PM Operations'!F214</f>
        <v>Not Ready</v>
      </c>
      <c r="G109" s="335">
        <f ca="1">'CM_PM Operations'!G214</f>
        <v>6</v>
      </c>
      <c r="H109" s="525" t="str">
        <f ca="1">'CM_PM Operations'!H214</f>
        <v>Resolve OIT Blocker</v>
      </c>
      <c r="I109" s="525"/>
      <c r="J109" s="335"/>
      <c r="K109" s="335"/>
      <c r="L109" s="335"/>
    </row>
    <row r="110" spans="1:12" ht="19.899999999999999" customHeight="1">
      <c r="A110" s="335" t="str">
        <f>'CM_PM Operations'!A215</f>
        <v>09</v>
      </c>
      <c r="B110" s="531">
        <f ca="1">'CM_PM Operations'!B215</f>
        <v>0</v>
      </c>
      <c r="C110" s="335" t="str">
        <f ca="1">'CM_PM Operations'!C215</f>
        <v>Blocked</v>
      </c>
      <c r="D110" s="335" t="str">
        <f ca="1">'CM_PM Operations'!D215</f>
        <v>No blocker documented</v>
      </c>
      <c r="E110" s="531">
        <f ca="1">'CM_PM Operations'!E215</f>
        <v>0</v>
      </c>
      <c r="F110" s="335" t="str">
        <f ca="1">'CM_PM Operations'!F215</f>
        <v>Not Ready</v>
      </c>
      <c r="G110" s="335">
        <f ca="1">'CM_PM Operations'!G215</f>
        <v>6</v>
      </c>
      <c r="H110" s="525" t="str">
        <f ca="1">'CM_PM Operations'!H215</f>
        <v>Resolve OIT Blocker</v>
      </c>
      <c r="I110" s="525"/>
      <c r="J110" s="335"/>
      <c r="K110" s="335"/>
      <c r="L110" s="335"/>
    </row>
    <row r="111" spans="1:12" ht="19.899999999999999" customHeight="1">
      <c r="A111" s="335" t="str">
        <f>'CM_PM Operations'!A216</f>
        <v>10</v>
      </c>
      <c r="B111" s="531">
        <f ca="1">'CM_PM Operations'!B216</f>
        <v>0</v>
      </c>
      <c r="C111" s="335" t="str">
        <f ca="1">'CM_PM Operations'!C216</f>
        <v>Blocked</v>
      </c>
      <c r="D111" s="335" t="str">
        <f ca="1">'CM_PM Operations'!D216</f>
        <v>No blocker documented</v>
      </c>
      <c r="E111" s="531">
        <f ca="1">'CM_PM Operations'!E216</f>
        <v>0</v>
      </c>
      <c r="F111" s="335" t="str">
        <f ca="1">'CM_PM Operations'!F216</f>
        <v>Not Ready</v>
      </c>
      <c r="G111" s="335">
        <f ca="1">'CM_PM Operations'!G216</f>
        <v>6</v>
      </c>
      <c r="H111" s="525" t="str">
        <f ca="1">'CM_PM Operations'!H216</f>
        <v>Resolve OIT Blocker</v>
      </c>
      <c r="I111" s="525"/>
      <c r="J111" s="335"/>
      <c r="K111" s="335"/>
      <c r="L111" s="335"/>
    </row>
    <row r="112" spans="1:12" ht="19.899999999999999" customHeight="1">
      <c r="A112" s="335" t="str">
        <f>'CM_PM Operations'!A217</f>
        <v>12</v>
      </c>
      <c r="B112" s="531">
        <f ca="1">'CM_PM Operations'!B217</f>
        <v>0</v>
      </c>
      <c r="C112" s="335" t="str">
        <f ca="1">'CM_PM Operations'!C217</f>
        <v>Blocked</v>
      </c>
      <c r="D112" s="335" t="str">
        <f ca="1">'CM_PM Operations'!D217</f>
        <v>No blocker documented</v>
      </c>
      <c r="E112" s="531">
        <f ca="1">'CM_PM Operations'!E217</f>
        <v>0</v>
      </c>
      <c r="F112" s="335" t="str">
        <f ca="1">'CM_PM Operations'!F217</f>
        <v>Not Ready</v>
      </c>
      <c r="G112" s="335">
        <f ca="1">'CM_PM Operations'!G217</f>
        <v>6</v>
      </c>
      <c r="H112" s="335" t="str">
        <f ca="1">'CM_PM Operations'!H217</f>
        <v>Resolve OIT Blocker</v>
      </c>
      <c r="I112" s="335"/>
      <c r="J112" s="335"/>
      <c r="K112" s="335"/>
      <c r="L112" s="335"/>
    </row>
    <row r="113" spans="1:12" ht="19.899999999999999" customHeight="1">
      <c r="A113" s="335" t="str">
        <f>'CM_PM Operations'!A218</f>
        <v>13</v>
      </c>
      <c r="B113" s="531">
        <f ca="1">'CM_PM Operations'!B218</f>
        <v>0</v>
      </c>
      <c r="C113" s="335" t="str">
        <f ca="1">'CM_PM Operations'!C218</f>
        <v>Blocked</v>
      </c>
      <c r="D113" s="335" t="str">
        <f ca="1">'CM_PM Operations'!D218</f>
        <v>No blocker documented</v>
      </c>
      <c r="E113" s="531">
        <f ca="1">'CM_PM Operations'!E218</f>
        <v>0</v>
      </c>
      <c r="F113" s="335" t="str">
        <f ca="1">'CM_PM Operations'!F218</f>
        <v>Not Ready</v>
      </c>
      <c r="G113" s="335">
        <f ca="1">'CM_PM Operations'!G218</f>
        <v>6</v>
      </c>
      <c r="H113" s="335" t="str">
        <f ca="1">'CM_PM Operations'!H218</f>
        <v>Resolve OIT Blocker</v>
      </c>
      <c r="I113" s="335"/>
      <c r="J113" s="335"/>
      <c r="K113" s="335"/>
      <c r="L113" s="335"/>
    </row>
    <row r="114" spans="1:12" ht="19.899999999999999" customHeight="1">
      <c r="A114" s="910"/>
      <c r="B114" s="910"/>
      <c r="C114" s="910"/>
      <c r="D114" s="910"/>
      <c r="E114" s="910"/>
      <c r="F114" s="910"/>
      <c r="G114" s="910"/>
      <c r="H114" s="910"/>
      <c r="I114" s="910"/>
      <c r="J114" s="910"/>
      <c r="K114" s="910"/>
      <c r="L114" s="910"/>
    </row>
    <row r="115" spans="1:12" ht="19.899999999999999" customHeight="1">
      <c r="A115" s="532"/>
      <c r="B115" s="532"/>
      <c r="C115" s="532"/>
      <c r="D115" s="532"/>
      <c r="E115" s="532"/>
      <c r="F115" s="532"/>
      <c r="G115" s="335"/>
      <c r="H115" s="335"/>
      <c r="I115" s="335"/>
      <c r="J115" s="335"/>
      <c r="K115" s="335"/>
      <c r="L115" s="335"/>
    </row>
    <row r="116" spans="1:12" ht="15">
      <c r="A116" s="914" t="s">
        <v>5819</v>
      </c>
      <c r="B116" s="914"/>
      <c r="C116" s="914"/>
      <c r="D116" s="914"/>
      <c r="E116" s="914"/>
      <c r="F116" s="914"/>
      <c r="G116" s="914"/>
      <c r="H116" s="914"/>
      <c r="I116" s="914"/>
      <c r="J116" s="914"/>
      <c r="K116" s="914"/>
      <c r="L116" s="914"/>
    </row>
    <row r="117" spans="1:12">
      <c r="A117" s="530" t="s">
        <v>5762</v>
      </c>
      <c r="B117" s="530" t="s">
        <v>5804</v>
      </c>
      <c r="C117" s="530" t="s">
        <v>286</v>
      </c>
      <c r="D117" s="530" t="s">
        <v>142</v>
      </c>
      <c r="E117" s="530" t="s">
        <v>216</v>
      </c>
      <c r="F117" s="530" t="s">
        <v>224</v>
      </c>
      <c r="G117" s="530" t="s">
        <v>77</v>
      </c>
      <c r="H117" s="530" t="s">
        <v>5820</v>
      </c>
      <c r="I117" s="530" t="s">
        <v>5821</v>
      </c>
      <c r="J117" s="530" t="s">
        <v>5822</v>
      </c>
      <c r="K117" s="530" t="s">
        <v>5823</v>
      </c>
      <c r="L117" s="530" t="s">
        <v>5530</v>
      </c>
    </row>
    <row r="118" spans="1:12" ht="38.25">
      <c r="A118" s="249" t="str">
        <f>IFERROR(INDEX(Project_Register!$A$2:$A$501,MATCH(1,Project_Register!$AO$2:$AO$501,0)),"")</f>
        <v>DEL-001</v>
      </c>
      <c r="B118" s="249" t="str">
        <f>IF($A118="","",IFERROR(INDEX(Project_Register!$B$2:$B$501,MATCH(1,Project_Register!$AO$2:$AO$501,0)),""))</f>
        <v>Deliverable</v>
      </c>
      <c r="C118" s="249" t="str">
        <f>IF($A118="","",IFERROR(INDEX(Project_Register!$G$2:$G$501,MATCH(1,Project_Register!$AO$2:$AO$501,0)),""))</f>
        <v>Weekly Inspection Report</v>
      </c>
      <c r="D118" s="249" t="str">
        <f>IF($A118="","",IFERROR(INDEX(Project_Register!$E$2:$E$501,MATCH(1,Project_Register!$AO$2:$AO$501,0)),""))</f>
        <v>ALL</v>
      </c>
      <c r="E118" s="249" t="str">
        <f>IF($A118="","",IFERROR(INDEX(Project_Register!$K$2:$K$501,MATCH(1,Project_Register!$AO$2:$AO$501,0)),""))</f>
        <v>Aisha</v>
      </c>
      <c r="F118" s="249" t="str">
        <f>IF($A118="","",IFERROR(INDEX(Project_Register!$M$2:$M$501,MATCH(1,Project_Register!$AO$2:$AO$501,0)),""))</f>
        <v>High</v>
      </c>
      <c r="G118" s="249" t="str">
        <f>IF($A118="","",IFERROR(INDEX(Project_Register!$N$2:$N$501,MATCH(1,Project_Register!$AO$2:$AO$501,0)),""))</f>
        <v>Open</v>
      </c>
      <c r="H118" s="537">
        <f>IF($A118="","",IFERROR(INDEX(Project_Register!$P$2:$P$501,MATCH(1,Project_Register!$AO$2:$AO$501,0)),""))</f>
        <v>46219</v>
      </c>
      <c r="I118" s="537">
        <f>IF($A118="","",IFERROR(INDEX(Project_Register!$Q$2:$Q$501,MATCH(1,Project_Register!$AO$2:$AO$501,0)),""))</f>
        <v>0</v>
      </c>
      <c r="J118" s="249" t="str">
        <f>IF($A118="","",IFERROR(INDEX(Project_Register!$X$2:$X$501,MATCH(1,Project_Register!$AO$2:$AO$501,0)),""))</f>
        <v>Weekly</v>
      </c>
      <c r="K118" s="249" t="str">
        <f>IF($A118="","",IFERROR(INDEX(Project_Register!$AA$2:$AA$501,MATCH(1,Project_Register!$AO$2:$AO$501,0)),""))</f>
        <v>No</v>
      </c>
      <c r="L118" s="249" t="str">
        <f>IF($A118="","",IFERROR(INDEX(Project_Register!$AE$2:$AE$501,MATCH(1,Project_Register!$AO$2:$AO$501,0)),""))</f>
        <v>Compile assessment, inspection, risk, question, shutdown, and look-ahead data; Paul final review.</v>
      </c>
    </row>
    <row r="119" spans="1:12" ht="38.25">
      <c r="A119" s="249" t="str">
        <f>IFERROR(INDEX(Project_Register!$A$2:$A$501,MATCH(2,Project_Register!$AO$2:$AO$501,0)),"")</f>
        <v>DEL-002</v>
      </c>
      <c r="B119" s="249" t="str">
        <f>IF($A119="","",IFERROR(INDEX(Project_Register!$B$2:$B$501,MATCH(2,Project_Register!$AO$2:$AO$501,0)),""))</f>
        <v>PTR Update</v>
      </c>
      <c r="C119" s="249" t="str">
        <f>IF($A119="","",IFERROR(INDEX(Project_Register!$G$2:$G$501,MATCH(2,Project_Register!$AO$2:$AO$501,0)),""))</f>
        <v>Biweekly PTR Update</v>
      </c>
      <c r="D119" s="249" t="str">
        <f>IF($A119="","",IFERROR(INDEX(Project_Register!$E$2:$E$501,MATCH(2,Project_Register!$AO$2:$AO$501,0)),""))</f>
        <v>ALL</v>
      </c>
      <c r="E119" s="249" t="str">
        <f>IF($A119="","",IFERROR(INDEX(Project_Register!$K$2:$K$501,MATCH(2,Project_Register!$AO$2:$AO$501,0)),""))</f>
        <v>Paul</v>
      </c>
      <c r="F119" s="249" t="str">
        <f>IF($A119="","",IFERROR(INDEX(Project_Register!$M$2:$M$501,MATCH(2,Project_Register!$AO$2:$AO$501,0)),""))</f>
        <v>High</v>
      </c>
      <c r="G119" s="249" t="str">
        <f>IF($A119="","",IFERROR(INDEX(Project_Register!$N$2:$N$501,MATCH(2,Project_Register!$AO$2:$AO$501,0)),""))</f>
        <v>Open</v>
      </c>
      <c r="H119" s="537">
        <f>IF($A119="","",IFERROR(INDEX(Project_Register!$P$2:$P$501,MATCH(2,Project_Register!$AO$2:$AO$501,0)),""))</f>
        <v>46219</v>
      </c>
      <c r="I119" s="537">
        <f>IF($A119="","",IFERROR(INDEX(Project_Register!$Q$2:$Q$501,MATCH(2,Project_Register!$AO$2:$AO$501,0)),""))</f>
        <v>0</v>
      </c>
      <c r="J119" s="249" t="str">
        <f>IF($A119="","",IFERROR(INDEX(Project_Register!$X$2:$X$501,MATCH(2,Project_Register!$AO$2:$AO$501,0)),""))</f>
        <v>Biweekly</v>
      </c>
      <c r="K119" s="249" t="str">
        <f>IF($A119="","",IFERROR(INDEX(Project_Register!$AA$2:$AA$501,MATCH(2,Project_Register!$AO$2:$AO$501,0)),""))</f>
        <v>Yes</v>
      </c>
      <c r="L119" s="249" t="str">
        <f>IF($A119="","",IFERROR(INDEX(Project_Register!$AE$2:$AE$501,MATCH(2,Project_Register!$AO$2:$AO$501,0)),""))</f>
        <v>Prepare current comments, dates, issues, and milestone status at least 24 hours before meeting.</v>
      </c>
    </row>
    <row r="120" spans="1:12" ht="38.25">
      <c r="A120" s="249" t="str">
        <f>IFERROR(INDEX(Project_Register!$A$2:$A$501,MATCH(3,Project_Register!$AO$2:$AO$501,0)),"")</f>
        <v>SCH-001</v>
      </c>
      <c r="B120" s="249" t="str">
        <f>IF($A120="","",IFERROR(INDEX(Project_Register!$B$2:$B$501,MATCH(3,Project_Register!$AO$2:$AO$501,0)),""))</f>
        <v>Schedule Item</v>
      </c>
      <c r="C120" s="249" t="str">
        <f>IF($A120="","",IFERROR(INDEX(Project_Register!$G$2:$G$501,MATCH(3,Project_Register!$AO$2:$AO$501,0)),""))</f>
        <v>Contractor Baseline Schedule</v>
      </c>
      <c r="D120" s="249" t="str">
        <f>IF($A120="","",IFERROR(INDEX(Project_Register!$E$2:$E$501,MATCH(3,Project_Register!$AO$2:$AO$501,0)),""))</f>
        <v>ALL</v>
      </c>
      <c r="E120" s="249" t="str">
        <f>IF($A120="","",IFERROR(INDEX(Project_Register!$K$2:$K$501,MATCH(3,Project_Register!$AO$2:$AO$501,0)),""))</f>
        <v>Paul</v>
      </c>
      <c r="F120" s="249" t="str">
        <f>IF($A120="","",IFERROR(INDEX(Project_Register!$M$2:$M$501,MATCH(3,Project_Register!$AO$2:$AO$501,0)),""))</f>
        <v>Critical</v>
      </c>
      <c r="G120" s="249" t="str">
        <f>IF($A120="","",IFERROR(INDEX(Project_Register!$N$2:$N$501,MATCH(3,Project_Register!$AO$2:$AO$501,0)),""))</f>
        <v>Waiting</v>
      </c>
      <c r="H120" s="537">
        <f>IF($A120="","",IFERROR(INDEX(Project_Register!$P$2:$P$501,MATCH(3,Project_Register!$AO$2:$AO$501,0)),""))</f>
        <v>46219</v>
      </c>
      <c r="I120" s="537">
        <f>IF($A120="","",IFERROR(INDEX(Project_Register!$Q$2:$Q$501,MATCH(3,Project_Register!$AO$2:$AO$501,0)),""))</f>
        <v>0</v>
      </c>
      <c r="J120" s="249" t="str">
        <f>IF($A120="","",IFERROR(INDEX(Project_Register!$X$2:$X$501,MATCH(3,Project_Register!$AO$2:$AO$501,0)),""))</f>
        <v>Biweekly</v>
      </c>
      <c r="K120" s="249" t="str">
        <f>IF($A120="","",IFERROR(INDEX(Project_Register!$AA$2:$AA$501,MATCH(3,Project_Register!$AO$2:$AO$501,0)),""))</f>
        <v>Yes</v>
      </c>
      <c r="L120" s="249" t="str">
        <f>IF($A120="","",IFERROR(INDEX(Project_Register!$AE$2:$AE$501,MATCH(3,Project_Register!$AO$2:$AO$501,0)),""))</f>
        <v>Obtain and review logic, shutdowns, relocations, submittals, procurement, testing, and commissioning dependencies.</v>
      </c>
    </row>
    <row r="121" spans="1:12" ht="25.5">
      <c r="A121" s="249" t="str">
        <f>IFERROR(INDEX(Project_Register!$A$2:$A$501,MATCH(4,Project_Register!$AO$2:$AO$501,0)),"")</f>
        <v>ACT-001</v>
      </c>
      <c r="B121" s="249" t="str">
        <f>IF($A121="","",IFERROR(INDEX(Project_Register!$B$2:$B$501,MATCH(4,Project_Register!$AO$2:$AO$501,0)),""))</f>
        <v>Action Item</v>
      </c>
      <c r="C121" s="249" t="str">
        <f>IF($A121="","",IFERROR(INDEX(Project_Register!$G$2:$G$501,MATCH(4,Project_Register!$AO$2:$AO$501,0)),""))</f>
        <v>Confirm COR Reporting Expectations</v>
      </c>
      <c r="D121" s="249" t="str">
        <f>IF($A121="","",IFERROR(INDEX(Project_Register!$E$2:$E$501,MATCH(4,Project_Register!$AO$2:$AO$501,0)),""))</f>
        <v>ALL</v>
      </c>
      <c r="E121" s="249" t="str">
        <f>IF($A121="","",IFERROR(INDEX(Project_Register!$K$2:$K$501,MATCH(4,Project_Register!$AO$2:$AO$501,0)),""))</f>
        <v>Paul</v>
      </c>
      <c r="F121" s="249" t="str">
        <f>IF($A121="","",IFERROR(INDEX(Project_Register!$M$2:$M$501,MATCH(4,Project_Register!$AO$2:$AO$501,0)),""))</f>
        <v>High</v>
      </c>
      <c r="G121" s="249" t="str">
        <f>IF($A121="","",IFERROR(INDEX(Project_Register!$N$2:$N$501,MATCH(4,Project_Register!$AO$2:$AO$501,0)),""))</f>
        <v>Open</v>
      </c>
      <c r="H121" s="537">
        <f>IF($A121="","",IFERROR(INDEX(Project_Register!$P$2:$P$501,MATCH(4,Project_Register!$AO$2:$AO$501,0)),""))</f>
        <v>46219</v>
      </c>
      <c r="I121" s="537">
        <f>IF($A121="","",IFERROR(INDEX(Project_Register!$Q$2:$Q$501,MATCH(4,Project_Register!$AO$2:$AO$501,0)),""))</f>
        <v>0</v>
      </c>
      <c r="J121" s="249" t="str">
        <f>IF($A121="","",IFERROR(INDEX(Project_Register!$X$2:$X$501,MATCH(4,Project_Register!$AO$2:$AO$501,0)),""))</f>
        <v>Weekly</v>
      </c>
      <c r="K121" s="249" t="str">
        <f>IF($A121="","",IFERROR(INDEX(Project_Register!$AA$2:$AA$501,MATCH(4,Project_Register!$AO$2:$AO$501,0)),""))</f>
        <v>Yes</v>
      </c>
      <c r="L121" s="249" t="str">
        <f>IF($A121="","",IFERROR(INDEX(Project_Register!$AE$2:$AE$501,MATCH(4,Project_Register!$AO$2:$AO$501,0)),""))</f>
        <v>Document agreed reporting workflow before first recurring submission.</v>
      </c>
    </row>
    <row r="122" spans="1:12" ht="25.5">
      <c r="A122" s="249" t="str">
        <f>IFERROR(INDEX(Project_Register!$A$2:$A$501,MATCH(5,Project_Register!$AO$2:$AO$501,0)),"")</f>
        <v>DQ-001</v>
      </c>
      <c r="B122" s="249" t="str">
        <f>IF($A122="","",IFERROR(INDEX(Project_Register!$B$2:$B$501,MATCH(5,Project_Register!$AO$2:$AO$501,0)),""))</f>
        <v>Design Question</v>
      </c>
      <c r="C122" s="249" t="str">
        <f>IF($A122="","",IFERROR(INDEX(Project_Register!$G$2:$G$501,MATCH(5,Project_Register!$AO$2:$AO$501,0)),""))</f>
        <v>Consolidate Building 61 A/E Questions</v>
      </c>
      <c r="D122" s="249" t="str">
        <f>IF($A122="","",IFERROR(INDEX(Project_Register!$E$2:$E$501,MATCH(5,Project_Register!$AO$2:$AO$501,0)),""))</f>
        <v>61</v>
      </c>
      <c r="E122" s="249" t="str">
        <f>IF($A122="","",IFERROR(INDEX(Project_Register!$K$2:$K$501,MATCH(5,Project_Register!$AO$2:$AO$501,0)),""))</f>
        <v>Paul</v>
      </c>
      <c r="F122" s="249" t="str">
        <f>IF($A122="","",IFERROR(INDEX(Project_Register!$M$2:$M$501,MATCH(5,Project_Register!$AO$2:$AO$501,0)),""))</f>
        <v>High</v>
      </c>
      <c r="G122" s="249" t="str">
        <f>IF($A122="","",IFERROR(INDEX(Project_Register!$N$2:$N$501,MATCH(5,Project_Register!$AO$2:$AO$501,0)),""))</f>
        <v>In Progress</v>
      </c>
      <c r="H122" s="537">
        <f>IF($A122="","",IFERROR(INDEX(Project_Register!$P$2:$P$501,MATCH(5,Project_Register!$AO$2:$AO$501,0)),""))</f>
        <v>46217</v>
      </c>
      <c r="I122" s="537">
        <f>IF($A122="","",IFERROR(INDEX(Project_Register!$Q$2:$Q$501,MATCH(5,Project_Register!$AO$2:$AO$501,0)),""))</f>
        <v>0</v>
      </c>
      <c r="J122" s="249" t="str">
        <f>IF($A122="","",IFERROR(INDEX(Project_Register!$X$2:$X$501,MATCH(5,Project_Register!$AO$2:$AO$501,0)),""))</f>
        <v>Weekly</v>
      </c>
      <c r="K122" s="249" t="str">
        <f>IF($A122="","",IFERROR(INDEX(Project_Register!$AA$2:$AA$501,MATCH(5,Project_Register!$AO$2:$AO$501,0)),""))</f>
        <v>Yes</v>
      </c>
      <c r="L122" s="249" t="str">
        <f>IF($A122="","",IFERROR(INDEX(Project_Register!$AE$2:$AE$501,MATCH(5,Project_Register!$AO$2:$AO$501,0)),""))</f>
        <v>Issue coordinated question package through COR.</v>
      </c>
    </row>
    <row r="123" spans="1:12" ht="25.5">
      <c r="A123" s="249" t="str">
        <f>IFERROR(INDEX(Project_Register!$A$2:$A$501,MATCH(6,Project_Register!$AO$2:$AO$501,0)),"")</f>
        <v>ACT-002</v>
      </c>
      <c r="B123" s="249" t="str">
        <f>IF($A123="","",IFERROR(INDEX(Project_Register!$B$2:$B$501,MATCH(6,Project_Register!$AO$2:$AO$501,0)),""))</f>
        <v>Action Item</v>
      </c>
      <c r="C123" s="249" t="str">
        <f>IF($A123="","",IFERROR(INDEX(Project_Register!$G$2:$G$501,MATCH(6,Project_Register!$AO$2:$AO$501,0)),""))</f>
        <v>Occupied Room Relocation Planning</v>
      </c>
      <c r="D123" s="249" t="str">
        <f>IF($A123="","",IFERROR(INDEX(Project_Register!$E$2:$E$501,MATCH(6,Project_Register!$AO$2:$AO$501,0)),""))</f>
        <v>ALL</v>
      </c>
      <c r="E123" s="249" t="str">
        <f>IF($A123="","",IFERROR(INDEX(Project_Register!$K$2:$K$501,MATCH(6,Project_Register!$AO$2:$AO$501,0)),""))</f>
        <v>Aisha</v>
      </c>
      <c r="F123" s="249" t="str">
        <f>IF($A123="","",IFERROR(INDEX(Project_Register!$M$2:$M$501,MATCH(6,Project_Register!$AO$2:$AO$501,0)),""))</f>
        <v>High</v>
      </c>
      <c r="G123" s="249" t="str">
        <f>IF($A123="","",IFERROR(INDEX(Project_Register!$N$2:$N$501,MATCH(6,Project_Register!$AO$2:$AO$501,0)),""))</f>
        <v>Open</v>
      </c>
      <c r="H123" s="537">
        <f>IF($A123="","",IFERROR(INDEX(Project_Register!$P$2:$P$501,MATCH(6,Project_Register!$AO$2:$AO$501,0)),""))</f>
        <v>46213</v>
      </c>
      <c r="I123" s="537">
        <f>IF($A123="","",IFERROR(INDEX(Project_Register!$Q$2:$Q$501,MATCH(6,Project_Register!$AO$2:$AO$501,0)),""))</f>
        <v>0</v>
      </c>
      <c r="J123" s="249" t="str">
        <f>IF($A123="","",IFERROR(INDEX(Project_Register!$X$2:$X$501,MATCH(6,Project_Register!$AO$2:$AO$501,0)),""))</f>
        <v>Weekly</v>
      </c>
      <c r="K123" s="249" t="str">
        <f>IF($A123="","",IFERROR(INDEX(Project_Register!$AA$2:$AA$501,MATCH(6,Project_Register!$AO$2:$AO$501,0)),""))</f>
        <v>Yes</v>
      </c>
      <c r="L123" s="249" t="str">
        <f>IF($A123="","",IFERROR(INDEX(Project_Register!$AE$2:$AE$501,MATCH(6,Project_Register!$AO$2:$AO$501,0)),""))</f>
        <v>Coordinate stakeholders before contractor sequencing is accepted.</v>
      </c>
    </row>
    <row r="124" spans="1:12" ht="38.25">
      <c r="A124" s="249" t="str">
        <f>IFERROR(INDEX(Project_Register!$A$2:$A$501,MATCH(7,Project_Register!$AO$2:$AO$501,0)),"")</f>
        <v>DEL-003</v>
      </c>
      <c r="B124" s="249" t="str">
        <f>IF($A124="","",IFERROR(INDEX(Project_Register!$B$2:$B$501,MATCH(7,Project_Register!$AO$2:$AO$501,0)),""))</f>
        <v>Pay Application</v>
      </c>
      <c r="C124" s="249" t="str">
        <f>IF($A124="","",IFERROR(INDEX(Project_Register!$G$2:$G$501,MATCH(7,Project_Register!$AO$2:$AO$501,0)),""))</f>
        <v>GC Pay Application Review</v>
      </c>
      <c r="D124" s="249" t="str">
        <f>IF($A124="","",IFERROR(INDEX(Project_Register!$E$2:$E$501,MATCH(7,Project_Register!$AO$2:$AO$501,0)),""))</f>
        <v>ALL</v>
      </c>
      <c r="E124" s="249" t="str">
        <f>IF($A124="","",IFERROR(INDEX(Project_Register!$K$2:$K$501,MATCH(7,Project_Register!$AO$2:$AO$501,0)),""))</f>
        <v>Paul</v>
      </c>
      <c r="F124" s="249" t="str">
        <f>IF($A124="","",IFERROR(INDEX(Project_Register!$M$2:$M$501,MATCH(7,Project_Register!$AO$2:$AO$501,0)),""))</f>
        <v>High</v>
      </c>
      <c r="G124" s="249" t="str">
        <f>IF($A124="","",IFERROR(INDEX(Project_Register!$N$2:$N$501,MATCH(7,Project_Register!$AO$2:$AO$501,0)),""))</f>
        <v>Not Started</v>
      </c>
      <c r="H124" s="537">
        <f>IF($A124="","",IFERROR(INDEX(Project_Register!$P$2:$P$501,MATCH(7,Project_Register!$AO$2:$AO$501,0)),""))</f>
        <v>46219</v>
      </c>
      <c r="I124" s="537">
        <f>IF($A124="","",IFERROR(INDEX(Project_Register!$Q$2:$Q$501,MATCH(7,Project_Register!$AO$2:$AO$501,0)),""))</f>
        <v>0</v>
      </c>
      <c r="J124" s="249" t="str">
        <f>IF($A124="","",IFERROR(INDEX(Project_Register!$X$2:$X$501,MATCH(7,Project_Register!$AO$2:$AO$501,0)),""))</f>
        <v>Monthly</v>
      </c>
      <c r="K124" s="249" t="str">
        <f>IF($A124="","",IFERROR(INDEX(Project_Register!$AA$2:$AA$501,MATCH(7,Project_Register!$AO$2:$AO$501,0)),""))</f>
        <v>No</v>
      </c>
      <c r="L124" s="249" t="str">
        <f>IF($A124="","",IFERROR(INDEX(Project_Register!$AE$2:$AE$501,MATCH(7,Project_Register!$AO$2:$AO$501,0)),""))</f>
        <v>Verify work complete versus work billed using schedule, assessments, field records, and deficiencies.</v>
      </c>
    </row>
    <row r="125" spans="1:12" ht="38.25">
      <c r="A125" s="249" t="str">
        <f>IFERROR(INDEX(Project_Register!$A$2:$A$501,MATCH(8,Project_Register!$AO$2:$AO$501,0)),"")</f>
        <v>DEL-004</v>
      </c>
      <c r="B125" s="249" t="str">
        <f>IF($A125="","",IFERROR(INDEX(Project_Register!$B$2:$B$501,MATCH(8,Project_Register!$AO$2:$AO$501,0)),""))</f>
        <v>Commissioning</v>
      </c>
      <c r="C125" s="249" t="str">
        <f>IF($A125="","",IFERROR(INDEX(Project_Register!$G$2:$G$501,MATCH(8,Project_Register!$AO$2:$AO$501,0)),""))</f>
        <v>Commissioning Responsibility Matrix</v>
      </c>
      <c r="D125" s="249" t="str">
        <f>IF($A125="","",IFERROR(INDEX(Project_Register!$E$2:$E$501,MATCH(8,Project_Register!$AO$2:$AO$501,0)),""))</f>
        <v>ALL</v>
      </c>
      <c r="E125" s="249" t="str">
        <f>IF($A125="","",IFERROR(INDEX(Project_Register!$K$2:$K$501,MATCH(8,Project_Register!$AO$2:$AO$501,0)),""))</f>
        <v>Aisha</v>
      </c>
      <c r="F125" s="249" t="str">
        <f>IF($A125="","",IFERROR(INDEX(Project_Register!$M$2:$M$501,MATCH(8,Project_Register!$AO$2:$AO$501,0)),""))</f>
        <v>High</v>
      </c>
      <c r="G125" s="249" t="str">
        <f>IF($A125="","",IFERROR(INDEX(Project_Register!$N$2:$N$501,MATCH(8,Project_Register!$AO$2:$AO$501,0)),""))</f>
        <v>Not Started</v>
      </c>
      <c r="H125" s="537">
        <f>IF($A125="","",IFERROR(INDEX(Project_Register!$P$2:$P$501,MATCH(8,Project_Register!$AO$2:$AO$501,0)),""))</f>
        <v>46219</v>
      </c>
      <c r="I125" s="537">
        <f>IF($A125="","",IFERROR(INDEX(Project_Register!$Q$2:$Q$501,MATCH(8,Project_Register!$AO$2:$AO$501,0)),""))</f>
        <v>0</v>
      </c>
      <c r="J125" s="249" t="str">
        <f>IF($A125="","",IFERROR(INDEX(Project_Register!$X$2:$X$501,MATCH(8,Project_Register!$AO$2:$AO$501,0)),""))</f>
        <v>Monthly</v>
      </c>
      <c r="K125" s="249" t="str">
        <f>IF($A125="","",IFERROR(INDEX(Project_Register!$AA$2:$AA$501,MATCH(8,Project_Register!$AO$2:$AO$501,0)),""))</f>
        <v>Yes</v>
      </c>
      <c r="L125" s="249" t="str">
        <f>IF($A125="","",IFERROR(INDEX(Project_Register!$AE$2:$AE$501,MATCH(8,Project_Register!$AO$2:$AO$501,0)),""))</f>
        <v>Establish prerequisites, testing, documentation, training, and acceptance responsibilities.</v>
      </c>
    </row>
    <row r="126" spans="1:12" ht="19.899999999999999" customHeight="1">
      <c r="A126" s="335" t="str">
        <f>IF('CM_PM Operations'!L249&lt;&gt;"Yes","",'CM_PM Operations'!A249)</f>
        <v/>
      </c>
      <c r="B126" s="335" t="str">
        <f>IF($A126="","",'CM_PM Operations'!B249)</f>
        <v/>
      </c>
      <c r="C126" s="335" t="str">
        <f>IF($A126="","",'CM_PM Operations'!C249)</f>
        <v/>
      </c>
      <c r="D126" s="335" t="str">
        <f>IF($A126="","",'CM_PM Operations'!D249)</f>
        <v/>
      </c>
      <c r="E126" s="335" t="str">
        <f>IF($A126="","",'CM_PM Operations'!E249)</f>
        <v/>
      </c>
      <c r="F126" s="335" t="str">
        <f>IF($A126="","",'CM_PM Operations'!F249)</f>
        <v/>
      </c>
      <c r="G126" s="335" t="str">
        <f>IF($A126="","",'CM_PM Operations'!G249)</f>
        <v/>
      </c>
      <c r="H126" s="525" t="str">
        <f>IF($A126="","",'CM_PM Operations'!H249)</f>
        <v/>
      </c>
      <c r="I126" s="525" t="str">
        <f>IF($A126="","",IFERROR('CM_PM Operations'!I249,""))</f>
        <v/>
      </c>
      <c r="J126" s="335" t="str">
        <f>IF($A126="","",'CM_PM Operations'!K249)</f>
        <v/>
      </c>
      <c r="K126" s="335" t="str">
        <f>IF($A126="","",'CM_PM Operations'!J249)</f>
        <v/>
      </c>
      <c r="L126" s="335" t="str">
        <f>IF($A126="","",'CM_PM Operations'!N249)</f>
        <v/>
      </c>
    </row>
    <row r="127" spans="1:12" ht="19.899999999999999" customHeight="1">
      <c r="A127" s="335" t="str">
        <f>IF('CM_PM Operations'!L250&lt;&gt;"Yes","",'CM_PM Operations'!A250)</f>
        <v/>
      </c>
      <c r="B127" s="335" t="str">
        <f>IF($A127="","",'CM_PM Operations'!B250)</f>
        <v/>
      </c>
      <c r="C127" s="335" t="str">
        <f>IF($A127="","",'CM_PM Operations'!C250)</f>
        <v/>
      </c>
      <c r="D127" s="335" t="str">
        <f>IF($A127="","",'CM_PM Operations'!D250)</f>
        <v/>
      </c>
      <c r="E127" s="335" t="str">
        <f>IF($A127="","",'CM_PM Operations'!E250)</f>
        <v/>
      </c>
      <c r="F127" s="335" t="str">
        <f>IF($A127="","",'CM_PM Operations'!F250)</f>
        <v/>
      </c>
      <c r="G127" s="335" t="str">
        <f>IF($A127="","",'CM_PM Operations'!G250)</f>
        <v/>
      </c>
      <c r="H127" s="525" t="str">
        <f>IF($A127="","",'CM_PM Operations'!H250)</f>
        <v/>
      </c>
      <c r="I127" s="525" t="str">
        <f>IF($A127="","",IFERROR('CM_PM Operations'!I250,""))</f>
        <v/>
      </c>
      <c r="J127" s="335" t="str">
        <f>IF($A127="","",'CM_PM Operations'!K250)</f>
        <v/>
      </c>
      <c r="K127" s="335" t="str">
        <f>IF($A127="","",'CM_PM Operations'!J250)</f>
        <v/>
      </c>
      <c r="L127" s="335" t="str">
        <f>IF($A127="","",'CM_PM Operations'!N250)</f>
        <v/>
      </c>
    </row>
    <row r="128" spans="1:12" ht="19.899999999999999" customHeight="1">
      <c r="A128" s="910" t="str">
        <f>IF('CM_PM Operations'!L251&lt;&gt;"Yes","",'CM_PM Operations'!A251)</f>
        <v/>
      </c>
      <c r="B128" s="910" t="str">
        <f>IF($A128="","",'CM_PM Operations'!B251)</f>
        <v/>
      </c>
      <c r="C128" s="910" t="str">
        <f>IF($A128="","",'CM_PM Operations'!C251)</f>
        <v/>
      </c>
      <c r="D128" s="910" t="str">
        <f>IF($A128="","",'CM_PM Operations'!D251)</f>
        <v/>
      </c>
      <c r="E128" s="910" t="str">
        <f>IF($A128="","",'CM_PM Operations'!E251)</f>
        <v/>
      </c>
      <c r="F128" s="910" t="str">
        <f>IF($A128="","",'CM_PM Operations'!F251)</f>
        <v/>
      </c>
      <c r="G128" s="910" t="str">
        <f>IF($A128="","",'CM_PM Operations'!G251)</f>
        <v/>
      </c>
      <c r="H128" s="911" t="str">
        <f>IF($A128="","",'CM_PM Operations'!H251)</f>
        <v/>
      </c>
      <c r="I128" s="911" t="str">
        <f>IF($A128="","",IFERROR('CM_PM Operations'!I251,""))</f>
        <v/>
      </c>
      <c r="J128" s="910" t="str">
        <f>IF($A128="","",'CM_PM Operations'!K251)</f>
        <v/>
      </c>
      <c r="K128" s="910" t="str">
        <f>IF($A128="","",'CM_PM Operations'!J251)</f>
        <v/>
      </c>
      <c r="L128" s="910" t="str">
        <f>IF($A128="","",'CM_PM Operations'!N251)</f>
        <v/>
      </c>
    </row>
    <row r="129" spans="1:12" ht="19.899999999999999" customHeight="1">
      <c r="A129" s="913" t="str">
        <f>IF('CM_PM Operations'!L252&lt;&gt;"Yes","",'CM_PM Operations'!A252)</f>
        <v/>
      </c>
      <c r="B129" s="913" t="str">
        <f>IF($A129="","",'CM_PM Operations'!B252)</f>
        <v/>
      </c>
      <c r="C129" s="913" t="str">
        <f>IF($A129="","",'CM_PM Operations'!C252)</f>
        <v/>
      </c>
      <c r="D129" s="913" t="str">
        <f>IF($A129="","",'CM_PM Operations'!D252)</f>
        <v/>
      </c>
      <c r="E129" s="913" t="str">
        <f>IF($A129="","",'CM_PM Operations'!E252)</f>
        <v/>
      </c>
      <c r="F129" s="913" t="str">
        <f>IF($A129="","",'CM_PM Operations'!F252)</f>
        <v/>
      </c>
      <c r="G129" s="913" t="str">
        <f>IF($A129="","",'CM_PM Operations'!G252)</f>
        <v/>
      </c>
      <c r="H129" s="918" t="str">
        <f>IF($A129="","",'CM_PM Operations'!H252)</f>
        <v/>
      </c>
      <c r="I129" s="918" t="str">
        <f>IF($A129="","",IFERROR('CM_PM Operations'!I252,""))</f>
        <v/>
      </c>
      <c r="J129" s="913" t="str">
        <f>IF($A129="","",'CM_PM Operations'!K252)</f>
        <v/>
      </c>
      <c r="K129" s="913" t="str">
        <f>IF($A129="","",'CM_PM Operations'!J252)</f>
        <v/>
      </c>
      <c r="L129" s="913" t="str">
        <f>IF($A129="","",'CM_PM Operations'!N252)</f>
        <v/>
      </c>
    </row>
    <row r="130" spans="1:12" ht="19.899999999999999" customHeight="1">
      <c r="A130" s="913"/>
      <c r="B130" s="913"/>
      <c r="C130" s="913"/>
      <c r="D130" s="913"/>
      <c r="E130" s="913"/>
      <c r="F130" s="913"/>
      <c r="G130" s="913"/>
      <c r="H130" s="913"/>
      <c r="I130" s="913"/>
      <c r="J130" s="913"/>
      <c r="K130" s="913"/>
      <c r="L130" s="913"/>
    </row>
    <row r="131" spans="1:12" ht="19.899999999999999" customHeight="1">
      <c r="A131" s="913"/>
      <c r="B131" s="913"/>
      <c r="C131" s="913"/>
      <c r="D131" s="913"/>
      <c r="E131" s="913"/>
      <c r="F131" s="913"/>
      <c r="G131" s="913"/>
      <c r="H131" s="913"/>
      <c r="I131" s="913"/>
      <c r="J131" s="913"/>
      <c r="K131" s="913"/>
      <c r="L131" s="913"/>
    </row>
    <row r="132" spans="1:12" ht="19.899999999999999" customHeight="1">
      <c r="A132" s="914" t="s">
        <v>5824</v>
      </c>
      <c r="B132" s="914"/>
      <c r="C132" s="914"/>
      <c r="D132" s="914"/>
      <c r="E132" s="914"/>
      <c r="F132" s="914"/>
      <c r="G132" s="914"/>
      <c r="H132" s="914"/>
      <c r="I132" s="914"/>
      <c r="J132" s="914"/>
      <c r="K132" s="914"/>
      <c r="L132" s="914"/>
    </row>
    <row r="133" spans="1:12" ht="19.899999999999999" customHeight="1">
      <c r="A133" s="530" t="s">
        <v>5762</v>
      </c>
      <c r="B133" s="530" t="s">
        <v>286</v>
      </c>
      <c r="C133" s="530" t="s">
        <v>142</v>
      </c>
      <c r="D133" s="530" t="s">
        <v>5802</v>
      </c>
      <c r="E133" s="530" t="s">
        <v>216</v>
      </c>
      <c r="F133" s="530" t="s">
        <v>77</v>
      </c>
      <c r="G133" s="335"/>
      <c r="H133" s="335"/>
      <c r="I133" s="335"/>
      <c r="J133" s="335"/>
      <c r="K133" s="335"/>
      <c r="L133" s="335"/>
    </row>
    <row r="134" spans="1:12" ht="19.899999999999999" customHeight="1">
      <c r="A134" s="335" t="str">
        <f>'CM_PM Operations'!A324</f>
        <v/>
      </c>
      <c r="B134" s="335" t="str">
        <f>'CM_PM Operations'!B324</f>
        <v/>
      </c>
      <c r="C134" s="335" t="str">
        <f>'CM_PM Operations'!C324</f>
        <v/>
      </c>
      <c r="D134" s="335" t="str">
        <f>'CM_PM Operations'!D324</f>
        <v/>
      </c>
      <c r="E134" s="335" t="str">
        <f>'CM_PM Operations'!E324</f>
        <v/>
      </c>
      <c r="F134" s="335" t="str">
        <f>'CM_PM Operations'!F324</f>
        <v/>
      </c>
      <c r="G134" s="335"/>
      <c r="H134" s="335"/>
      <c r="I134" s="335"/>
      <c r="J134" s="335"/>
      <c r="K134" s="335"/>
      <c r="L134" s="335"/>
    </row>
    <row r="135" spans="1:12" ht="19.899999999999999" customHeight="1">
      <c r="A135" s="335" t="str">
        <f>'CM_PM Operations'!A325</f>
        <v>DEL-002</v>
      </c>
      <c r="B135" s="335" t="str">
        <f>'CM_PM Operations'!B325</f>
        <v>Biweekly PTR Update</v>
      </c>
      <c r="C135" s="335" t="str">
        <f>'CM_PM Operations'!C325</f>
        <v>ALL</v>
      </c>
      <c r="D135" s="335" t="str">
        <f>'CM_PM Operations'!D325</f>
        <v>Confirm PTR ownership and access.</v>
      </c>
      <c r="E135" s="335" t="str">
        <f>'CM_PM Operations'!E325</f>
        <v>Paul</v>
      </c>
      <c r="F135" s="335" t="str">
        <f>'CM_PM Operations'!F325</f>
        <v>Open</v>
      </c>
      <c r="G135" s="335"/>
      <c r="H135" s="335"/>
      <c r="I135" s="335"/>
      <c r="J135" s="335"/>
      <c r="K135" s="335"/>
      <c r="L135" s="335"/>
    </row>
    <row r="136" spans="1:12" ht="19.899999999999999" customHeight="1">
      <c r="A136" s="192" t="str">
        <f>'CM_PM Operations'!A326</f>
        <v>SCH-001</v>
      </c>
      <c r="B136" s="192" t="str">
        <f>'CM_PM Operations'!B326</f>
        <v>Contractor Baseline Schedule</v>
      </c>
      <c r="C136" s="192" t="str">
        <f>'CM_PM Operations'!C326</f>
        <v>ALL</v>
      </c>
      <c r="D136" s="192" t="str">
        <f>'CM_PM Operations'!D326</f>
        <v>Contractor schedule has not been received.</v>
      </c>
      <c r="E136" s="192" t="str">
        <f>'CM_PM Operations'!E326</f>
        <v>Paul</v>
      </c>
      <c r="F136" s="192" t="str">
        <f>'CM_PM Operations'!F326</f>
        <v>Waiting</v>
      </c>
    </row>
    <row r="137" spans="1:12" ht="19.899999999999999" customHeight="1">
      <c r="A137" s="192" t="str">
        <f>'CM_PM Operations'!A327</f>
        <v>ACT-001</v>
      </c>
      <c r="B137" s="192" t="str">
        <f>'CM_PM Operations'!B327</f>
        <v>Confirm COR Reporting Expectations</v>
      </c>
      <c r="C137" s="192" t="str">
        <f>'CM_PM Operations'!C327</f>
        <v>ALL</v>
      </c>
      <c r="D137" s="192" t="str">
        <f>'CM_PM Operations'!D327</f>
        <v>Confirm templates, routing, due dates, minutes, PTR, and storage.</v>
      </c>
      <c r="E137" s="192" t="str">
        <f>'CM_PM Operations'!E327</f>
        <v>Paul</v>
      </c>
      <c r="F137" s="192" t="str">
        <f>'CM_PM Operations'!F327</f>
        <v>Open</v>
      </c>
    </row>
    <row r="138" spans="1:12" ht="19.899999999999999" customHeight="1">
      <c r="A138" s="192" t="str">
        <f>'CM_PM Operations'!A328</f>
        <v>DQ-001</v>
      </c>
      <c r="B138" s="192" t="str">
        <f>'CM_PM Operations'!B328</f>
        <v>Consolidate Building 61 A/E Questions</v>
      </c>
      <c r="C138" s="192" t="str">
        <f>'CM_PM Operations'!C328</f>
        <v>61</v>
      </c>
      <c r="D138" s="192" t="str">
        <f>'CM_PM Operations'!D328</f>
        <v>A/E clarification required.</v>
      </c>
      <c r="E138" s="192" t="str">
        <f>'CM_PM Operations'!E328</f>
        <v>Paul</v>
      </c>
      <c r="F138" s="192" t="str">
        <f>'CM_PM Operations'!F328</f>
        <v>In Progress</v>
      </c>
    </row>
    <row r="139" spans="1:12" ht="19.899999999999999" customHeight="1">
      <c r="A139" s="192" t="str">
        <f>'CM_PM Operations'!A329</f>
        <v>ACT-002</v>
      </c>
      <c r="B139" s="192" t="str">
        <f>'CM_PM Operations'!B329</f>
        <v>Occupied Room Relocation Planning</v>
      </c>
      <c r="C139" s="192" t="str">
        <f>'CM_PM Operations'!C329</f>
        <v>ALL</v>
      </c>
      <c r="D139" s="192" t="str">
        <f>'CM_PM Operations'!D329</f>
        <v>Hospital direction needed for relocation approach.</v>
      </c>
      <c r="E139" s="192" t="str">
        <f>'CM_PM Operations'!E329</f>
        <v>Aisha</v>
      </c>
      <c r="F139" s="192" t="str">
        <f>'CM_PM Operations'!F329</f>
        <v>Open</v>
      </c>
    </row>
    <row r="140" spans="1:12" ht="19.899999999999999" customHeight="1">
      <c r="A140" s="192" t="str">
        <f>'CM_PM Operations'!A330</f>
        <v/>
      </c>
      <c r="B140" s="192" t="str">
        <f>'CM_PM Operations'!B330</f>
        <v/>
      </c>
      <c r="C140" s="192" t="str">
        <f>'CM_PM Operations'!C330</f>
        <v/>
      </c>
      <c r="D140" s="192" t="str">
        <f>'CM_PM Operations'!D330</f>
        <v/>
      </c>
      <c r="E140" s="192" t="str">
        <f>'CM_PM Operations'!E330</f>
        <v/>
      </c>
      <c r="F140" s="192" t="str">
        <f>'CM_PM Operations'!F330</f>
        <v/>
      </c>
    </row>
    <row r="141" spans="1:12" ht="19.899999999999999" customHeight="1">
      <c r="A141" s="192" t="str">
        <f>'CM_PM Operations'!A331</f>
        <v>DEL-004</v>
      </c>
      <c r="B141" s="192" t="str">
        <f>'CM_PM Operations'!B331</f>
        <v>Commissioning Responsibility Matrix</v>
      </c>
      <c r="C141" s="192" t="str">
        <f>'CM_PM Operations'!C331</f>
        <v>ALL</v>
      </c>
      <c r="D141" s="192" t="str">
        <f>'CM_PM Operations'!D331</f>
        <v>Confirm roles after kickoff.</v>
      </c>
      <c r="E141" s="192" t="str">
        <f>'CM_PM Operations'!E331</f>
        <v>Aisha</v>
      </c>
      <c r="F141" s="192" t="str">
        <f>'CM_PM Operations'!F331</f>
        <v>Not Started</v>
      </c>
    </row>
    <row r="142" spans="1:12" ht="19.899999999999999" customHeight="1"/>
    <row r="143" spans="1:12" ht="19.899999999999999" customHeight="1"/>
    <row r="144" spans="1:12" ht="19.899999999999999" customHeight="1">
      <c r="A144" s="913"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913"/>
      <c r="C144" s="913"/>
      <c r="D144" s="913"/>
      <c r="E144" s="913"/>
      <c r="F144" s="913"/>
      <c r="G144" s="913"/>
      <c r="H144" s="913"/>
      <c r="I144" s="913"/>
      <c r="J144" s="913"/>
      <c r="K144" s="913"/>
      <c r="L144" s="913"/>
    </row>
    <row r="145" spans="1:12" ht="19.899999999999999" customHeight="1">
      <c r="A145" s="913"/>
      <c r="B145" s="913"/>
      <c r="C145" s="913"/>
      <c r="D145" s="913"/>
      <c r="E145" s="913"/>
      <c r="F145" s="913"/>
      <c r="G145" s="913"/>
      <c r="H145" s="913"/>
      <c r="I145" s="913"/>
      <c r="J145" s="913"/>
      <c r="K145" s="913"/>
      <c r="L145" s="913"/>
    </row>
    <row r="146" spans="1:12" ht="19.899999999999999" customHeight="1">
      <c r="A146" s="913"/>
      <c r="B146" s="913"/>
      <c r="C146" s="913"/>
      <c r="D146" s="913"/>
      <c r="E146" s="913"/>
      <c r="F146" s="913"/>
      <c r="G146" s="913"/>
      <c r="H146" s="913"/>
      <c r="I146" s="913"/>
      <c r="J146" s="913"/>
      <c r="K146" s="913"/>
      <c r="L146" s="913"/>
    </row>
    <row r="147" spans="1:12" ht="19.899999999999999" customHeight="1">
      <c r="A147" s="913"/>
      <c r="B147" s="913"/>
      <c r="C147" s="913"/>
      <c r="D147" s="913"/>
      <c r="E147" s="913"/>
      <c r="F147" s="913"/>
      <c r="G147" s="913"/>
      <c r="H147" s="913"/>
      <c r="I147" s="913"/>
      <c r="J147" s="913"/>
      <c r="K147" s="913"/>
      <c r="L147" s="913"/>
    </row>
  </sheetData>
  <mergeCells count="18">
    <mergeCell ref="A128:L128"/>
    <mergeCell ref="A129:L131"/>
    <mergeCell ref="A132:L132"/>
    <mergeCell ref="A144:L147"/>
    <mergeCell ref="A82:L82"/>
    <mergeCell ref="A84:L84"/>
    <mergeCell ref="A98:L98"/>
    <mergeCell ref="A100:L100"/>
    <mergeCell ref="A114:L114"/>
    <mergeCell ref="A116:L116"/>
    <mergeCell ref="A64:L66"/>
    <mergeCell ref="A68:L68"/>
    <mergeCell ref="A1:L2"/>
    <mergeCell ref="A14:L14"/>
    <mergeCell ref="A15:L18"/>
    <mergeCell ref="A20:L20"/>
    <mergeCell ref="A36:L36"/>
    <mergeCell ref="A52:L5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42C-EDC4-47AB-81B4-8F0112025A3B}">
  <dimension ref="A1:AQ505"/>
  <sheetViews>
    <sheetView topLeftCell="A4" workbookViewId="0">
      <selection activeCell="D26" sqref="D26"/>
    </sheetView>
  </sheetViews>
  <sheetFormatPr defaultColWidth="8.85546875" defaultRowHeight="12.75"/>
  <cols>
    <col min="1" max="1" width="12" style="192" customWidth="1"/>
    <col min="2" max="2" width="18" style="192" customWidth="1"/>
    <col min="3" max="3" width="16" style="192" customWidth="1"/>
    <col min="4" max="4" width="20" style="192" customWidth="1"/>
    <col min="5" max="5" width="11" style="192" customWidth="1"/>
    <col min="6" max="6" width="15" style="192" customWidth="1"/>
    <col min="7" max="7" width="28" style="192" customWidth="1"/>
    <col min="8" max="8" width="38" style="192" customWidth="1"/>
    <col min="9" max="9" width="18" style="192" customWidth="1"/>
    <col min="10" max="10" width="16" style="192" customWidth="1"/>
    <col min="11" max="12" width="14" style="192" customWidth="1"/>
    <col min="13" max="13" width="11" style="192" customWidth="1"/>
    <col min="14" max="14" width="13" style="192" customWidth="1"/>
    <col min="15" max="15" width="14" style="192" customWidth="1"/>
    <col min="16" max="18" width="12" style="192" customWidth="1"/>
    <col min="19" max="20" width="10" style="192" customWidth="1"/>
    <col min="21" max="21" width="14" style="192" customWidth="1"/>
    <col min="22" max="22" width="12" style="192" customWidth="1"/>
    <col min="23" max="23" width="16" style="192" customWidth="1"/>
    <col min="24" max="24" width="13" style="192" customWidth="1"/>
    <col min="25" max="25" width="26" style="192" customWidth="1"/>
    <col min="26" max="26" width="16" style="192" customWidth="1"/>
    <col min="27" max="28" width="17" style="192" customWidth="1"/>
    <col min="29" max="29" width="15" style="192" customWidth="1"/>
    <col min="30" max="30" width="34" style="192" customWidth="1"/>
    <col min="31" max="31" width="38" style="192" customWidth="1"/>
    <col min="32" max="32" width="20" style="192" customWidth="1"/>
    <col min="33" max="33" width="18" style="192" customWidth="1"/>
    <col min="34" max="34" width="20" style="192" customWidth="1"/>
    <col min="35" max="36" width="17" style="192" customWidth="1"/>
    <col min="37" max="37" width="18" style="192" customWidth="1"/>
    <col min="38" max="38" width="25" style="192" customWidth="1"/>
    <col min="39" max="39" width="30" style="192" customWidth="1"/>
    <col min="40" max="40" width="13" style="192" customWidth="1"/>
    <col min="41" max="41" width="11" style="192" customWidth="1"/>
    <col min="42" max="43" width="13" style="192" customWidth="1"/>
    <col min="44" max="16384" width="8.85546875" style="192"/>
  </cols>
  <sheetData>
    <row r="1" spans="1:43">
      <c r="A1" s="921" t="s">
        <v>5950</v>
      </c>
      <c r="B1" s="921"/>
      <c r="C1" s="921"/>
      <c r="D1" s="921"/>
      <c r="E1" s="921"/>
      <c r="F1" s="921"/>
      <c r="G1" s="921"/>
      <c r="H1" s="921"/>
      <c r="I1" s="921"/>
      <c r="J1" s="921"/>
      <c r="K1" s="921"/>
      <c r="L1" s="921"/>
      <c r="M1" s="921"/>
      <c r="N1" s="921"/>
      <c r="O1" s="921"/>
      <c r="P1" s="921"/>
      <c r="Q1" s="921"/>
      <c r="R1" s="921"/>
      <c r="S1" s="921"/>
      <c r="T1" s="921"/>
      <c r="U1" s="921"/>
      <c r="V1" s="921"/>
      <c r="W1" s="921"/>
      <c r="X1" s="921"/>
      <c r="Y1" s="921"/>
      <c r="Z1" s="921"/>
      <c r="AA1" s="921"/>
      <c r="AB1" s="921"/>
      <c r="AC1" s="921"/>
      <c r="AD1" s="921"/>
      <c r="AE1" s="921"/>
      <c r="AF1" s="921"/>
      <c r="AG1" s="921"/>
      <c r="AH1" s="921"/>
      <c r="AI1" s="921"/>
      <c r="AJ1" s="921"/>
      <c r="AK1" s="921"/>
      <c r="AL1" s="921"/>
      <c r="AM1" s="921"/>
      <c r="AN1" s="921"/>
      <c r="AO1" s="921"/>
      <c r="AP1" s="921"/>
      <c r="AQ1" s="921"/>
    </row>
    <row r="2" spans="1:43">
      <c r="A2" s="921"/>
      <c r="B2" s="921"/>
      <c r="C2" s="921"/>
      <c r="D2" s="921"/>
      <c r="E2" s="921"/>
      <c r="F2" s="921"/>
      <c r="G2" s="921"/>
      <c r="H2" s="921"/>
      <c r="I2" s="921"/>
      <c r="J2" s="921"/>
      <c r="K2" s="921"/>
      <c r="L2" s="921"/>
      <c r="M2" s="921"/>
      <c r="N2" s="921"/>
      <c r="O2" s="921"/>
      <c r="P2" s="921"/>
      <c r="Q2" s="921"/>
      <c r="R2" s="921"/>
      <c r="S2" s="921"/>
      <c r="T2" s="921"/>
      <c r="U2" s="921"/>
      <c r="V2" s="921"/>
      <c r="W2" s="921"/>
      <c r="X2" s="921"/>
      <c r="Y2" s="921"/>
      <c r="Z2" s="921"/>
      <c r="AA2" s="921"/>
      <c r="AB2" s="921"/>
      <c r="AC2" s="921"/>
      <c r="AD2" s="921"/>
      <c r="AE2" s="921"/>
      <c r="AF2" s="921"/>
      <c r="AG2" s="921"/>
      <c r="AH2" s="921"/>
      <c r="AI2" s="921"/>
      <c r="AJ2" s="921"/>
      <c r="AK2" s="921"/>
      <c r="AL2" s="921"/>
      <c r="AM2" s="921"/>
      <c r="AN2" s="921"/>
      <c r="AO2" s="921"/>
      <c r="AP2" s="921"/>
      <c r="AQ2" s="921"/>
    </row>
    <row r="3" spans="1:43">
      <c r="A3" s="922" t="s">
        <v>5951</v>
      </c>
      <c r="B3" s="922"/>
      <c r="C3" s="922"/>
      <c r="D3" s="922"/>
      <c r="E3" s="922"/>
      <c r="F3" s="922"/>
      <c r="G3" s="922"/>
      <c r="H3" s="922"/>
      <c r="I3" s="922"/>
      <c r="J3" s="922"/>
      <c r="K3" s="922"/>
      <c r="L3" s="922"/>
      <c r="M3" s="922"/>
      <c r="N3" s="922"/>
      <c r="O3" s="922"/>
      <c r="P3" s="922"/>
      <c r="Q3" s="922"/>
      <c r="R3" s="922"/>
      <c r="S3" s="922"/>
      <c r="T3" s="922"/>
      <c r="U3" s="922"/>
      <c r="V3" s="922"/>
      <c r="W3" s="922"/>
      <c r="X3" s="922"/>
      <c r="Y3" s="922"/>
      <c r="Z3" s="922"/>
      <c r="AA3" s="922"/>
      <c r="AB3" s="922"/>
      <c r="AC3" s="922"/>
      <c r="AD3" s="922"/>
      <c r="AE3" s="922"/>
      <c r="AF3" s="922"/>
      <c r="AG3" s="922"/>
      <c r="AH3" s="922"/>
      <c r="AI3" s="922"/>
      <c r="AJ3" s="922"/>
      <c r="AK3" s="922"/>
      <c r="AL3" s="922"/>
      <c r="AM3" s="922"/>
      <c r="AN3" s="922"/>
      <c r="AO3" s="922"/>
      <c r="AP3" s="922"/>
      <c r="AQ3" s="922"/>
    </row>
    <row r="5" spans="1:43" ht="24">
      <c r="A5" s="539" t="s">
        <v>5762</v>
      </c>
      <c r="B5" s="539" t="s">
        <v>5763</v>
      </c>
      <c r="C5" s="539" t="s">
        <v>493</v>
      </c>
      <c r="D5" s="539" t="s">
        <v>284</v>
      </c>
      <c r="E5" s="539" t="s">
        <v>142</v>
      </c>
      <c r="F5" s="539" t="s">
        <v>5873</v>
      </c>
      <c r="G5" s="539" t="s">
        <v>286</v>
      </c>
      <c r="H5" s="539" t="s">
        <v>5874</v>
      </c>
      <c r="I5" s="539" t="s">
        <v>5875</v>
      </c>
      <c r="J5" s="539" t="s">
        <v>5876</v>
      </c>
      <c r="K5" s="539" t="s">
        <v>265</v>
      </c>
      <c r="L5" s="539" t="s">
        <v>5877</v>
      </c>
      <c r="M5" s="539" t="s">
        <v>224</v>
      </c>
      <c r="N5" s="539" t="s">
        <v>77</v>
      </c>
      <c r="O5" s="539" t="s">
        <v>497</v>
      </c>
      <c r="P5" s="539" t="s">
        <v>5764</v>
      </c>
      <c r="Q5" s="539" t="s">
        <v>266</v>
      </c>
      <c r="R5" s="539" t="s">
        <v>881</v>
      </c>
      <c r="S5" s="539" t="s">
        <v>5878</v>
      </c>
      <c r="T5" s="539" t="s">
        <v>5879</v>
      </c>
      <c r="U5" s="539" t="s">
        <v>5880</v>
      </c>
      <c r="V5" s="539" t="s">
        <v>5881</v>
      </c>
      <c r="W5" s="539" t="s">
        <v>5882</v>
      </c>
      <c r="X5" s="539" t="s">
        <v>5767</v>
      </c>
      <c r="Y5" s="539" t="s">
        <v>5883</v>
      </c>
      <c r="Z5" s="539" t="s">
        <v>5768</v>
      </c>
      <c r="AA5" s="539" t="s">
        <v>5766</v>
      </c>
      <c r="AB5" s="539" t="s">
        <v>5884</v>
      </c>
      <c r="AC5" s="539" t="s">
        <v>5885</v>
      </c>
      <c r="AD5" s="539" t="s">
        <v>5802</v>
      </c>
      <c r="AE5" s="539" t="s">
        <v>5765</v>
      </c>
      <c r="AF5" s="539" t="s">
        <v>5886</v>
      </c>
      <c r="AG5" s="539" t="s">
        <v>5887</v>
      </c>
      <c r="AH5" s="539" t="s">
        <v>5888</v>
      </c>
      <c r="AI5" s="539" t="s">
        <v>5226</v>
      </c>
      <c r="AJ5" s="539" t="s">
        <v>5889</v>
      </c>
      <c r="AK5" s="539" t="s">
        <v>5890</v>
      </c>
      <c r="AL5" s="539" t="s">
        <v>5566</v>
      </c>
      <c r="AM5" s="539" t="s">
        <v>11</v>
      </c>
      <c r="AN5" s="539" t="s">
        <v>5891</v>
      </c>
      <c r="AO5" s="539" t="s">
        <v>5892</v>
      </c>
      <c r="AP5" s="539" t="s">
        <v>5893</v>
      </c>
      <c r="AQ5" s="539" t="s">
        <v>5894</v>
      </c>
    </row>
    <row r="6" spans="1:43" ht="38.25">
      <c r="A6" s="249" t="s">
        <v>5769</v>
      </c>
      <c r="B6" s="249" t="s">
        <v>5225</v>
      </c>
      <c r="C6" s="249" t="s">
        <v>491</v>
      </c>
      <c r="D6" s="249" t="s">
        <v>732</v>
      </c>
      <c r="E6" s="249" t="s">
        <v>5770</v>
      </c>
      <c r="F6" s="249"/>
      <c r="G6" s="249" t="s">
        <v>5773</v>
      </c>
      <c r="H6" s="249" t="s">
        <v>5946</v>
      </c>
      <c r="I6" s="249" t="s">
        <v>5895</v>
      </c>
      <c r="J6" s="249" t="s">
        <v>241</v>
      </c>
      <c r="K6" s="249" t="s">
        <v>5774</v>
      </c>
      <c r="L6" s="249" t="s">
        <v>229</v>
      </c>
      <c r="M6" s="249" t="s">
        <v>391</v>
      </c>
      <c r="N6" s="249" t="s">
        <v>235</v>
      </c>
      <c r="O6" s="249" t="s">
        <v>499</v>
      </c>
      <c r="P6" s="537">
        <v>46219</v>
      </c>
      <c r="Q6" s="537"/>
      <c r="R6" s="537"/>
      <c r="S6" s="538">
        <f t="shared" ref="S6:S13" ca="1" si="0">IF(P6="","",IF(R6&lt;&gt;"",R6-P6,TODAY()-P6))</f>
        <v>32</v>
      </c>
      <c r="T6" s="538" t="str">
        <f t="shared" ref="T6:T13" ca="1" si="1">IF(Q6="","",Q6-TODAY())</f>
        <v/>
      </c>
      <c r="U6" s="249" t="s">
        <v>5896</v>
      </c>
      <c r="V6" s="249" t="s">
        <v>5896</v>
      </c>
      <c r="W6" s="249" t="s">
        <v>5896</v>
      </c>
      <c r="X6" s="249" t="s">
        <v>5775</v>
      </c>
      <c r="Y6" s="249" t="s">
        <v>5897</v>
      </c>
      <c r="Z6" s="249" t="s">
        <v>392</v>
      </c>
      <c r="AA6" s="249" t="s">
        <v>1096</v>
      </c>
      <c r="AB6" s="249" t="s">
        <v>392</v>
      </c>
      <c r="AC6" s="249" t="s">
        <v>392</v>
      </c>
      <c r="AD6" s="249" t="s">
        <v>5853</v>
      </c>
      <c r="AE6" s="249" t="s">
        <v>5854</v>
      </c>
      <c r="AF6" s="249"/>
      <c r="AG6" s="249"/>
      <c r="AH6" s="249"/>
      <c r="AI6" s="249"/>
      <c r="AJ6" s="249"/>
      <c r="AK6" s="249"/>
      <c r="AL6" s="249"/>
      <c r="AM6" s="249"/>
      <c r="AN6" s="537"/>
      <c r="AO6" s="249">
        <f>IF(Z6="Yes",COUNTIF($Z$6:Z6,"Yes"),"")</f>
        <v>1</v>
      </c>
      <c r="AP6" s="249" t="str">
        <f>IF(AA6="Yes",COUNTIF($AA$6:AA6,"Yes"),"")</f>
        <v/>
      </c>
      <c r="AQ6" s="249">
        <f>IF(AC6="Yes",COUNTIF($AC$6:AC6,"Yes"),"")</f>
        <v>1</v>
      </c>
    </row>
    <row r="7" spans="1:43" ht="38.25">
      <c r="A7" s="249" t="s">
        <v>5772</v>
      </c>
      <c r="B7" s="249" t="s">
        <v>5777</v>
      </c>
      <c r="C7" s="249" t="s">
        <v>491</v>
      </c>
      <c r="D7" s="249" t="s">
        <v>732</v>
      </c>
      <c r="E7" s="249" t="s">
        <v>5770</v>
      </c>
      <c r="F7" s="249"/>
      <c r="G7" s="249" t="s">
        <v>5778</v>
      </c>
      <c r="H7" s="249" t="s">
        <v>5855</v>
      </c>
      <c r="I7" s="249" t="s">
        <v>5895</v>
      </c>
      <c r="J7" s="249" t="s">
        <v>241</v>
      </c>
      <c r="K7" s="249" t="s">
        <v>229</v>
      </c>
      <c r="L7" s="249" t="s">
        <v>5774</v>
      </c>
      <c r="M7" s="249" t="s">
        <v>391</v>
      </c>
      <c r="N7" s="249" t="s">
        <v>235</v>
      </c>
      <c r="O7" s="249" t="s">
        <v>499</v>
      </c>
      <c r="P7" s="537">
        <v>46219</v>
      </c>
      <c r="Q7" s="537"/>
      <c r="R7" s="537"/>
      <c r="S7" s="538">
        <f t="shared" ca="1" si="0"/>
        <v>32</v>
      </c>
      <c r="T7" s="538" t="str">
        <f t="shared" ca="1" si="1"/>
        <v/>
      </c>
      <c r="U7" s="249" t="s">
        <v>5898</v>
      </c>
      <c r="V7" s="249" t="s">
        <v>5898</v>
      </c>
      <c r="W7" s="249" t="s">
        <v>5896</v>
      </c>
      <c r="X7" s="249" t="s">
        <v>5780</v>
      </c>
      <c r="Y7" s="249" t="s">
        <v>5897</v>
      </c>
      <c r="Z7" s="249" t="s">
        <v>392</v>
      </c>
      <c r="AA7" s="249" t="s">
        <v>392</v>
      </c>
      <c r="AB7" s="249" t="s">
        <v>392</v>
      </c>
      <c r="AC7" s="249" t="s">
        <v>392</v>
      </c>
      <c r="AD7" s="249" t="s">
        <v>5779</v>
      </c>
      <c r="AE7" s="249" t="s">
        <v>5855</v>
      </c>
      <c r="AF7" s="249"/>
      <c r="AG7" s="249"/>
      <c r="AH7" s="249"/>
      <c r="AI7" s="249"/>
      <c r="AJ7" s="249"/>
      <c r="AK7" s="249"/>
      <c r="AL7" s="249"/>
      <c r="AM7" s="249"/>
      <c r="AN7" s="537"/>
      <c r="AO7" s="249">
        <f>IF(Z7="Yes",COUNTIF($Z$6:Z7,"Yes"),"")</f>
        <v>2</v>
      </c>
      <c r="AP7" s="249">
        <f>IF(AA7="Yes",COUNTIF($AA$6:AA7,"Yes"),"")</f>
        <v>1</v>
      </c>
      <c r="AQ7" s="249">
        <f>IF(AC7="Yes",COUNTIF($AC$6:AC7,"Yes"),"")</f>
        <v>2</v>
      </c>
    </row>
    <row r="8" spans="1:43" ht="38.25">
      <c r="A8" s="249" t="s">
        <v>5856</v>
      </c>
      <c r="B8" s="249" t="s">
        <v>5782</v>
      </c>
      <c r="C8" s="249" t="s">
        <v>5899</v>
      </c>
      <c r="D8" s="249" t="s">
        <v>732</v>
      </c>
      <c r="E8" s="249" t="s">
        <v>5770</v>
      </c>
      <c r="F8" s="249"/>
      <c r="G8" s="249" t="s">
        <v>5783</v>
      </c>
      <c r="H8" s="249" t="s">
        <v>5858</v>
      </c>
      <c r="I8" s="249" t="s">
        <v>5900</v>
      </c>
      <c r="J8" s="249" t="s">
        <v>5901</v>
      </c>
      <c r="K8" s="249" t="s">
        <v>229</v>
      </c>
      <c r="L8" s="249" t="s">
        <v>5774</v>
      </c>
      <c r="M8" s="249" t="s">
        <v>492</v>
      </c>
      <c r="N8" s="249" t="s">
        <v>5761</v>
      </c>
      <c r="O8" s="249" t="s">
        <v>499</v>
      </c>
      <c r="P8" s="537">
        <v>46219</v>
      </c>
      <c r="Q8" s="537"/>
      <c r="R8" s="537"/>
      <c r="S8" s="538">
        <f t="shared" ca="1" si="0"/>
        <v>32</v>
      </c>
      <c r="T8" s="538" t="str">
        <f t="shared" ca="1" si="1"/>
        <v/>
      </c>
      <c r="U8" s="249" t="s">
        <v>5902</v>
      </c>
      <c r="V8" s="249" t="s">
        <v>5898</v>
      </c>
      <c r="W8" s="249" t="s">
        <v>5902</v>
      </c>
      <c r="X8" s="249" t="s">
        <v>5780</v>
      </c>
      <c r="Y8" s="249" t="s">
        <v>5903</v>
      </c>
      <c r="Z8" s="249" t="s">
        <v>392</v>
      </c>
      <c r="AA8" s="249" t="s">
        <v>392</v>
      </c>
      <c r="AB8" s="249" t="s">
        <v>392</v>
      </c>
      <c r="AC8" s="249" t="s">
        <v>392</v>
      </c>
      <c r="AD8" s="249" t="s">
        <v>5857</v>
      </c>
      <c r="AE8" s="249" t="s">
        <v>5858</v>
      </c>
      <c r="AF8" s="249"/>
      <c r="AG8" s="249"/>
      <c r="AH8" s="249"/>
      <c r="AI8" s="249"/>
      <c r="AJ8" s="249"/>
      <c r="AK8" s="249"/>
      <c r="AL8" s="249"/>
      <c r="AM8" s="249"/>
      <c r="AN8" s="537"/>
      <c r="AO8" s="249">
        <f>IF(Z8="Yes",COUNTIF($Z$6:Z8,"Yes"),"")</f>
        <v>3</v>
      </c>
      <c r="AP8" s="249">
        <f>IF(AA8="Yes",COUNTIF($AA$6:AA8,"Yes"),"")</f>
        <v>2</v>
      </c>
      <c r="AQ8" s="249">
        <f>IF(AC8="Yes",COUNTIF($AC$6:AC8,"Yes"),"")</f>
        <v>3</v>
      </c>
    </row>
    <row r="9" spans="1:43" ht="25.5">
      <c r="A9" s="249" t="s">
        <v>5784</v>
      </c>
      <c r="B9" s="249" t="s">
        <v>264</v>
      </c>
      <c r="C9" s="249" t="s">
        <v>5904</v>
      </c>
      <c r="D9" s="249" t="s">
        <v>732</v>
      </c>
      <c r="E9" s="249" t="s">
        <v>5770</v>
      </c>
      <c r="F9" s="249"/>
      <c r="G9" s="249" t="s">
        <v>5785</v>
      </c>
      <c r="H9" s="249" t="s">
        <v>5859</v>
      </c>
      <c r="I9" s="249" t="s">
        <v>5905</v>
      </c>
      <c r="J9" s="249" t="s">
        <v>241</v>
      </c>
      <c r="K9" s="249" t="s">
        <v>229</v>
      </c>
      <c r="L9" s="249" t="s">
        <v>5774</v>
      </c>
      <c r="M9" s="249" t="s">
        <v>391</v>
      </c>
      <c r="N9" s="249" t="s">
        <v>235</v>
      </c>
      <c r="O9" s="249" t="s">
        <v>499</v>
      </c>
      <c r="P9" s="537">
        <v>46219</v>
      </c>
      <c r="Q9" s="537"/>
      <c r="R9" s="537"/>
      <c r="S9" s="538">
        <f t="shared" ca="1" si="0"/>
        <v>32</v>
      </c>
      <c r="T9" s="538" t="str">
        <f t="shared" ca="1" si="1"/>
        <v/>
      </c>
      <c r="U9" s="249" t="s">
        <v>5896</v>
      </c>
      <c r="V9" s="249" t="s">
        <v>5896</v>
      </c>
      <c r="W9" s="249" t="s">
        <v>5896</v>
      </c>
      <c r="X9" s="249" t="s">
        <v>5775</v>
      </c>
      <c r="Y9" s="249" t="s">
        <v>5897</v>
      </c>
      <c r="Z9" s="249" t="s">
        <v>392</v>
      </c>
      <c r="AA9" s="249" t="s">
        <v>392</v>
      </c>
      <c r="AB9" s="249" t="s">
        <v>392</v>
      </c>
      <c r="AC9" s="249" t="s">
        <v>392</v>
      </c>
      <c r="AD9" s="249" t="s">
        <v>5859</v>
      </c>
      <c r="AE9" s="249" t="s">
        <v>5860</v>
      </c>
      <c r="AF9" s="249"/>
      <c r="AG9" s="249"/>
      <c r="AH9" s="249"/>
      <c r="AI9" s="249"/>
      <c r="AJ9" s="249"/>
      <c r="AK9" s="249"/>
      <c r="AL9" s="249"/>
      <c r="AM9" s="249"/>
      <c r="AN9" s="537"/>
      <c r="AO9" s="249">
        <f>IF(Z9="Yes",COUNTIF($Z$6:Z9,"Yes"),"")</f>
        <v>4</v>
      </c>
      <c r="AP9" s="249">
        <f>IF(AA9="Yes",COUNTIF($AA$6:AA9,"Yes"),"")</f>
        <v>3</v>
      </c>
      <c r="AQ9" s="249">
        <f>IF(AC9="Yes",COUNTIF($AC$6:AC9,"Yes"),"")</f>
        <v>4</v>
      </c>
    </row>
    <row r="10" spans="1:43" ht="38.25">
      <c r="A10" s="249" t="s">
        <v>5786</v>
      </c>
      <c r="B10" s="249" t="s">
        <v>5787</v>
      </c>
      <c r="C10" s="249" t="s">
        <v>5906</v>
      </c>
      <c r="D10" s="249" t="s">
        <v>5907</v>
      </c>
      <c r="E10" s="249" t="s">
        <v>374</v>
      </c>
      <c r="F10" s="249"/>
      <c r="G10" s="249" t="s">
        <v>5788</v>
      </c>
      <c r="H10" s="249" t="s">
        <v>5947</v>
      </c>
      <c r="I10" s="249" t="s">
        <v>5908</v>
      </c>
      <c r="J10" s="249" t="s">
        <v>241</v>
      </c>
      <c r="K10" s="249" t="s">
        <v>229</v>
      </c>
      <c r="L10" s="249" t="s">
        <v>5774</v>
      </c>
      <c r="M10" s="249" t="s">
        <v>391</v>
      </c>
      <c r="N10" s="249" t="s">
        <v>230</v>
      </c>
      <c r="O10" s="249" t="s">
        <v>499</v>
      </c>
      <c r="P10" s="537">
        <v>46217</v>
      </c>
      <c r="Q10" s="537"/>
      <c r="R10" s="537"/>
      <c r="S10" s="538">
        <f t="shared" ca="1" si="0"/>
        <v>34</v>
      </c>
      <c r="T10" s="538" t="str">
        <f t="shared" ca="1" si="1"/>
        <v/>
      </c>
      <c r="U10" s="249" t="s">
        <v>5898</v>
      </c>
      <c r="V10" s="249" t="s">
        <v>5898</v>
      </c>
      <c r="W10" s="249" t="s">
        <v>5898</v>
      </c>
      <c r="X10" s="249" t="s">
        <v>5775</v>
      </c>
      <c r="Y10" s="249" t="s">
        <v>5909</v>
      </c>
      <c r="Z10" s="249" t="s">
        <v>392</v>
      </c>
      <c r="AA10" s="249" t="s">
        <v>392</v>
      </c>
      <c r="AB10" s="249" t="s">
        <v>392</v>
      </c>
      <c r="AC10" s="249" t="s">
        <v>392</v>
      </c>
      <c r="AD10" s="249" t="s">
        <v>5861</v>
      </c>
      <c r="AE10" s="249" t="s">
        <v>5789</v>
      </c>
      <c r="AF10" s="249" t="s">
        <v>55</v>
      </c>
      <c r="AG10" s="249"/>
      <c r="AH10" s="249"/>
      <c r="AI10" s="249"/>
      <c r="AJ10" s="249"/>
      <c r="AK10" s="249"/>
      <c r="AL10" s="249" t="s">
        <v>55</v>
      </c>
      <c r="AM10" s="249"/>
      <c r="AN10" s="537">
        <v>46219</v>
      </c>
      <c r="AO10" s="249">
        <f>IF(Z10="Yes",COUNTIF($Z$6:Z10,"Yes"),"")</f>
        <v>5</v>
      </c>
      <c r="AP10" s="249">
        <f>IF(AA10="Yes",COUNTIF($AA$6:AA10,"Yes"),"")</f>
        <v>4</v>
      </c>
      <c r="AQ10" s="249">
        <f>IF(AC10="Yes",COUNTIF($AC$6:AC10,"Yes"),"")</f>
        <v>5</v>
      </c>
    </row>
    <row r="11" spans="1:43" ht="38.25">
      <c r="A11" s="249" t="s">
        <v>5790</v>
      </c>
      <c r="B11" s="249" t="s">
        <v>264</v>
      </c>
      <c r="C11" s="249" t="s">
        <v>5910</v>
      </c>
      <c r="D11" s="249" t="s">
        <v>5910</v>
      </c>
      <c r="E11" s="249" t="s">
        <v>5770</v>
      </c>
      <c r="F11" s="249"/>
      <c r="G11" s="249" t="s">
        <v>5791</v>
      </c>
      <c r="H11" s="249" t="s">
        <v>5948</v>
      </c>
      <c r="I11" s="249" t="s">
        <v>5911</v>
      </c>
      <c r="J11" s="249" t="s">
        <v>241</v>
      </c>
      <c r="K11" s="249" t="s">
        <v>5774</v>
      </c>
      <c r="L11" s="249" t="s">
        <v>229</v>
      </c>
      <c r="M11" s="249" t="s">
        <v>391</v>
      </c>
      <c r="N11" s="249" t="s">
        <v>235</v>
      </c>
      <c r="O11" s="249" t="s">
        <v>499</v>
      </c>
      <c r="P11" s="537">
        <v>46213</v>
      </c>
      <c r="Q11" s="537"/>
      <c r="R11" s="537"/>
      <c r="S11" s="538">
        <f ca="1">IF(P11="","",IF(R11&lt;&gt;"",R11-P11,TODAY()-P11))</f>
        <v>38</v>
      </c>
      <c r="T11" s="538" t="str">
        <f ca="1">IF(Q11="","",Q11-TODAY())</f>
        <v/>
      </c>
      <c r="U11" s="249" t="s">
        <v>5898</v>
      </c>
      <c r="V11" s="249" t="s">
        <v>5898</v>
      </c>
      <c r="W11" s="249" t="s">
        <v>5902</v>
      </c>
      <c r="X11" s="249" t="s">
        <v>5775</v>
      </c>
      <c r="Y11" s="249" t="s">
        <v>5903</v>
      </c>
      <c r="Z11" s="249" t="s">
        <v>392</v>
      </c>
      <c r="AA11" s="249" t="s">
        <v>392</v>
      </c>
      <c r="AB11" s="249" t="s">
        <v>392</v>
      </c>
      <c r="AC11" s="249" t="s">
        <v>392</v>
      </c>
      <c r="AD11" s="249" t="s">
        <v>5792</v>
      </c>
      <c r="AE11" s="249" t="s">
        <v>5862</v>
      </c>
      <c r="AF11" s="249" t="s">
        <v>510</v>
      </c>
      <c r="AG11" s="249"/>
      <c r="AH11" s="249" t="s">
        <v>510</v>
      </c>
      <c r="AI11" s="249"/>
      <c r="AJ11" s="249"/>
      <c r="AK11" s="249"/>
      <c r="AL11" s="249" t="s">
        <v>510</v>
      </c>
      <c r="AM11" s="249"/>
      <c r="AN11" s="537">
        <v>46219</v>
      </c>
      <c r="AO11" s="249">
        <f>IF(Z11="Yes",COUNTIF($Z$6:Z11,"Yes"),"")</f>
        <v>6</v>
      </c>
      <c r="AP11" s="249">
        <f>IF(AA11="Yes",COUNTIF($AA$6:AA11,"Yes"),"")</f>
        <v>5</v>
      </c>
      <c r="AQ11" s="249">
        <f>IF(AC11="Yes",COUNTIF($AC$6:AC11,"Yes"),"")</f>
        <v>6</v>
      </c>
    </row>
    <row r="12" spans="1:43" ht="38.25">
      <c r="A12" s="249" t="s">
        <v>5776</v>
      </c>
      <c r="B12" s="249" t="s">
        <v>5793</v>
      </c>
      <c r="C12" s="249" t="s">
        <v>5912</v>
      </c>
      <c r="D12" s="249" t="s">
        <v>5913</v>
      </c>
      <c r="E12" s="249" t="s">
        <v>5770</v>
      </c>
      <c r="F12" s="249"/>
      <c r="G12" s="249" t="s">
        <v>5863</v>
      </c>
      <c r="H12" s="249" t="s">
        <v>5949</v>
      </c>
      <c r="I12" s="249" t="s">
        <v>5895</v>
      </c>
      <c r="J12" s="249" t="s">
        <v>5901</v>
      </c>
      <c r="K12" s="249" t="s">
        <v>229</v>
      </c>
      <c r="L12" s="249" t="s">
        <v>5774</v>
      </c>
      <c r="M12" s="249" t="s">
        <v>391</v>
      </c>
      <c r="N12" s="249" t="s">
        <v>484</v>
      </c>
      <c r="O12" s="249" t="s">
        <v>503</v>
      </c>
      <c r="P12" s="537">
        <v>46219</v>
      </c>
      <c r="Q12" s="537"/>
      <c r="R12" s="537"/>
      <c r="S12" s="538">
        <f t="shared" ca="1" si="0"/>
        <v>32</v>
      </c>
      <c r="T12" s="538" t="str">
        <f t="shared" ca="1" si="1"/>
        <v/>
      </c>
      <c r="U12" s="249" t="s">
        <v>5898</v>
      </c>
      <c r="V12" s="249" t="s">
        <v>5902</v>
      </c>
      <c r="W12" s="249" t="s">
        <v>5896</v>
      </c>
      <c r="X12" s="249" t="s">
        <v>5794</v>
      </c>
      <c r="Y12" s="249" t="s">
        <v>5914</v>
      </c>
      <c r="Z12" s="249" t="s">
        <v>392</v>
      </c>
      <c r="AA12" s="249" t="s">
        <v>1096</v>
      </c>
      <c r="AB12" s="249" t="s">
        <v>1096</v>
      </c>
      <c r="AC12" s="249" t="s">
        <v>1096</v>
      </c>
      <c r="AD12" s="249" t="s">
        <v>5864</v>
      </c>
      <c r="AE12" s="249" t="s">
        <v>5865</v>
      </c>
      <c r="AF12" s="249"/>
      <c r="AG12" s="249"/>
      <c r="AH12" s="249"/>
      <c r="AI12" s="249"/>
      <c r="AJ12" s="249"/>
      <c r="AK12" s="249"/>
      <c r="AL12" s="249"/>
      <c r="AM12" s="249"/>
      <c r="AN12" s="537"/>
      <c r="AO12" s="249">
        <f>IF(Z12="Yes",COUNTIF($Z$6:Z12,"Yes"),"")</f>
        <v>7</v>
      </c>
      <c r="AP12" s="249" t="str">
        <f>IF(AA12="Yes",COUNTIF($AA$6:AA12,"Yes"),"")</f>
        <v/>
      </c>
      <c r="AQ12" s="249" t="str">
        <f>IF(AC12="Yes",COUNTIF($AC$6:AC12,"Yes"),"")</f>
        <v/>
      </c>
    </row>
    <row r="13" spans="1:43" ht="38.25">
      <c r="A13" s="249" t="s">
        <v>5781</v>
      </c>
      <c r="B13" s="249" t="s">
        <v>485</v>
      </c>
      <c r="C13" s="249" t="s">
        <v>485</v>
      </c>
      <c r="D13" s="249" t="s">
        <v>485</v>
      </c>
      <c r="E13" s="249" t="s">
        <v>5770</v>
      </c>
      <c r="F13" s="249"/>
      <c r="G13" s="249" t="s">
        <v>5866</v>
      </c>
      <c r="H13" s="249" t="s">
        <v>5868</v>
      </c>
      <c r="I13" s="249" t="s">
        <v>5869</v>
      </c>
      <c r="J13" s="249" t="s">
        <v>241</v>
      </c>
      <c r="K13" s="249" t="s">
        <v>5774</v>
      </c>
      <c r="L13" s="249" t="s">
        <v>229</v>
      </c>
      <c r="M13" s="249" t="s">
        <v>391</v>
      </c>
      <c r="N13" s="249" t="s">
        <v>484</v>
      </c>
      <c r="O13" s="249" t="s">
        <v>499</v>
      </c>
      <c r="P13" s="537">
        <v>46219</v>
      </c>
      <c r="Q13" s="537"/>
      <c r="R13" s="537"/>
      <c r="S13" s="538">
        <f t="shared" ca="1" si="0"/>
        <v>32</v>
      </c>
      <c r="T13" s="538" t="str">
        <f t="shared" ca="1" si="1"/>
        <v/>
      </c>
      <c r="U13" s="249" t="s">
        <v>5898</v>
      </c>
      <c r="V13" s="249" t="s">
        <v>5898</v>
      </c>
      <c r="W13" s="249" t="s">
        <v>5898</v>
      </c>
      <c r="X13" s="249" t="s">
        <v>5794</v>
      </c>
      <c r="Y13" s="249" t="s">
        <v>5915</v>
      </c>
      <c r="Z13" s="249" t="s">
        <v>392</v>
      </c>
      <c r="AA13" s="249" t="s">
        <v>392</v>
      </c>
      <c r="AB13" s="249" t="s">
        <v>392</v>
      </c>
      <c r="AC13" s="249" t="s">
        <v>392</v>
      </c>
      <c r="AD13" s="249" t="s">
        <v>5867</v>
      </c>
      <c r="AE13" s="249" t="s">
        <v>5868</v>
      </c>
      <c r="AF13" s="249" t="s">
        <v>5869</v>
      </c>
      <c r="AG13" s="249"/>
      <c r="AH13" s="249" t="s">
        <v>5869</v>
      </c>
      <c r="AI13" s="249" t="s">
        <v>4643</v>
      </c>
      <c r="AJ13" s="249"/>
      <c r="AK13" s="249"/>
      <c r="AL13" s="249" t="s">
        <v>5869</v>
      </c>
      <c r="AM13" s="249"/>
      <c r="AN13" s="537">
        <v>46219</v>
      </c>
      <c r="AO13" s="249">
        <f>IF(Z13="Yes",COUNTIF($Z$6:Z13,"Yes"),"")</f>
        <v>8</v>
      </c>
      <c r="AP13" s="249">
        <f>IF(AA13="Yes",COUNTIF($AA$6:AA13,"Yes"),"")</f>
        <v>6</v>
      </c>
      <c r="AQ13" s="249">
        <f>IF(AC13="Yes",COUNTIF($AC$6:AC13,"Yes"),"")</f>
        <v>7</v>
      </c>
    </row>
    <row r="14" spans="1:43" ht="25.5">
      <c r="A14" s="249"/>
      <c r="B14" s="249" t="s">
        <v>5932</v>
      </c>
      <c r="C14" s="249" t="s">
        <v>5899</v>
      </c>
      <c r="D14" s="249" t="s">
        <v>3349</v>
      </c>
      <c r="E14" s="249" t="s">
        <v>5770</v>
      </c>
      <c r="F14" s="249"/>
      <c r="G14" s="249"/>
      <c r="H14" s="249"/>
      <c r="I14" s="249"/>
      <c r="J14" s="249"/>
      <c r="K14" s="249"/>
      <c r="L14" s="249"/>
      <c r="M14" s="249"/>
      <c r="N14" s="249"/>
      <c r="O14" s="249"/>
      <c r="P14" s="537"/>
      <c r="Q14" s="537"/>
      <c r="R14" s="537"/>
      <c r="S14" s="538" t="str">
        <f t="shared" ref="S14:S44" ca="1" si="2">IF(P14="","",IF(R14&lt;&gt;"",R14-P14,TODAY()-P14))</f>
        <v/>
      </c>
      <c r="T14" s="538" t="str">
        <f t="shared" ref="T14:T44" ca="1" si="3">IF(Q14="","",Q14-TODAY())</f>
        <v/>
      </c>
      <c r="U14" s="249"/>
      <c r="V14" s="249"/>
      <c r="W14" s="249"/>
      <c r="X14" s="249"/>
      <c r="Y14" s="249"/>
      <c r="Z14" s="249"/>
      <c r="AA14" s="249"/>
      <c r="AB14" s="249"/>
      <c r="AC14" s="249"/>
      <c r="AD14" s="249"/>
      <c r="AE14" s="249"/>
      <c r="AF14" s="249"/>
      <c r="AG14" s="249"/>
      <c r="AH14" s="249"/>
      <c r="AI14" s="249"/>
      <c r="AJ14" s="249"/>
      <c r="AK14" s="249"/>
      <c r="AL14" s="249"/>
      <c r="AM14" s="249"/>
      <c r="AN14" s="537"/>
      <c r="AO14" s="249" t="str">
        <f>IF(Z14="Yes",COUNTIF($Z$6:Z14,"Yes"),"")</f>
        <v/>
      </c>
      <c r="AP14" s="249" t="str">
        <f>IF(AA14="Yes",COUNTIF($AA$6:AA14,"Yes"),"")</f>
        <v/>
      </c>
      <c r="AQ14" s="249" t="str">
        <f>IF(AC14="Yes",COUNTIF($AC$6:AC14,"Yes"),"")</f>
        <v/>
      </c>
    </row>
    <row r="15" spans="1:43">
      <c r="A15" s="249"/>
      <c r="B15" s="249"/>
      <c r="C15" s="249"/>
      <c r="D15" s="249"/>
      <c r="E15" s="249"/>
      <c r="F15" s="249"/>
      <c r="G15" s="249"/>
      <c r="H15" s="249"/>
      <c r="I15" s="249"/>
      <c r="J15" s="249"/>
      <c r="K15" s="249"/>
      <c r="L15" s="249"/>
      <c r="M15" s="249"/>
      <c r="N15" s="249"/>
      <c r="O15" s="249"/>
      <c r="P15" s="537"/>
      <c r="Q15" s="537"/>
      <c r="R15" s="537"/>
      <c r="S15" s="538" t="str">
        <f t="shared" ca="1" si="2"/>
        <v/>
      </c>
      <c r="T15" s="538" t="str">
        <f t="shared" ca="1" si="3"/>
        <v/>
      </c>
      <c r="U15" s="249"/>
      <c r="V15" s="249"/>
      <c r="W15" s="249"/>
      <c r="X15" s="249"/>
      <c r="Y15" s="249"/>
      <c r="Z15" s="249"/>
      <c r="AA15" s="249"/>
      <c r="AB15" s="249"/>
      <c r="AC15" s="249"/>
      <c r="AD15" s="249"/>
      <c r="AE15" s="249"/>
      <c r="AF15" s="249"/>
      <c r="AG15" s="249"/>
      <c r="AH15" s="249"/>
      <c r="AI15" s="249"/>
      <c r="AJ15" s="249"/>
      <c r="AK15" s="249"/>
      <c r="AL15" s="249"/>
      <c r="AM15" s="249"/>
      <c r="AN15" s="537"/>
      <c r="AO15" s="249" t="str">
        <f>IF(Z15="Yes",COUNTIF($Z$6:Z15,"Yes"),"")</f>
        <v/>
      </c>
      <c r="AP15" s="249" t="str">
        <f>IF(AA15="Yes",COUNTIF($AA$6:AA15,"Yes"),"")</f>
        <v/>
      </c>
      <c r="AQ15" s="249" t="str">
        <f>IF(AC15="Yes",COUNTIF($AC$6:AC15,"Yes"),"")</f>
        <v/>
      </c>
    </row>
    <row r="16" spans="1:43">
      <c r="A16" s="249"/>
      <c r="B16" s="249"/>
      <c r="C16" s="249"/>
      <c r="D16" s="249"/>
      <c r="E16" s="249"/>
      <c r="F16" s="249"/>
      <c r="G16" s="249"/>
      <c r="H16" s="249"/>
      <c r="I16" s="249"/>
      <c r="J16" s="249"/>
      <c r="K16" s="249"/>
      <c r="L16" s="249"/>
      <c r="M16" s="249"/>
      <c r="N16" s="249"/>
      <c r="O16" s="249"/>
      <c r="P16" s="537"/>
      <c r="Q16" s="537"/>
      <c r="R16" s="537"/>
      <c r="S16" s="538" t="str">
        <f t="shared" ca="1" si="2"/>
        <v/>
      </c>
      <c r="T16" s="538" t="str">
        <f t="shared" ca="1" si="3"/>
        <v/>
      </c>
      <c r="U16" s="249"/>
      <c r="V16" s="249"/>
      <c r="W16" s="249"/>
      <c r="X16" s="249"/>
      <c r="Y16" s="249"/>
      <c r="Z16" s="249"/>
      <c r="AA16" s="249"/>
      <c r="AB16" s="249"/>
      <c r="AC16" s="249"/>
      <c r="AD16" s="249"/>
      <c r="AE16" s="249"/>
      <c r="AF16" s="249"/>
      <c r="AG16" s="249"/>
      <c r="AH16" s="249"/>
      <c r="AI16" s="249"/>
      <c r="AJ16" s="249"/>
      <c r="AK16" s="249"/>
      <c r="AL16" s="249"/>
      <c r="AM16" s="249"/>
      <c r="AN16" s="537"/>
      <c r="AO16" s="249" t="str">
        <f>IF(Z16="Yes",COUNTIF($Z$6:Z16,"Yes"),"")</f>
        <v/>
      </c>
      <c r="AP16" s="249" t="str">
        <f>IF(AA16="Yes",COUNTIF($AA$6:AA16,"Yes"),"")</f>
        <v/>
      </c>
      <c r="AQ16" s="249" t="str">
        <f>IF(AC16="Yes",COUNTIF($AC$6:AC16,"Yes"),"")</f>
        <v/>
      </c>
    </row>
    <row r="17" spans="1:43">
      <c r="A17" s="249"/>
      <c r="B17" s="249"/>
      <c r="C17" s="249"/>
      <c r="D17" s="249"/>
      <c r="E17" s="249"/>
      <c r="F17" s="249"/>
      <c r="G17" s="249"/>
      <c r="H17" s="249"/>
      <c r="I17" s="249"/>
      <c r="J17" s="249"/>
      <c r="K17" s="249"/>
      <c r="L17" s="249"/>
      <c r="M17" s="249"/>
      <c r="N17" s="249"/>
      <c r="O17" s="249"/>
      <c r="P17" s="537"/>
      <c r="Q17" s="537"/>
      <c r="R17" s="537"/>
      <c r="S17" s="538" t="str">
        <f t="shared" ca="1" si="2"/>
        <v/>
      </c>
      <c r="T17" s="538" t="str">
        <f t="shared" ca="1" si="3"/>
        <v/>
      </c>
      <c r="U17" s="249"/>
      <c r="V17" s="249"/>
      <c r="W17" s="249"/>
      <c r="X17" s="249"/>
      <c r="Y17" s="249"/>
      <c r="Z17" s="249"/>
      <c r="AA17" s="249"/>
      <c r="AB17" s="249"/>
      <c r="AC17" s="249"/>
      <c r="AD17" s="249"/>
      <c r="AE17" s="249"/>
      <c r="AF17" s="249"/>
      <c r="AG17" s="249"/>
      <c r="AH17" s="249"/>
      <c r="AI17" s="249"/>
      <c r="AJ17" s="249"/>
      <c r="AK17" s="249"/>
      <c r="AL17" s="249"/>
      <c r="AM17" s="249"/>
      <c r="AN17" s="537"/>
      <c r="AO17" s="249" t="str">
        <f>IF(Z17="Yes",COUNTIF($Z$6:Z17,"Yes"),"")</f>
        <v/>
      </c>
      <c r="AP17" s="249" t="str">
        <f>IF(AA17="Yes",COUNTIF($AA$6:AA17,"Yes"),"")</f>
        <v/>
      </c>
      <c r="AQ17" s="249" t="str">
        <f>IF(AC17="Yes",COUNTIF($AC$6:AC17,"Yes"),"")</f>
        <v/>
      </c>
    </row>
    <row r="18" spans="1:43">
      <c r="A18" s="249"/>
      <c r="B18" s="249"/>
      <c r="C18" s="249"/>
      <c r="D18" s="249"/>
      <c r="E18" s="249"/>
      <c r="F18" s="249"/>
      <c r="G18" s="249"/>
      <c r="H18" s="249"/>
      <c r="I18" s="249"/>
      <c r="J18" s="249"/>
      <c r="K18" s="249"/>
      <c r="L18" s="249"/>
      <c r="M18" s="249"/>
      <c r="N18" s="249"/>
      <c r="O18" s="249"/>
      <c r="P18" s="537"/>
      <c r="Q18" s="537"/>
      <c r="R18" s="537"/>
      <c r="S18" s="538" t="str">
        <f t="shared" ca="1" si="2"/>
        <v/>
      </c>
      <c r="T18" s="538" t="str">
        <f t="shared" ca="1" si="3"/>
        <v/>
      </c>
      <c r="U18" s="249"/>
      <c r="V18" s="249"/>
      <c r="W18" s="249"/>
      <c r="X18" s="249"/>
      <c r="Y18" s="249"/>
      <c r="Z18" s="249"/>
      <c r="AA18" s="249"/>
      <c r="AB18" s="249"/>
      <c r="AC18" s="249"/>
      <c r="AD18" s="249"/>
      <c r="AE18" s="249"/>
      <c r="AF18" s="249"/>
      <c r="AG18" s="249"/>
      <c r="AH18" s="249"/>
      <c r="AI18" s="249"/>
      <c r="AJ18" s="249"/>
      <c r="AK18" s="249"/>
      <c r="AL18" s="249"/>
      <c r="AM18" s="249"/>
      <c r="AN18" s="537"/>
      <c r="AO18" s="249" t="str">
        <f>IF(Z18="Yes",COUNTIF($Z$6:Z18,"Yes"),"")</f>
        <v/>
      </c>
      <c r="AP18" s="249" t="str">
        <f>IF(AA18="Yes",COUNTIF($AA$6:AA18,"Yes"),"")</f>
        <v/>
      </c>
      <c r="AQ18" s="249" t="str">
        <f>IF(AC18="Yes",COUNTIF($AC$6:AC18,"Yes"),"")</f>
        <v/>
      </c>
    </row>
    <row r="19" spans="1:43">
      <c r="A19" s="249"/>
      <c r="B19" s="249"/>
      <c r="C19" s="249"/>
      <c r="D19" s="249"/>
      <c r="E19" s="249"/>
      <c r="F19" s="249"/>
      <c r="G19" s="249"/>
      <c r="H19" s="249"/>
      <c r="I19" s="249"/>
      <c r="J19" s="249"/>
      <c r="K19" s="249"/>
      <c r="L19" s="249"/>
      <c r="M19" s="249"/>
      <c r="N19" s="249"/>
      <c r="O19" s="249"/>
      <c r="P19" s="537"/>
      <c r="Q19" s="537"/>
      <c r="R19" s="537"/>
      <c r="S19" s="538" t="str">
        <f t="shared" ca="1" si="2"/>
        <v/>
      </c>
      <c r="T19" s="538" t="str">
        <f t="shared" ca="1" si="3"/>
        <v/>
      </c>
      <c r="U19" s="249"/>
      <c r="V19" s="249"/>
      <c r="W19" s="249"/>
      <c r="X19" s="249"/>
      <c r="Y19" s="249"/>
      <c r="Z19" s="249"/>
      <c r="AA19" s="249"/>
      <c r="AB19" s="249"/>
      <c r="AC19" s="249"/>
      <c r="AD19" s="249"/>
      <c r="AE19" s="249"/>
      <c r="AF19" s="249"/>
      <c r="AG19" s="249"/>
      <c r="AH19" s="249"/>
      <c r="AI19" s="249"/>
      <c r="AJ19" s="249"/>
      <c r="AK19" s="249"/>
      <c r="AL19" s="249"/>
      <c r="AM19" s="249"/>
      <c r="AN19" s="537"/>
      <c r="AO19" s="249" t="str">
        <f>IF(Z19="Yes",COUNTIF($Z$6:Z19,"Yes"),"")</f>
        <v/>
      </c>
      <c r="AP19" s="249" t="str">
        <f>IF(AA19="Yes",COUNTIF($AA$6:AA19,"Yes"),"")</f>
        <v/>
      </c>
      <c r="AQ19" s="249" t="str">
        <f>IF(AC19="Yes",COUNTIF($AC$6:AC19,"Yes"),"")</f>
        <v/>
      </c>
    </row>
    <row r="20" spans="1:43">
      <c r="A20" s="249"/>
      <c r="B20" s="249"/>
      <c r="C20" s="249"/>
      <c r="D20" s="249"/>
      <c r="E20" s="249"/>
      <c r="F20" s="249"/>
      <c r="G20" s="249"/>
      <c r="H20" s="249"/>
      <c r="I20" s="249"/>
      <c r="J20" s="249"/>
      <c r="K20" s="249"/>
      <c r="L20" s="249"/>
      <c r="M20" s="249"/>
      <c r="N20" s="249"/>
      <c r="O20" s="249"/>
      <c r="P20" s="537"/>
      <c r="Q20" s="537"/>
      <c r="R20" s="537"/>
      <c r="S20" s="538" t="str">
        <f t="shared" ca="1" si="2"/>
        <v/>
      </c>
      <c r="T20" s="538" t="str">
        <f t="shared" ca="1" si="3"/>
        <v/>
      </c>
      <c r="U20" s="249"/>
      <c r="V20" s="249"/>
      <c r="W20" s="249"/>
      <c r="X20" s="249"/>
      <c r="Y20" s="249"/>
      <c r="Z20" s="249"/>
      <c r="AA20" s="249"/>
      <c r="AB20" s="249"/>
      <c r="AC20" s="249"/>
      <c r="AD20" s="249"/>
      <c r="AE20" s="249"/>
      <c r="AF20" s="249"/>
      <c r="AG20" s="249"/>
      <c r="AH20" s="249"/>
      <c r="AI20" s="249"/>
      <c r="AJ20" s="249"/>
      <c r="AK20" s="249"/>
      <c r="AL20" s="249"/>
      <c r="AM20" s="249"/>
      <c r="AN20" s="537"/>
      <c r="AO20" s="249" t="str">
        <f>IF(Z20="Yes",COUNTIF($Z$6:Z20,"Yes"),"")</f>
        <v/>
      </c>
      <c r="AP20" s="249" t="str">
        <f>IF(AA20="Yes",COUNTIF($AA$6:AA20,"Yes"),"")</f>
        <v/>
      </c>
      <c r="AQ20" s="249" t="str">
        <f>IF(AC20="Yes",COUNTIF($AC$6:AC20,"Yes"),"")</f>
        <v/>
      </c>
    </row>
    <row r="21" spans="1:43">
      <c r="A21" s="249"/>
      <c r="B21" s="249"/>
      <c r="C21" s="249"/>
      <c r="D21" s="249"/>
      <c r="E21" s="249"/>
      <c r="F21" s="249"/>
      <c r="G21" s="249"/>
      <c r="H21" s="249"/>
      <c r="I21" s="249"/>
      <c r="J21" s="249"/>
      <c r="K21" s="249"/>
      <c r="L21" s="249"/>
      <c r="M21" s="249"/>
      <c r="N21" s="249"/>
      <c r="O21" s="249"/>
      <c r="P21" s="537"/>
      <c r="Q21" s="537"/>
      <c r="R21" s="537"/>
      <c r="S21" s="538" t="str">
        <f t="shared" ca="1" si="2"/>
        <v/>
      </c>
      <c r="T21" s="538" t="str">
        <f t="shared" ca="1" si="3"/>
        <v/>
      </c>
      <c r="U21" s="249"/>
      <c r="V21" s="249"/>
      <c r="W21" s="249"/>
      <c r="X21" s="249"/>
      <c r="Y21" s="249"/>
      <c r="Z21" s="249"/>
      <c r="AA21" s="249"/>
      <c r="AB21" s="249"/>
      <c r="AC21" s="249"/>
      <c r="AD21" s="249"/>
      <c r="AE21" s="249"/>
      <c r="AF21" s="249"/>
      <c r="AG21" s="249"/>
      <c r="AH21" s="249"/>
      <c r="AI21" s="249"/>
      <c r="AJ21" s="249"/>
      <c r="AK21" s="249"/>
      <c r="AL21" s="249"/>
      <c r="AM21" s="249"/>
      <c r="AN21" s="537"/>
      <c r="AO21" s="249" t="str">
        <f>IF(Z21="Yes",COUNTIF($Z$6:Z21,"Yes"),"")</f>
        <v/>
      </c>
      <c r="AP21" s="249" t="str">
        <f>IF(AA21="Yes",COUNTIF($AA$6:AA21,"Yes"),"")</f>
        <v/>
      </c>
      <c r="AQ21" s="249" t="str">
        <f>IF(AC21="Yes",COUNTIF($AC$6:AC21,"Yes"),"")</f>
        <v/>
      </c>
    </row>
    <row r="22" spans="1:43">
      <c r="A22" s="249"/>
      <c r="B22" s="249"/>
      <c r="C22" s="249"/>
      <c r="D22" s="249"/>
      <c r="E22" s="249"/>
      <c r="F22" s="249"/>
      <c r="G22" s="249"/>
      <c r="H22" s="249"/>
      <c r="I22" s="249"/>
      <c r="J22" s="249"/>
      <c r="K22" s="249"/>
      <c r="L22" s="249"/>
      <c r="M22" s="249"/>
      <c r="N22" s="249"/>
      <c r="O22" s="249"/>
      <c r="P22" s="537"/>
      <c r="Q22" s="537"/>
      <c r="R22" s="537"/>
      <c r="S22" s="538" t="str">
        <f t="shared" ca="1" si="2"/>
        <v/>
      </c>
      <c r="T22" s="538" t="str">
        <f t="shared" ca="1" si="3"/>
        <v/>
      </c>
      <c r="U22" s="249"/>
      <c r="V22" s="249"/>
      <c r="W22" s="249"/>
      <c r="X22" s="249"/>
      <c r="Y22" s="249"/>
      <c r="Z22" s="249"/>
      <c r="AA22" s="249"/>
      <c r="AB22" s="249"/>
      <c r="AC22" s="249"/>
      <c r="AD22" s="249"/>
      <c r="AE22" s="249"/>
      <c r="AF22" s="249"/>
      <c r="AG22" s="249"/>
      <c r="AH22" s="249"/>
      <c r="AI22" s="249"/>
      <c r="AJ22" s="249"/>
      <c r="AK22" s="249"/>
      <c r="AL22" s="249"/>
      <c r="AM22" s="249"/>
      <c r="AN22" s="537"/>
      <c r="AO22" s="249" t="str">
        <f>IF(Z22="Yes",COUNTIF($Z$6:Z22,"Yes"),"")</f>
        <v/>
      </c>
      <c r="AP22" s="249" t="str">
        <f>IF(AA22="Yes",COUNTIF($AA$6:AA22,"Yes"),"")</f>
        <v/>
      </c>
      <c r="AQ22" s="249" t="str">
        <f>IF(AC22="Yes",COUNTIF($AC$6:AC22,"Yes"),"")</f>
        <v/>
      </c>
    </row>
    <row r="23" spans="1:43">
      <c r="A23" s="249"/>
      <c r="B23" s="249"/>
      <c r="C23" s="249"/>
      <c r="D23" s="249"/>
      <c r="E23" s="249"/>
      <c r="F23" s="249"/>
      <c r="G23" s="249"/>
      <c r="H23" s="249"/>
      <c r="I23" s="249"/>
      <c r="J23" s="249"/>
      <c r="K23" s="249"/>
      <c r="L23" s="249"/>
      <c r="M23" s="249"/>
      <c r="N23" s="249"/>
      <c r="O23" s="249"/>
      <c r="P23" s="537"/>
      <c r="Q23" s="537"/>
      <c r="R23" s="537"/>
      <c r="S23" s="538" t="str">
        <f t="shared" ca="1" si="2"/>
        <v/>
      </c>
      <c r="T23" s="538" t="str">
        <f t="shared" ca="1" si="3"/>
        <v/>
      </c>
      <c r="U23" s="249"/>
      <c r="V23" s="249"/>
      <c r="W23" s="249"/>
      <c r="X23" s="249"/>
      <c r="Y23" s="249"/>
      <c r="Z23" s="249"/>
      <c r="AA23" s="249"/>
      <c r="AB23" s="249"/>
      <c r="AC23" s="249"/>
      <c r="AD23" s="249"/>
      <c r="AE23" s="249"/>
      <c r="AF23" s="249"/>
      <c r="AG23" s="249"/>
      <c r="AH23" s="249"/>
      <c r="AI23" s="249"/>
      <c r="AJ23" s="249"/>
      <c r="AK23" s="249"/>
      <c r="AL23" s="249"/>
      <c r="AM23" s="249"/>
      <c r="AN23" s="537"/>
      <c r="AO23" s="249" t="str">
        <f>IF(Z23="Yes",COUNTIF($Z$6:Z23,"Yes"),"")</f>
        <v/>
      </c>
      <c r="AP23" s="249" t="str">
        <f>IF(AA23="Yes",COUNTIF($AA$6:AA23,"Yes"),"")</f>
        <v/>
      </c>
      <c r="AQ23" s="249" t="str">
        <f>IF(AC23="Yes",COUNTIF($AC$6:AC23,"Yes"),"")</f>
        <v/>
      </c>
    </row>
    <row r="24" spans="1:43">
      <c r="A24" s="249"/>
      <c r="B24" s="249"/>
      <c r="C24" s="249"/>
      <c r="D24" s="249"/>
      <c r="E24" s="249"/>
      <c r="F24" s="249"/>
      <c r="G24" s="249"/>
      <c r="H24" s="249"/>
      <c r="I24" s="249"/>
      <c r="J24" s="249"/>
      <c r="K24" s="249"/>
      <c r="L24" s="249"/>
      <c r="M24" s="249"/>
      <c r="N24" s="249"/>
      <c r="O24" s="249"/>
      <c r="P24" s="537"/>
      <c r="Q24" s="537"/>
      <c r="R24" s="537"/>
      <c r="S24" s="538" t="str">
        <f t="shared" ca="1" si="2"/>
        <v/>
      </c>
      <c r="T24" s="538" t="str">
        <f t="shared" ca="1" si="3"/>
        <v/>
      </c>
      <c r="U24" s="249"/>
      <c r="V24" s="249"/>
      <c r="W24" s="249"/>
      <c r="X24" s="249"/>
      <c r="Y24" s="249"/>
      <c r="Z24" s="249"/>
      <c r="AA24" s="249"/>
      <c r="AB24" s="249"/>
      <c r="AC24" s="249"/>
      <c r="AD24" s="249"/>
      <c r="AE24" s="249"/>
      <c r="AF24" s="249"/>
      <c r="AG24" s="249"/>
      <c r="AH24" s="249"/>
      <c r="AI24" s="249"/>
      <c r="AJ24" s="249"/>
      <c r="AK24" s="249"/>
      <c r="AL24" s="249"/>
      <c r="AM24" s="249"/>
      <c r="AN24" s="537"/>
      <c r="AO24" s="249" t="str">
        <f>IF(Z24="Yes",COUNTIF($Z$6:Z24,"Yes"),"")</f>
        <v/>
      </c>
      <c r="AP24" s="249" t="str">
        <f>IF(AA24="Yes",COUNTIF($AA$6:AA24,"Yes"),"")</f>
        <v/>
      </c>
      <c r="AQ24" s="249" t="str">
        <f>IF(AC24="Yes",COUNTIF($AC$6:AC24,"Yes"),"")</f>
        <v/>
      </c>
    </row>
    <row r="25" spans="1:43">
      <c r="A25" s="249"/>
      <c r="B25" s="249"/>
      <c r="C25" s="249"/>
      <c r="D25" s="249"/>
      <c r="E25" s="249"/>
      <c r="F25" s="249"/>
      <c r="G25" s="249"/>
      <c r="H25" s="249"/>
      <c r="I25" s="249"/>
      <c r="J25" s="249"/>
      <c r="K25" s="249"/>
      <c r="L25" s="249"/>
      <c r="M25" s="249"/>
      <c r="N25" s="249"/>
      <c r="O25" s="249"/>
      <c r="P25" s="537"/>
      <c r="Q25" s="537"/>
      <c r="R25" s="537"/>
      <c r="S25" s="538" t="str">
        <f t="shared" ca="1" si="2"/>
        <v/>
      </c>
      <c r="T25" s="538" t="str">
        <f t="shared" ca="1" si="3"/>
        <v/>
      </c>
      <c r="U25" s="249"/>
      <c r="V25" s="249"/>
      <c r="W25" s="249"/>
      <c r="X25" s="249"/>
      <c r="Y25" s="249"/>
      <c r="Z25" s="249"/>
      <c r="AA25" s="249"/>
      <c r="AB25" s="249"/>
      <c r="AC25" s="249"/>
      <c r="AD25" s="249"/>
      <c r="AE25" s="249"/>
      <c r="AF25" s="249"/>
      <c r="AG25" s="249"/>
      <c r="AH25" s="249"/>
      <c r="AI25" s="249"/>
      <c r="AJ25" s="249"/>
      <c r="AK25" s="249"/>
      <c r="AL25" s="249"/>
      <c r="AM25" s="249"/>
      <c r="AN25" s="537"/>
      <c r="AO25" s="249" t="str">
        <f>IF(Z25="Yes",COUNTIF($Z$6:Z25,"Yes"),"")</f>
        <v/>
      </c>
      <c r="AP25" s="249" t="str">
        <f>IF(AA25="Yes",COUNTIF($AA$6:AA25,"Yes"),"")</f>
        <v/>
      </c>
      <c r="AQ25" s="249" t="str">
        <f>IF(AC25="Yes",COUNTIF($AC$6:AC25,"Yes"),"")</f>
        <v/>
      </c>
    </row>
    <row r="26" spans="1:43">
      <c r="A26" s="249"/>
      <c r="B26" s="249"/>
      <c r="C26" s="249"/>
      <c r="D26" s="249"/>
      <c r="E26" s="249"/>
      <c r="F26" s="249"/>
      <c r="G26" s="249"/>
      <c r="H26" s="249"/>
      <c r="I26" s="249"/>
      <c r="J26" s="249"/>
      <c r="K26" s="249"/>
      <c r="L26" s="249"/>
      <c r="M26" s="249"/>
      <c r="N26" s="249"/>
      <c r="O26" s="249"/>
      <c r="P26" s="537"/>
      <c r="Q26" s="537"/>
      <c r="R26" s="537"/>
      <c r="S26" s="538" t="str">
        <f t="shared" ca="1" si="2"/>
        <v/>
      </c>
      <c r="T26" s="538" t="str">
        <f t="shared" ca="1" si="3"/>
        <v/>
      </c>
      <c r="U26" s="249"/>
      <c r="V26" s="249"/>
      <c r="W26" s="249"/>
      <c r="X26" s="249"/>
      <c r="Y26" s="249"/>
      <c r="Z26" s="249"/>
      <c r="AA26" s="249"/>
      <c r="AB26" s="249"/>
      <c r="AC26" s="249"/>
      <c r="AD26" s="249"/>
      <c r="AE26" s="249"/>
      <c r="AF26" s="249"/>
      <c r="AG26" s="249"/>
      <c r="AH26" s="249"/>
      <c r="AI26" s="249"/>
      <c r="AJ26" s="249"/>
      <c r="AK26" s="249"/>
      <c r="AL26" s="249"/>
      <c r="AM26" s="249"/>
      <c r="AN26" s="537"/>
      <c r="AO26" s="249" t="str">
        <f>IF(Z26="Yes",COUNTIF($Z$6:Z26,"Yes"),"")</f>
        <v/>
      </c>
      <c r="AP26" s="249" t="str">
        <f>IF(AA26="Yes",COUNTIF($AA$6:AA26,"Yes"),"")</f>
        <v/>
      </c>
      <c r="AQ26" s="249" t="str">
        <f>IF(AC26="Yes",COUNTIF($AC$6:AC26,"Yes"),"")</f>
        <v/>
      </c>
    </row>
    <row r="27" spans="1:43">
      <c r="A27" s="249"/>
      <c r="B27" s="249"/>
      <c r="C27" s="249"/>
      <c r="D27" s="249"/>
      <c r="E27" s="249"/>
      <c r="F27" s="249"/>
      <c r="G27" s="249"/>
      <c r="H27" s="249"/>
      <c r="I27" s="249"/>
      <c r="J27" s="249"/>
      <c r="K27" s="249"/>
      <c r="L27" s="249"/>
      <c r="M27" s="249"/>
      <c r="N27" s="249"/>
      <c r="O27" s="249"/>
      <c r="P27" s="537"/>
      <c r="Q27" s="537"/>
      <c r="R27" s="537"/>
      <c r="S27" s="538" t="str">
        <f t="shared" ca="1" si="2"/>
        <v/>
      </c>
      <c r="T27" s="538" t="str">
        <f t="shared" ca="1" si="3"/>
        <v/>
      </c>
      <c r="U27" s="249"/>
      <c r="V27" s="249"/>
      <c r="W27" s="249"/>
      <c r="X27" s="249"/>
      <c r="Y27" s="249"/>
      <c r="Z27" s="249"/>
      <c r="AA27" s="249"/>
      <c r="AB27" s="249"/>
      <c r="AC27" s="249"/>
      <c r="AD27" s="249"/>
      <c r="AE27" s="249"/>
      <c r="AF27" s="249"/>
      <c r="AG27" s="249"/>
      <c r="AH27" s="249"/>
      <c r="AI27" s="249"/>
      <c r="AJ27" s="249"/>
      <c r="AK27" s="249"/>
      <c r="AL27" s="249"/>
      <c r="AM27" s="249"/>
      <c r="AN27" s="537"/>
      <c r="AO27" s="249" t="str">
        <f>IF(Z27="Yes",COUNTIF($Z$6:Z27,"Yes"),"")</f>
        <v/>
      </c>
      <c r="AP27" s="249" t="str">
        <f>IF(AA27="Yes",COUNTIF($AA$6:AA27,"Yes"),"")</f>
        <v/>
      </c>
      <c r="AQ27" s="249" t="str">
        <f>IF(AC27="Yes",COUNTIF($AC$6:AC27,"Yes"),"")</f>
        <v/>
      </c>
    </row>
    <row r="28" spans="1:43">
      <c r="A28" s="249"/>
      <c r="B28" s="249"/>
      <c r="C28" s="249"/>
      <c r="D28" s="249"/>
      <c r="E28" s="249"/>
      <c r="F28" s="249"/>
      <c r="G28" s="249"/>
      <c r="H28" s="249"/>
      <c r="I28" s="249"/>
      <c r="J28" s="249"/>
      <c r="K28" s="249"/>
      <c r="L28" s="249"/>
      <c r="M28" s="249"/>
      <c r="N28" s="249"/>
      <c r="O28" s="249"/>
      <c r="P28" s="537"/>
      <c r="Q28" s="537"/>
      <c r="R28" s="537"/>
      <c r="S28" s="538" t="str">
        <f t="shared" ca="1" si="2"/>
        <v/>
      </c>
      <c r="T28" s="538" t="str">
        <f t="shared" ca="1" si="3"/>
        <v/>
      </c>
      <c r="U28" s="249"/>
      <c r="V28" s="249"/>
      <c r="W28" s="249"/>
      <c r="X28" s="249"/>
      <c r="Y28" s="249"/>
      <c r="Z28" s="249"/>
      <c r="AA28" s="249"/>
      <c r="AB28" s="249"/>
      <c r="AC28" s="249"/>
      <c r="AD28" s="249"/>
      <c r="AE28" s="249"/>
      <c r="AF28" s="249"/>
      <c r="AG28" s="249"/>
      <c r="AH28" s="249"/>
      <c r="AI28" s="249"/>
      <c r="AJ28" s="249"/>
      <c r="AK28" s="249"/>
      <c r="AL28" s="249"/>
      <c r="AM28" s="249"/>
      <c r="AN28" s="537"/>
      <c r="AO28" s="249" t="str">
        <f>IF(Z28="Yes",COUNTIF($Z$6:Z28,"Yes"),"")</f>
        <v/>
      </c>
      <c r="AP28" s="249" t="str">
        <f>IF(AA28="Yes",COUNTIF($AA$6:AA28,"Yes"),"")</f>
        <v/>
      </c>
      <c r="AQ28" s="249" t="str">
        <f>IF(AC28="Yes",COUNTIF($AC$6:AC28,"Yes"),"")</f>
        <v/>
      </c>
    </row>
    <row r="29" spans="1:43">
      <c r="A29" s="249"/>
      <c r="B29" s="249"/>
      <c r="C29" s="249"/>
      <c r="D29" s="249"/>
      <c r="E29" s="249"/>
      <c r="F29" s="249"/>
      <c r="G29" s="249"/>
      <c r="H29" s="249"/>
      <c r="I29" s="249"/>
      <c r="J29" s="249"/>
      <c r="K29" s="249"/>
      <c r="L29" s="249"/>
      <c r="M29" s="249"/>
      <c r="N29" s="249"/>
      <c r="O29" s="249"/>
      <c r="P29" s="537"/>
      <c r="Q29" s="537"/>
      <c r="R29" s="537"/>
      <c r="S29" s="538" t="str">
        <f t="shared" ca="1" si="2"/>
        <v/>
      </c>
      <c r="T29" s="538" t="str">
        <f t="shared" ca="1" si="3"/>
        <v/>
      </c>
      <c r="U29" s="249"/>
      <c r="V29" s="249"/>
      <c r="W29" s="249"/>
      <c r="X29" s="249"/>
      <c r="Y29" s="249"/>
      <c r="Z29" s="249"/>
      <c r="AA29" s="249"/>
      <c r="AB29" s="249"/>
      <c r="AC29" s="249"/>
      <c r="AD29" s="249"/>
      <c r="AE29" s="249"/>
      <c r="AF29" s="249"/>
      <c r="AG29" s="249"/>
      <c r="AH29" s="249"/>
      <c r="AI29" s="249"/>
      <c r="AJ29" s="249"/>
      <c r="AK29" s="249"/>
      <c r="AL29" s="249"/>
      <c r="AM29" s="249"/>
      <c r="AN29" s="537"/>
      <c r="AO29" s="249" t="str">
        <f>IF(Z29="Yes",COUNTIF($Z$6:Z29,"Yes"),"")</f>
        <v/>
      </c>
      <c r="AP29" s="249" t="str">
        <f>IF(AA29="Yes",COUNTIF($AA$6:AA29,"Yes"),"")</f>
        <v/>
      </c>
      <c r="AQ29" s="249" t="str">
        <f>IF(AC29="Yes",COUNTIF($AC$6:AC29,"Yes"),"")</f>
        <v/>
      </c>
    </row>
    <row r="30" spans="1:43">
      <c r="A30" s="249"/>
      <c r="B30" s="249"/>
      <c r="C30" s="249"/>
      <c r="D30" s="249"/>
      <c r="E30" s="249"/>
      <c r="F30" s="249"/>
      <c r="G30" s="249"/>
      <c r="H30" s="249"/>
      <c r="I30" s="249"/>
      <c r="J30" s="249"/>
      <c r="K30" s="249"/>
      <c r="L30" s="249"/>
      <c r="M30" s="249"/>
      <c r="N30" s="249"/>
      <c r="O30" s="249"/>
      <c r="P30" s="537"/>
      <c r="Q30" s="537"/>
      <c r="R30" s="537"/>
      <c r="S30" s="538" t="str">
        <f t="shared" ca="1" si="2"/>
        <v/>
      </c>
      <c r="T30" s="538" t="str">
        <f t="shared" ca="1" si="3"/>
        <v/>
      </c>
      <c r="U30" s="249"/>
      <c r="V30" s="249"/>
      <c r="W30" s="249"/>
      <c r="X30" s="249"/>
      <c r="Y30" s="249"/>
      <c r="Z30" s="249"/>
      <c r="AA30" s="249"/>
      <c r="AB30" s="249"/>
      <c r="AC30" s="249"/>
      <c r="AD30" s="249"/>
      <c r="AE30" s="249"/>
      <c r="AF30" s="249"/>
      <c r="AG30" s="249"/>
      <c r="AH30" s="249"/>
      <c r="AI30" s="249"/>
      <c r="AJ30" s="249"/>
      <c r="AK30" s="249"/>
      <c r="AL30" s="249"/>
      <c r="AM30" s="249"/>
      <c r="AN30" s="537"/>
      <c r="AO30" s="249" t="str">
        <f>IF(Z30="Yes",COUNTIF($Z$6:Z30,"Yes"),"")</f>
        <v/>
      </c>
      <c r="AP30" s="249" t="str">
        <f>IF(AA30="Yes",COUNTIF($AA$6:AA30,"Yes"),"")</f>
        <v/>
      </c>
      <c r="AQ30" s="249" t="str">
        <f>IF(AC30="Yes",COUNTIF($AC$6:AC30,"Yes"),"")</f>
        <v/>
      </c>
    </row>
    <row r="31" spans="1:43">
      <c r="A31" s="249"/>
      <c r="B31" s="249"/>
      <c r="C31" s="249"/>
      <c r="D31" s="249"/>
      <c r="E31" s="249"/>
      <c r="F31" s="249"/>
      <c r="G31" s="249"/>
      <c r="H31" s="249"/>
      <c r="I31" s="249"/>
      <c r="J31" s="249"/>
      <c r="K31" s="249"/>
      <c r="L31" s="249"/>
      <c r="M31" s="249"/>
      <c r="N31" s="249"/>
      <c r="O31" s="249"/>
      <c r="P31" s="537"/>
      <c r="Q31" s="537"/>
      <c r="R31" s="537"/>
      <c r="S31" s="538" t="str">
        <f t="shared" ca="1" si="2"/>
        <v/>
      </c>
      <c r="T31" s="538" t="str">
        <f t="shared" ca="1" si="3"/>
        <v/>
      </c>
      <c r="U31" s="249"/>
      <c r="V31" s="249"/>
      <c r="W31" s="249"/>
      <c r="X31" s="249"/>
      <c r="Y31" s="249"/>
      <c r="Z31" s="249"/>
      <c r="AA31" s="249"/>
      <c r="AB31" s="249"/>
      <c r="AC31" s="249"/>
      <c r="AD31" s="249"/>
      <c r="AE31" s="249"/>
      <c r="AF31" s="249"/>
      <c r="AG31" s="249"/>
      <c r="AH31" s="249"/>
      <c r="AI31" s="249"/>
      <c r="AJ31" s="249"/>
      <c r="AK31" s="249"/>
      <c r="AL31" s="249"/>
      <c r="AM31" s="249"/>
      <c r="AN31" s="537"/>
      <c r="AO31" s="249" t="str">
        <f>IF(Z31="Yes",COUNTIF($Z$6:Z31,"Yes"),"")</f>
        <v/>
      </c>
      <c r="AP31" s="249" t="str">
        <f>IF(AA31="Yes",COUNTIF($AA$6:AA31,"Yes"),"")</f>
        <v/>
      </c>
      <c r="AQ31" s="249" t="str">
        <f>IF(AC31="Yes",COUNTIF($AC$6:AC31,"Yes"),"")</f>
        <v/>
      </c>
    </row>
    <row r="32" spans="1:43">
      <c r="A32" s="249"/>
      <c r="B32" s="249"/>
      <c r="C32" s="249"/>
      <c r="D32" s="249"/>
      <c r="E32" s="249"/>
      <c r="F32" s="249"/>
      <c r="G32" s="249"/>
      <c r="H32" s="249"/>
      <c r="I32" s="249"/>
      <c r="J32" s="249"/>
      <c r="K32" s="249"/>
      <c r="L32" s="249"/>
      <c r="M32" s="249"/>
      <c r="N32" s="249"/>
      <c r="O32" s="249"/>
      <c r="P32" s="537"/>
      <c r="Q32" s="537"/>
      <c r="R32" s="537"/>
      <c r="S32" s="538" t="str">
        <f t="shared" ca="1" si="2"/>
        <v/>
      </c>
      <c r="T32" s="538" t="str">
        <f t="shared" ca="1" si="3"/>
        <v/>
      </c>
      <c r="U32" s="249"/>
      <c r="V32" s="249"/>
      <c r="W32" s="249"/>
      <c r="X32" s="249"/>
      <c r="Y32" s="249"/>
      <c r="Z32" s="249"/>
      <c r="AA32" s="249"/>
      <c r="AB32" s="249"/>
      <c r="AC32" s="249"/>
      <c r="AD32" s="249"/>
      <c r="AE32" s="249"/>
      <c r="AF32" s="249"/>
      <c r="AG32" s="249"/>
      <c r="AH32" s="249"/>
      <c r="AI32" s="249"/>
      <c r="AJ32" s="249"/>
      <c r="AK32" s="249"/>
      <c r="AL32" s="249"/>
      <c r="AM32" s="249"/>
      <c r="AN32" s="537"/>
      <c r="AO32" s="249" t="str">
        <f>IF(Z32="Yes",COUNTIF($Z$6:Z32,"Yes"),"")</f>
        <v/>
      </c>
      <c r="AP32" s="249" t="str">
        <f>IF(AA32="Yes",COUNTIF($AA$6:AA32,"Yes"),"")</f>
        <v/>
      </c>
      <c r="AQ32" s="249" t="str">
        <f>IF(AC32="Yes",COUNTIF($AC$6:AC32,"Yes"),"")</f>
        <v/>
      </c>
    </row>
    <row r="33" spans="1:43">
      <c r="A33" s="249"/>
      <c r="B33" s="249"/>
      <c r="C33" s="249"/>
      <c r="D33" s="249"/>
      <c r="E33" s="249"/>
      <c r="F33" s="249"/>
      <c r="G33" s="249"/>
      <c r="H33" s="249"/>
      <c r="I33" s="249"/>
      <c r="J33" s="249"/>
      <c r="K33" s="249"/>
      <c r="L33" s="249"/>
      <c r="M33" s="249"/>
      <c r="N33" s="249"/>
      <c r="O33" s="249"/>
      <c r="P33" s="537"/>
      <c r="Q33" s="537"/>
      <c r="R33" s="537"/>
      <c r="S33" s="538" t="str">
        <f t="shared" ca="1" si="2"/>
        <v/>
      </c>
      <c r="T33" s="538" t="str">
        <f t="shared" ca="1" si="3"/>
        <v/>
      </c>
      <c r="U33" s="249"/>
      <c r="V33" s="249"/>
      <c r="W33" s="249"/>
      <c r="X33" s="249"/>
      <c r="Y33" s="249"/>
      <c r="Z33" s="249"/>
      <c r="AA33" s="249"/>
      <c r="AB33" s="249"/>
      <c r="AC33" s="249"/>
      <c r="AD33" s="249"/>
      <c r="AE33" s="249"/>
      <c r="AF33" s="249"/>
      <c r="AG33" s="249"/>
      <c r="AH33" s="249"/>
      <c r="AI33" s="249"/>
      <c r="AJ33" s="249"/>
      <c r="AK33" s="249"/>
      <c r="AL33" s="249"/>
      <c r="AM33" s="249"/>
      <c r="AN33" s="537"/>
      <c r="AO33" s="249" t="str">
        <f>IF(Z33="Yes",COUNTIF($Z$6:Z33,"Yes"),"")</f>
        <v/>
      </c>
      <c r="AP33" s="249" t="str">
        <f>IF(AA33="Yes",COUNTIF($AA$6:AA33,"Yes"),"")</f>
        <v/>
      </c>
      <c r="AQ33" s="249" t="str">
        <f>IF(AC33="Yes",COUNTIF($AC$6:AC33,"Yes"),"")</f>
        <v/>
      </c>
    </row>
    <row r="34" spans="1:43">
      <c r="A34" s="249"/>
      <c r="B34" s="249"/>
      <c r="C34" s="249"/>
      <c r="D34" s="249"/>
      <c r="E34" s="249"/>
      <c r="F34" s="249"/>
      <c r="G34" s="249"/>
      <c r="H34" s="249"/>
      <c r="I34" s="249"/>
      <c r="J34" s="249"/>
      <c r="K34" s="249"/>
      <c r="L34" s="249"/>
      <c r="M34" s="249"/>
      <c r="N34" s="249"/>
      <c r="O34" s="249"/>
      <c r="P34" s="537"/>
      <c r="Q34" s="537"/>
      <c r="R34" s="537"/>
      <c r="S34" s="538" t="str">
        <f t="shared" ca="1" si="2"/>
        <v/>
      </c>
      <c r="T34" s="538" t="str">
        <f t="shared" ca="1" si="3"/>
        <v/>
      </c>
      <c r="U34" s="249"/>
      <c r="V34" s="249"/>
      <c r="W34" s="249"/>
      <c r="X34" s="249"/>
      <c r="Y34" s="249"/>
      <c r="Z34" s="249"/>
      <c r="AA34" s="249"/>
      <c r="AB34" s="249"/>
      <c r="AC34" s="249"/>
      <c r="AD34" s="249"/>
      <c r="AE34" s="249"/>
      <c r="AF34" s="249"/>
      <c r="AG34" s="249"/>
      <c r="AH34" s="249"/>
      <c r="AI34" s="249"/>
      <c r="AJ34" s="249"/>
      <c r="AK34" s="249"/>
      <c r="AL34" s="249"/>
      <c r="AM34" s="249"/>
      <c r="AN34" s="537"/>
      <c r="AO34" s="249" t="str">
        <f>IF(Z34="Yes",COUNTIF($Z$6:Z34,"Yes"),"")</f>
        <v/>
      </c>
      <c r="AP34" s="249" t="str">
        <f>IF(AA34="Yes",COUNTIF($AA$6:AA34,"Yes"),"")</f>
        <v/>
      </c>
      <c r="AQ34" s="249" t="str">
        <f>IF(AC34="Yes",COUNTIF($AC$6:AC34,"Yes"),"")</f>
        <v/>
      </c>
    </row>
    <row r="35" spans="1:43">
      <c r="A35" s="249"/>
      <c r="B35" s="249"/>
      <c r="C35" s="249"/>
      <c r="D35" s="249"/>
      <c r="E35" s="249"/>
      <c r="F35" s="249"/>
      <c r="G35" s="249"/>
      <c r="H35" s="249"/>
      <c r="I35" s="249"/>
      <c r="J35" s="249"/>
      <c r="K35" s="249"/>
      <c r="L35" s="249"/>
      <c r="M35" s="249"/>
      <c r="N35" s="249"/>
      <c r="O35" s="249"/>
      <c r="P35" s="537"/>
      <c r="Q35" s="537"/>
      <c r="R35" s="537"/>
      <c r="S35" s="538" t="str">
        <f t="shared" ca="1" si="2"/>
        <v/>
      </c>
      <c r="T35" s="538" t="str">
        <f t="shared" ca="1" si="3"/>
        <v/>
      </c>
      <c r="U35" s="249"/>
      <c r="V35" s="249"/>
      <c r="W35" s="249"/>
      <c r="X35" s="249"/>
      <c r="Y35" s="249"/>
      <c r="Z35" s="249"/>
      <c r="AA35" s="249"/>
      <c r="AB35" s="249"/>
      <c r="AC35" s="249"/>
      <c r="AD35" s="249"/>
      <c r="AE35" s="249"/>
      <c r="AF35" s="249"/>
      <c r="AG35" s="249"/>
      <c r="AH35" s="249"/>
      <c r="AI35" s="249"/>
      <c r="AJ35" s="249"/>
      <c r="AK35" s="249"/>
      <c r="AL35" s="249"/>
      <c r="AM35" s="249"/>
      <c r="AN35" s="537"/>
      <c r="AO35" s="249" t="str">
        <f>IF(Z35="Yes",COUNTIF($Z$6:Z35,"Yes"),"")</f>
        <v/>
      </c>
      <c r="AP35" s="249" t="str">
        <f>IF(AA35="Yes",COUNTIF($AA$6:AA35,"Yes"),"")</f>
        <v/>
      </c>
      <c r="AQ35" s="249" t="str">
        <f>IF(AC35="Yes",COUNTIF($AC$6:AC35,"Yes"),"")</f>
        <v/>
      </c>
    </row>
    <row r="36" spans="1:43">
      <c r="A36" s="249"/>
      <c r="B36" s="249"/>
      <c r="C36" s="249"/>
      <c r="D36" s="249"/>
      <c r="E36" s="249"/>
      <c r="F36" s="249"/>
      <c r="G36" s="249"/>
      <c r="H36" s="249"/>
      <c r="I36" s="249"/>
      <c r="J36" s="249"/>
      <c r="K36" s="249"/>
      <c r="L36" s="249"/>
      <c r="M36" s="249"/>
      <c r="N36" s="249"/>
      <c r="O36" s="249"/>
      <c r="P36" s="537"/>
      <c r="Q36" s="537"/>
      <c r="R36" s="537"/>
      <c r="S36" s="538" t="str">
        <f t="shared" ca="1" si="2"/>
        <v/>
      </c>
      <c r="T36" s="538" t="str">
        <f t="shared" ca="1" si="3"/>
        <v/>
      </c>
      <c r="U36" s="249"/>
      <c r="V36" s="249"/>
      <c r="W36" s="249"/>
      <c r="X36" s="249"/>
      <c r="Y36" s="249"/>
      <c r="Z36" s="249"/>
      <c r="AA36" s="249"/>
      <c r="AB36" s="249"/>
      <c r="AC36" s="249"/>
      <c r="AD36" s="249"/>
      <c r="AE36" s="249"/>
      <c r="AF36" s="249"/>
      <c r="AG36" s="249"/>
      <c r="AH36" s="249"/>
      <c r="AI36" s="249"/>
      <c r="AJ36" s="249"/>
      <c r="AK36" s="249"/>
      <c r="AL36" s="249"/>
      <c r="AM36" s="249"/>
      <c r="AN36" s="537"/>
      <c r="AO36" s="249" t="str">
        <f>IF(Z36="Yes",COUNTIF($Z$6:Z36,"Yes"),"")</f>
        <v/>
      </c>
      <c r="AP36" s="249" t="str">
        <f>IF(AA36="Yes",COUNTIF($AA$6:AA36,"Yes"),"")</f>
        <v/>
      </c>
      <c r="AQ36" s="249" t="str">
        <f>IF(AC36="Yes",COUNTIF($AC$6:AC36,"Yes"),"")</f>
        <v/>
      </c>
    </row>
    <row r="37" spans="1:43">
      <c r="A37" s="249"/>
      <c r="B37" s="249"/>
      <c r="C37" s="249"/>
      <c r="D37" s="249"/>
      <c r="E37" s="249"/>
      <c r="F37" s="249"/>
      <c r="G37" s="249"/>
      <c r="H37" s="249"/>
      <c r="I37" s="249"/>
      <c r="J37" s="249"/>
      <c r="K37" s="249"/>
      <c r="L37" s="249"/>
      <c r="M37" s="249"/>
      <c r="N37" s="249"/>
      <c r="O37" s="249"/>
      <c r="P37" s="537"/>
      <c r="Q37" s="537"/>
      <c r="R37" s="537"/>
      <c r="S37" s="538" t="str">
        <f t="shared" ca="1" si="2"/>
        <v/>
      </c>
      <c r="T37" s="538" t="str">
        <f t="shared" ca="1" si="3"/>
        <v/>
      </c>
      <c r="U37" s="249"/>
      <c r="V37" s="249"/>
      <c r="W37" s="249"/>
      <c r="X37" s="249"/>
      <c r="Y37" s="249"/>
      <c r="Z37" s="249"/>
      <c r="AA37" s="249"/>
      <c r="AB37" s="249"/>
      <c r="AC37" s="249"/>
      <c r="AD37" s="249"/>
      <c r="AE37" s="249"/>
      <c r="AF37" s="249"/>
      <c r="AG37" s="249"/>
      <c r="AH37" s="249"/>
      <c r="AI37" s="249"/>
      <c r="AJ37" s="249"/>
      <c r="AK37" s="249"/>
      <c r="AL37" s="249"/>
      <c r="AM37" s="249"/>
      <c r="AN37" s="537"/>
      <c r="AO37" s="249" t="str">
        <f>IF(Z37="Yes",COUNTIF($Z$6:Z37,"Yes"),"")</f>
        <v/>
      </c>
      <c r="AP37" s="249" t="str">
        <f>IF(AA37="Yes",COUNTIF($AA$6:AA37,"Yes"),"")</f>
        <v/>
      </c>
      <c r="AQ37" s="249" t="str">
        <f>IF(AC37="Yes",COUNTIF($AC$6:AC37,"Yes"),"")</f>
        <v/>
      </c>
    </row>
    <row r="38" spans="1:43">
      <c r="A38" s="249"/>
      <c r="B38" s="249"/>
      <c r="C38" s="249"/>
      <c r="D38" s="249"/>
      <c r="E38" s="249"/>
      <c r="F38" s="249"/>
      <c r="G38" s="249"/>
      <c r="H38" s="249"/>
      <c r="I38" s="249"/>
      <c r="J38" s="249"/>
      <c r="K38" s="249"/>
      <c r="L38" s="249"/>
      <c r="M38" s="249"/>
      <c r="N38" s="249"/>
      <c r="O38" s="249"/>
      <c r="P38" s="537"/>
      <c r="Q38" s="537"/>
      <c r="R38" s="537"/>
      <c r="S38" s="538" t="str">
        <f t="shared" ca="1" si="2"/>
        <v/>
      </c>
      <c r="T38" s="538" t="str">
        <f t="shared" ca="1" si="3"/>
        <v/>
      </c>
      <c r="U38" s="249"/>
      <c r="V38" s="249"/>
      <c r="W38" s="249"/>
      <c r="X38" s="249"/>
      <c r="Y38" s="249"/>
      <c r="Z38" s="249"/>
      <c r="AA38" s="249"/>
      <c r="AB38" s="249"/>
      <c r="AC38" s="249"/>
      <c r="AD38" s="249"/>
      <c r="AE38" s="249"/>
      <c r="AF38" s="249"/>
      <c r="AG38" s="249"/>
      <c r="AH38" s="249"/>
      <c r="AI38" s="249"/>
      <c r="AJ38" s="249"/>
      <c r="AK38" s="249"/>
      <c r="AL38" s="249"/>
      <c r="AM38" s="249"/>
      <c r="AN38" s="537"/>
      <c r="AO38" s="249" t="str">
        <f>IF(Z38="Yes",COUNTIF($Z$6:Z38,"Yes"),"")</f>
        <v/>
      </c>
      <c r="AP38" s="249" t="str">
        <f>IF(AA38="Yes",COUNTIF($AA$6:AA38,"Yes"),"")</f>
        <v/>
      </c>
      <c r="AQ38" s="249" t="str">
        <f>IF(AC38="Yes",COUNTIF($AC$6:AC38,"Yes"),"")</f>
        <v/>
      </c>
    </row>
    <row r="39" spans="1:43">
      <c r="A39" s="249"/>
      <c r="B39" s="249"/>
      <c r="C39" s="249"/>
      <c r="D39" s="249"/>
      <c r="E39" s="249"/>
      <c r="F39" s="249"/>
      <c r="G39" s="249"/>
      <c r="H39" s="249"/>
      <c r="I39" s="249"/>
      <c r="J39" s="249"/>
      <c r="K39" s="249"/>
      <c r="L39" s="249"/>
      <c r="M39" s="249"/>
      <c r="N39" s="249"/>
      <c r="O39" s="249"/>
      <c r="P39" s="537"/>
      <c r="Q39" s="537"/>
      <c r="R39" s="537"/>
      <c r="S39" s="538" t="str">
        <f t="shared" ca="1" si="2"/>
        <v/>
      </c>
      <c r="T39" s="538" t="str">
        <f t="shared" ca="1" si="3"/>
        <v/>
      </c>
      <c r="U39" s="249"/>
      <c r="V39" s="249"/>
      <c r="W39" s="249"/>
      <c r="X39" s="249"/>
      <c r="Y39" s="249"/>
      <c r="Z39" s="249"/>
      <c r="AA39" s="249"/>
      <c r="AB39" s="249"/>
      <c r="AC39" s="249"/>
      <c r="AD39" s="249"/>
      <c r="AE39" s="249"/>
      <c r="AF39" s="249"/>
      <c r="AG39" s="249"/>
      <c r="AH39" s="249"/>
      <c r="AI39" s="249"/>
      <c r="AJ39" s="249"/>
      <c r="AK39" s="249"/>
      <c r="AL39" s="249"/>
      <c r="AM39" s="249"/>
      <c r="AN39" s="537"/>
      <c r="AO39" s="249" t="str">
        <f>IF(Z39="Yes",COUNTIF($Z$6:Z39,"Yes"),"")</f>
        <v/>
      </c>
      <c r="AP39" s="249" t="str">
        <f>IF(AA39="Yes",COUNTIF($AA$6:AA39,"Yes"),"")</f>
        <v/>
      </c>
      <c r="AQ39" s="249" t="str">
        <f>IF(AC39="Yes",COUNTIF($AC$6:AC39,"Yes"),"")</f>
        <v/>
      </c>
    </row>
    <row r="40" spans="1:43">
      <c r="A40" s="249"/>
      <c r="B40" s="249"/>
      <c r="C40" s="249"/>
      <c r="D40" s="249"/>
      <c r="E40" s="249"/>
      <c r="F40" s="249"/>
      <c r="G40" s="249"/>
      <c r="H40" s="249"/>
      <c r="I40" s="249"/>
      <c r="J40" s="249"/>
      <c r="K40" s="249"/>
      <c r="L40" s="249"/>
      <c r="M40" s="249"/>
      <c r="N40" s="249"/>
      <c r="O40" s="249"/>
      <c r="P40" s="537"/>
      <c r="Q40" s="537"/>
      <c r="R40" s="537"/>
      <c r="S40" s="538" t="str">
        <f t="shared" ca="1" si="2"/>
        <v/>
      </c>
      <c r="T40" s="538" t="str">
        <f t="shared" ca="1" si="3"/>
        <v/>
      </c>
      <c r="U40" s="249"/>
      <c r="V40" s="249"/>
      <c r="W40" s="249"/>
      <c r="X40" s="249"/>
      <c r="Y40" s="249"/>
      <c r="Z40" s="249"/>
      <c r="AA40" s="249"/>
      <c r="AB40" s="249"/>
      <c r="AC40" s="249"/>
      <c r="AD40" s="249"/>
      <c r="AE40" s="249"/>
      <c r="AF40" s="249"/>
      <c r="AG40" s="249"/>
      <c r="AH40" s="249"/>
      <c r="AI40" s="249"/>
      <c r="AJ40" s="249"/>
      <c r="AK40" s="249"/>
      <c r="AL40" s="249"/>
      <c r="AM40" s="249"/>
      <c r="AN40" s="537"/>
      <c r="AO40" s="249" t="str">
        <f>IF(Z40="Yes",COUNTIF($Z$6:Z40,"Yes"),"")</f>
        <v/>
      </c>
      <c r="AP40" s="249" t="str">
        <f>IF(AA40="Yes",COUNTIF($AA$6:AA40,"Yes"),"")</f>
        <v/>
      </c>
      <c r="AQ40" s="249" t="str">
        <f>IF(AC40="Yes",COUNTIF($AC$6:AC40,"Yes"),"")</f>
        <v/>
      </c>
    </row>
    <row r="41" spans="1:43">
      <c r="A41" s="249"/>
      <c r="B41" s="249"/>
      <c r="C41" s="249"/>
      <c r="D41" s="249"/>
      <c r="E41" s="249"/>
      <c r="F41" s="249"/>
      <c r="G41" s="249"/>
      <c r="H41" s="249"/>
      <c r="I41" s="249"/>
      <c r="J41" s="249"/>
      <c r="K41" s="249"/>
      <c r="L41" s="249"/>
      <c r="M41" s="249"/>
      <c r="N41" s="249"/>
      <c r="O41" s="249"/>
      <c r="P41" s="537"/>
      <c r="Q41" s="537"/>
      <c r="R41" s="537"/>
      <c r="S41" s="538" t="str">
        <f t="shared" ca="1" si="2"/>
        <v/>
      </c>
      <c r="T41" s="538" t="str">
        <f t="shared" ca="1" si="3"/>
        <v/>
      </c>
      <c r="U41" s="249"/>
      <c r="V41" s="249"/>
      <c r="W41" s="249"/>
      <c r="X41" s="249"/>
      <c r="Y41" s="249"/>
      <c r="Z41" s="249"/>
      <c r="AA41" s="249"/>
      <c r="AB41" s="249"/>
      <c r="AC41" s="249"/>
      <c r="AD41" s="249"/>
      <c r="AE41" s="249"/>
      <c r="AF41" s="249"/>
      <c r="AG41" s="249"/>
      <c r="AH41" s="249"/>
      <c r="AI41" s="249"/>
      <c r="AJ41" s="249"/>
      <c r="AK41" s="249"/>
      <c r="AL41" s="249"/>
      <c r="AM41" s="249"/>
      <c r="AN41" s="537"/>
      <c r="AO41" s="249" t="str">
        <f>IF(Z41="Yes",COUNTIF($Z$6:Z41,"Yes"),"")</f>
        <v/>
      </c>
      <c r="AP41" s="249" t="str">
        <f>IF(AA41="Yes",COUNTIF($AA$6:AA41,"Yes"),"")</f>
        <v/>
      </c>
      <c r="AQ41" s="249" t="str">
        <f>IF(AC41="Yes",COUNTIF($AC$6:AC41,"Yes"),"")</f>
        <v/>
      </c>
    </row>
    <row r="42" spans="1:43">
      <c r="A42" s="249"/>
      <c r="B42" s="249"/>
      <c r="C42" s="249"/>
      <c r="D42" s="249"/>
      <c r="E42" s="249"/>
      <c r="F42" s="249"/>
      <c r="G42" s="249"/>
      <c r="H42" s="249"/>
      <c r="I42" s="249"/>
      <c r="J42" s="249"/>
      <c r="K42" s="249"/>
      <c r="L42" s="249"/>
      <c r="M42" s="249"/>
      <c r="N42" s="249"/>
      <c r="O42" s="249"/>
      <c r="P42" s="537"/>
      <c r="Q42" s="537"/>
      <c r="R42" s="537"/>
      <c r="S42" s="538" t="str">
        <f t="shared" ca="1" si="2"/>
        <v/>
      </c>
      <c r="T42" s="538" t="str">
        <f t="shared" ca="1" si="3"/>
        <v/>
      </c>
      <c r="U42" s="249"/>
      <c r="V42" s="249"/>
      <c r="W42" s="249"/>
      <c r="X42" s="249"/>
      <c r="Y42" s="249"/>
      <c r="Z42" s="249"/>
      <c r="AA42" s="249"/>
      <c r="AB42" s="249"/>
      <c r="AC42" s="249"/>
      <c r="AD42" s="249"/>
      <c r="AE42" s="249"/>
      <c r="AF42" s="249"/>
      <c r="AG42" s="249"/>
      <c r="AH42" s="249"/>
      <c r="AI42" s="249"/>
      <c r="AJ42" s="249"/>
      <c r="AK42" s="249"/>
      <c r="AL42" s="249"/>
      <c r="AM42" s="249"/>
      <c r="AN42" s="537"/>
      <c r="AO42" s="249" t="str">
        <f>IF(Z42="Yes",COUNTIF($Z$6:Z42,"Yes"),"")</f>
        <v/>
      </c>
      <c r="AP42" s="249" t="str">
        <f>IF(AA42="Yes",COUNTIF($AA$6:AA42,"Yes"),"")</f>
        <v/>
      </c>
      <c r="AQ42" s="249" t="str">
        <f>IF(AC42="Yes",COUNTIF($AC$6:AC42,"Yes"),"")</f>
        <v/>
      </c>
    </row>
    <row r="43" spans="1:43">
      <c r="A43" s="249"/>
      <c r="B43" s="249"/>
      <c r="C43" s="249"/>
      <c r="D43" s="249"/>
      <c r="E43" s="249"/>
      <c r="F43" s="249"/>
      <c r="G43" s="249"/>
      <c r="H43" s="249"/>
      <c r="I43" s="249"/>
      <c r="J43" s="249"/>
      <c r="K43" s="249"/>
      <c r="L43" s="249"/>
      <c r="M43" s="249"/>
      <c r="N43" s="249"/>
      <c r="O43" s="249"/>
      <c r="P43" s="537"/>
      <c r="Q43" s="537"/>
      <c r="R43" s="537"/>
      <c r="S43" s="538" t="str">
        <f t="shared" ca="1" si="2"/>
        <v/>
      </c>
      <c r="T43" s="538" t="str">
        <f t="shared" ca="1" si="3"/>
        <v/>
      </c>
      <c r="U43" s="249"/>
      <c r="V43" s="249"/>
      <c r="W43" s="249"/>
      <c r="X43" s="249"/>
      <c r="Y43" s="249"/>
      <c r="Z43" s="249"/>
      <c r="AA43" s="249"/>
      <c r="AB43" s="249"/>
      <c r="AC43" s="249"/>
      <c r="AD43" s="249"/>
      <c r="AE43" s="249"/>
      <c r="AF43" s="249"/>
      <c r="AG43" s="249"/>
      <c r="AH43" s="249"/>
      <c r="AI43" s="249"/>
      <c r="AJ43" s="249"/>
      <c r="AK43" s="249"/>
      <c r="AL43" s="249"/>
      <c r="AM43" s="249"/>
      <c r="AN43" s="537"/>
      <c r="AO43" s="249" t="str">
        <f>IF(Z43="Yes",COUNTIF($Z$6:Z43,"Yes"),"")</f>
        <v/>
      </c>
      <c r="AP43" s="249" t="str">
        <f>IF(AA43="Yes",COUNTIF($AA$6:AA43,"Yes"),"")</f>
        <v/>
      </c>
      <c r="AQ43" s="249" t="str">
        <f>IF(AC43="Yes",COUNTIF($AC$6:AC43,"Yes"),"")</f>
        <v/>
      </c>
    </row>
    <row r="44" spans="1:43">
      <c r="A44" s="249"/>
      <c r="B44" s="249"/>
      <c r="C44" s="249"/>
      <c r="D44" s="249"/>
      <c r="E44" s="249"/>
      <c r="F44" s="249"/>
      <c r="G44" s="249"/>
      <c r="H44" s="249"/>
      <c r="I44" s="249"/>
      <c r="J44" s="249"/>
      <c r="K44" s="249"/>
      <c r="L44" s="249"/>
      <c r="M44" s="249"/>
      <c r="N44" s="249"/>
      <c r="O44" s="249"/>
      <c r="P44" s="537"/>
      <c r="Q44" s="537"/>
      <c r="R44" s="537"/>
      <c r="S44" s="538" t="str">
        <f t="shared" ca="1" si="2"/>
        <v/>
      </c>
      <c r="T44" s="538" t="str">
        <f t="shared" ca="1" si="3"/>
        <v/>
      </c>
      <c r="U44" s="249"/>
      <c r="V44" s="249"/>
      <c r="W44" s="249"/>
      <c r="X44" s="249"/>
      <c r="Y44" s="249"/>
      <c r="Z44" s="249"/>
      <c r="AA44" s="249"/>
      <c r="AB44" s="249"/>
      <c r="AC44" s="249"/>
      <c r="AD44" s="249"/>
      <c r="AE44" s="249"/>
      <c r="AF44" s="249"/>
      <c r="AG44" s="249"/>
      <c r="AH44" s="249"/>
      <c r="AI44" s="249"/>
      <c r="AJ44" s="249"/>
      <c r="AK44" s="249"/>
      <c r="AL44" s="249"/>
      <c r="AM44" s="249"/>
      <c r="AN44" s="537"/>
      <c r="AO44" s="249" t="str">
        <f>IF(Z44="Yes",COUNTIF($Z$6:Z44,"Yes"),"")</f>
        <v/>
      </c>
      <c r="AP44" s="249" t="str">
        <f>IF(AA44="Yes",COUNTIF($AA$6:AA44,"Yes"),"")</f>
        <v/>
      </c>
      <c r="AQ44" s="249" t="str">
        <f>IF(AC44="Yes",COUNTIF($AC$6:AC44,"Yes"),"")</f>
        <v/>
      </c>
    </row>
    <row r="45" spans="1:43">
      <c r="A45" s="249"/>
      <c r="B45" s="249"/>
      <c r="C45" s="249"/>
      <c r="D45" s="249"/>
      <c r="E45" s="249"/>
      <c r="F45" s="249"/>
      <c r="G45" s="249"/>
      <c r="H45" s="249"/>
      <c r="I45" s="249"/>
      <c r="J45" s="249"/>
      <c r="K45" s="249"/>
      <c r="L45" s="249"/>
      <c r="M45" s="249"/>
      <c r="N45" s="249"/>
      <c r="O45" s="249"/>
      <c r="P45" s="537"/>
      <c r="Q45" s="537"/>
      <c r="R45" s="537"/>
      <c r="S45" s="538" t="str">
        <f t="shared" ref="S45:S69" ca="1" si="4">IF(P45="","",IF(R45&lt;&gt;"",R45-P45,TODAY()-P45))</f>
        <v/>
      </c>
      <c r="T45" s="538" t="str">
        <f t="shared" ref="T45:T69" ca="1" si="5">IF(Q45="","",Q45-TODAY())</f>
        <v/>
      </c>
      <c r="U45" s="249"/>
      <c r="V45" s="249"/>
      <c r="W45" s="249"/>
      <c r="X45" s="249"/>
      <c r="Y45" s="249"/>
      <c r="Z45" s="249"/>
      <c r="AA45" s="249"/>
      <c r="AB45" s="249"/>
      <c r="AC45" s="249"/>
      <c r="AD45" s="249"/>
      <c r="AE45" s="249"/>
      <c r="AF45" s="249"/>
      <c r="AG45" s="249"/>
      <c r="AH45" s="249"/>
      <c r="AI45" s="249"/>
      <c r="AJ45" s="249"/>
      <c r="AK45" s="249"/>
      <c r="AL45" s="249"/>
      <c r="AM45" s="249"/>
      <c r="AN45" s="537"/>
      <c r="AO45" s="249" t="str">
        <f>IF(Z45="Yes",COUNTIF($Z$6:Z45,"Yes"),"")</f>
        <v/>
      </c>
      <c r="AP45" s="249" t="str">
        <f>IF(AA45="Yes",COUNTIF($AA$6:AA45,"Yes"),"")</f>
        <v/>
      </c>
      <c r="AQ45" s="249" t="str">
        <f>IF(AC45="Yes",COUNTIF($AC$6:AC45,"Yes"),"")</f>
        <v/>
      </c>
    </row>
    <row r="46" spans="1:43">
      <c r="A46" s="249"/>
      <c r="B46" s="249"/>
      <c r="C46" s="249"/>
      <c r="D46" s="249"/>
      <c r="E46" s="249"/>
      <c r="F46" s="249"/>
      <c r="G46" s="249"/>
      <c r="H46" s="249"/>
      <c r="I46" s="249"/>
      <c r="J46" s="249"/>
      <c r="K46" s="249"/>
      <c r="L46" s="249"/>
      <c r="M46" s="249"/>
      <c r="N46" s="249"/>
      <c r="O46" s="249"/>
      <c r="P46" s="537"/>
      <c r="Q46" s="537"/>
      <c r="R46" s="537"/>
      <c r="S46" s="538" t="str">
        <f t="shared" ca="1" si="4"/>
        <v/>
      </c>
      <c r="T46" s="538" t="str">
        <f t="shared" ca="1" si="5"/>
        <v/>
      </c>
      <c r="U46" s="249"/>
      <c r="V46" s="249"/>
      <c r="W46" s="249"/>
      <c r="X46" s="249"/>
      <c r="Y46" s="249"/>
      <c r="Z46" s="249"/>
      <c r="AA46" s="249"/>
      <c r="AB46" s="249"/>
      <c r="AC46" s="249"/>
      <c r="AD46" s="249"/>
      <c r="AE46" s="249"/>
      <c r="AF46" s="249"/>
      <c r="AG46" s="249"/>
      <c r="AH46" s="249"/>
      <c r="AI46" s="249"/>
      <c r="AJ46" s="249"/>
      <c r="AK46" s="249"/>
      <c r="AL46" s="249"/>
      <c r="AM46" s="249"/>
      <c r="AN46" s="537"/>
      <c r="AO46" s="249" t="str">
        <f>IF(Z46="Yes",COUNTIF($Z$6:Z46,"Yes"),"")</f>
        <v/>
      </c>
      <c r="AP46" s="249" t="str">
        <f>IF(AA46="Yes",COUNTIF($AA$6:AA46,"Yes"),"")</f>
        <v/>
      </c>
      <c r="AQ46" s="249" t="str">
        <f>IF(AC46="Yes",COUNTIF($AC$6:AC46,"Yes"),"")</f>
        <v/>
      </c>
    </row>
    <row r="47" spans="1:43">
      <c r="A47" s="249"/>
      <c r="B47" s="249"/>
      <c r="C47" s="249"/>
      <c r="D47" s="249"/>
      <c r="E47" s="249"/>
      <c r="F47" s="249"/>
      <c r="G47" s="249"/>
      <c r="H47" s="249"/>
      <c r="I47" s="249"/>
      <c r="J47" s="249"/>
      <c r="K47" s="249"/>
      <c r="L47" s="249"/>
      <c r="M47" s="249"/>
      <c r="N47" s="249"/>
      <c r="O47" s="249"/>
      <c r="P47" s="537"/>
      <c r="Q47" s="537"/>
      <c r="R47" s="537"/>
      <c r="S47" s="538" t="str">
        <f t="shared" ca="1" si="4"/>
        <v/>
      </c>
      <c r="T47" s="538" t="str">
        <f t="shared" ca="1" si="5"/>
        <v/>
      </c>
      <c r="U47" s="249"/>
      <c r="V47" s="249"/>
      <c r="W47" s="249"/>
      <c r="X47" s="249"/>
      <c r="Y47" s="249"/>
      <c r="Z47" s="249"/>
      <c r="AA47" s="249"/>
      <c r="AB47" s="249"/>
      <c r="AC47" s="249"/>
      <c r="AD47" s="249"/>
      <c r="AE47" s="249"/>
      <c r="AF47" s="249"/>
      <c r="AG47" s="249"/>
      <c r="AH47" s="249"/>
      <c r="AI47" s="249"/>
      <c r="AJ47" s="249"/>
      <c r="AK47" s="249"/>
      <c r="AL47" s="249"/>
      <c r="AM47" s="249"/>
      <c r="AN47" s="537"/>
      <c r="AO47" s="249" t="str">
        <f>IF(Z47="Yes",COUNTIF($Z$6:Z47,"Yes"),"")</f>
        <v/>
      </c>
      <c r="AP47" s="249" t="str">
        <f>IF(AA47="Yes",COUNTIF($AA$6:AA47,"Yes"),"")</f>
        <v/>
      </c>
      <c r="AQ47" s="249" t="str">
        <f>IF(AC47="Yes",COUNTIF($AC$6:AC47,"Yes"),"")</f>
        <v/>
      </c>
    </row>
    <row r="48" spans="1:43">
      <c r="A48" s="249"/>
      <c r="B48" s="249"/>
      <c r="C48" s="249"/>
      <c r="D48" s="249"/>
      <c r="E48" s="249"/>
      <c r="F48" s="249"/>
      <c r="G48" s="249"/>
      <c r="H48" s="249"/>
      <c r="I48" s="249"/>
      <c r="J48" s="249"/>
      <c r="K48" s="249"/>
      <c r="L48" s="249"/>
      <c r="M48" s="249"/>
      <c r="N48" s="249"/>
      <c r="O48" s="249"/>
      <c r="P48" s="537"/>
      <c r="Q48" s="537"/>
      <c r="R48" s="537"/>
      <c r="S48" s="538" t="str">
        <f t="shared" ca="1" si="4"/>
        <v/>
      </c>
      <c r="T48" s="538" t="str">
        <f t="shared" ca="1" si="5"/>
        <v/>
      </c>
      <c r="U48" s="249"/>
      <c r="V48" s="249"/>
      <c r="W48" s="249"/>
      <c r="X48" s="249"/>
      <c r="Y48" s="249"/>
      <c r="Z48" s="249"/>
      <c r="AA48" s="249"/>
      <c r="AB48" s="249"/>
      <c r="AC48" s="249"/>
      <c r="AD48" s="249"/>
      <c r="AE48" s="249"/>
      <c r="AF48" s="249"/>
      <c r="AG48" s="249"/>
      <c r="AH48" s="249"/>
      <c r="AI48" s="249"/>
      <c r="AJ48" s="249"/>
      <c r="AK48" s="249"/>
      <c r="AL48" s="249"/>
      <c r="AM48" s="249"/>
      <c r="AN48" s="537"/>
      <c r="AO48" s="249" t="str">
        <f>IF(Z48="Yes",COUNTIF($Z$6:Z48,"Yes"),"")</f>
        <v/>
      </c>
      <c r="AP48" s="249" t="str">
        <f>IF(AA48="Yes",COUNTIF($AA$6:AA48,"Yes"),"")</f>
        <v/>
      </c>
      <c r="AQ48" s="249" t="str">
        <f>IF(AC48="Yes",COUNTIF($AC$6:AC48,"Yes"),"")</f>
        <v/>
      </c>
    </row>
    <row r="49" spans="1:43">
      <c r="A49" s="249"/>
      <c r="B49" s="249"/>
      <c r="C49" s="249"/>
      <c r="D49" s="249"/>
      <c r="E49" s="249"/>
      <c r="F49" s="249"/>
      <c r="G49" s="249"/>
      <c r="H49" s="249"/>
      <c r="I49" s="249"/>
      <c r="J49" s="249"/>
      <c r="K49" s="249"/>
      <c r="L49" s="249"/>
      <c r="M49" s="249"/>
      <c r="N49" s="249"/>
      <c r="O49" s="249"/>
      <c r="P49" s="537"/>
      <c r="Q49" s="537"/>
      <c r="R49" s="537"/>
      <c r="S49" s="538" t="str">
        <f t="shared" ca="1" si="4"/>
        <v/>
      </c>
      <c r="T49" s="538" t="str">
        <f t="shared" ca="1" si="5"/>
        <v/>
      </c>
      <c r="U49" s="249"/>
      <c r="V49" s="249"/>
      <c r="W49" s="249"/>
      <c r="X49" s="249"/>
      <c r="Y49" s="249"/>
      <c r="Z49" s="249"/>
      <c r="AA49" s="249"/>
      <c r="AB49" s="249"/>
      <c r="AC49" s="249"/>
      <c r="AD49" s="249"/>
      <c r="AE49" s="249"/>
      <c r="AF49" s="249"/>
      <c r="AG49" s="249"/>
      <c r="AH49" s="249"/>
      <c r="AI49" s="249"/>
      <c r="AJ49" s="249"/>
      <c r="AK49" s="249"/>
      <c r="AL49" s="249"/>
      <c r="AM49" s="249"/>
      <c r="AN49" s="537"/>
      <c r="AO49" s="249" t="str">
        <f>IF(Z49="Yes",COUNTIF($Z$6:Z49,"Yes"),"")</f>
        <v/>
      </c>
      <c r="AP49" s="249" t="str">
        <f>IF(AA49="Yes",COUNTIF($AA$6:AA49,"Yes"),"")</f>
        <v/>
      </c>
      <c r="AQ49" s="249" t="str">
        <f>IF(AC49="Yes",COUNTIF($AC$6:AC49,"Yes"),"")</f>
        <v/>
      </c>
    </row>
    <row r="50" spans="1:43">
      <c r="A50" s="249"/>
      <c r="B50" s="249"/>
      <c r="C50" s="249"/>
      <c r="D50" s="249"/>
      <c r="E50" s="249"/>
      <c r="F50" s="249"/>
      <c r="G50" s="249"/>
      <c r="H50" s="249"/>
      <c r="I50" s="249"/>
      <c r="J50" s="249"/>
      <c r="K50" s="249"/>
      <c r="L50" s="249"/>
      <c r="M50" s="249"/>
      <c r="N50" s="249"/>
      <c r="O50" s="249"/>
      <c r="P50" s="537"/>
      <c r="Q50" s="537"/>
      <c r="R50" s="537"/>
      <c r="S50" s="538" t="str">
        <f t="shared" ca="1" si="4"/>
        <v/>
      </c>
      <c r="T50" s="538" t="str">
        <f t="shared" ca="1" si="5"/>
        <v/>
      </c>
      <c r="U50" s="249"/>
      <c r="V50" s="249"/>
      <c r="W50" s="249"/>
      <c r="X50" s="249"/>
      <c r="Y50" s="249"/>
      <c r="Z50" s="249"/>
      <c r="AA50" s="249"/>
      <c r="AB50" s="249"/>
      <c r="AC50" s="249"/>
      <c r="AD50" s="249"/>
      <c r="AE50" s="249"/>
      <c r="AF50" s="249"/>
      <c r="AG50" s="249"/>
      <c r="AH50" s="249"/>
      <c r="AI50" s="249"/>
      <c r="AJ50" s="249"/>
      <c r="AK50" s="249"/>
      <c r="AL50" s="249"/>
      <c r="AM50" s="249"/>
      <c r="AN50" s="537"/>
      <c r="AO50" s="249" t="str">
        <f>IF(Z50="Yes",COUNTIF($Z$6:Z50,"Yes"),"")</f>
        <v/>
      </c>
      <c r="AP50" s="249" t="str">
        <f>IF(AA50="Yes",COUNTIF($AA$6:AA50,"Yes"),"")</f>
        <v/>
      </c>
      <c r="AQ50" s="249" t="str">
        <f>IF(AC50="Yes",COUNTIF($AC$6:AC50,"Yes"),"")</f>
        <v/>
      </c>
    </row>
    <row r="51" spans="1:43">
      <c r="A51" s="249"/>
      <c r="B51" s="249"/>
      <c r="C51" s="249"/>
      <c r="D51" s="249"/>
      <c r="E51" s="249"/>
      <c r="F51" s="249"/>
      <c r="G51" s="249"/>
      <c r="H51" s="249"/>
      <c r="I51" s="249"/>
      <c r="J51" s="249"/>
      <c r="K51" s="249"/>
      <c r="L51" s="249"/>
      <c r="M51" s="249"/>
      <c r="N51" s="249"/>
      <c r="O51" s="249"/>
      <c r="P51" s="537"/>
      <c r="Q51" s="537"/>
      <c r="R51" s="537"/>
      <c r="S51" s="538" t="str">
        <f t="shared" ca="1" si="4"/>
        <v/>
      </c>
      <c r="T51" s="538" t="str">
        <f t="shared" ca="1" si="5"/>
        <v/>
      </c>
      <c r="U51" s="249"/>
      <c r="V51" s="249"/>
      <c r="W51" s="249"/>
      <c r="X51" s="249"/>
      <c r="Y51" s="249"/>
      <c r="Z51" s="249"/>
      <c r="AA51" s="249"/>
      <c r="AB51" s="249"/>
      <c r="AC51" s="249"/>
      <c r="AD51" s="249"/>
      <c r="AE51" s="249"/>
      <c r="AF51" s="249"/>
      <c r="AG51" s="249"/>
      <c r="AH51" s="249"/>
      <c r="AI51" s="249"/>
      <c r="AJ51" s="249"/>
      <c r="AK51" s="249"/>
      <c r="AL51" s="249"/>
      <c r="AM51" s="249"/>
      <c r="AN51" s="537"/>
      <c r="AO51" s="249" t="str">
        <f>IF(Z51="Yes",COUNTIF($Z$6:Z51,"Yes"),"")</f>
        <v/>
      </c>
      <c r="AP51" s="249" t="str">
        <f>IF(AA51="Yes",COUNTIF($AA$6:AA51,"Yes"),"")</f>
        <v/>
      </c>
      <c r="AQ51" s="249" t="str">
        <f>IF(AC51="Yes",COUNTIF($AC$6:AC51,"Yes"),"")</f>
        <v/>
      </c>
    </row>
    <row r="52" spans="1:43">
      <c r="A52" s="249"/>
      <c r="B52" s="249"/>
      <c r="C52" s="249"/>
      <c r="D52" s="249"/>
      <c r="E52" s="249"/>
      <c r="F52" s="249"/>
      <c r="G52" s="249"/>
      <c r="H52" s="249"/>
      <c r="I52" s="249"/>
      <c r="J52" s="249"/>
      <c r="K52" s="249"/>
      <c r="L52" s="249"/>
      <c r="M52" s="249"/>
      <c r="N52" s="249"/>
      <c r="O52" s="249"/>
      <c r="P52" s="537"/>
      <c r="Q52" s="537"/>
      <c r="R52" s="537"/>
      <c r="S52" s="538" t="str">
        <f t="shared" ca="1" si="4"/>
        <v/>
      </c>
      <c r="T52" s="538" t="str">
        <f t="shared" ca="1" si="5"/>
        <v/>
      </c>
      <c r="U52" s="249"/>
      <c r="V52" s="249"/>
      <c r="W52" s="249"/>
      <c r="X52" s="249"/>
      <c r="Y52" s="249"/>
      <c r="Z52" s="249"/>
      <c r="AA52" s="249"/>
      <c r="AB52" s="249"/>
      <c r="AC52" s="249"/>
      <c r="AD52" s="249"/>
      <c r="AE52" s="249"/>
      <c r="AF52" s="249"/>
      <c r="AG52" s="249"/>
      <c r="AH52" s="249"/>
      <c r="AI52" s="249"/>
      <c r="AJ52" s="249"/>
      <c r="AK52" s="249"/>
      <c r="AL52" s="249"/>
      <c r="AM52" s="249"/>
      <c r="AN52" s="537"/>
      <c r="AO52" s="249" t="str">
        <f>IF(Z52="Yes",COUNTIF($Z$6:Z52,"Yes"),"")</f>
        <v/>
      </c>
      <c r="AP52" s="249" t="str">
        <f>IF(AA52="Yes",COUNTIF($AA$6:AA52,"Yes"),"")</f>
        <v/>
      </c>
      <c r="AQ52" s="249" t="str">
        <f>IF(AC52="Yes",COUNTIF($AC$6:AC52,"Yes"),"")</f>
        <v/>
      </c>
    </row>
    <row r="53" spans="1:43">
      <c r="A53" s="249"/>
      <c r="B53" s="249"/>
      <c r="C53" s="249"/>
      <c r="D53" s="249"/>
      <c r="E53" s="249"/>
      <c r="F53" s="249"/>
      <c r="G53" s="249"/>
      <c r="H53" s="249"/>
      <c r="I53" s="249"/>
      <c r="J53" s="249"/>
      <c r="K53" s="249"/>
      <c r="L53" s="249"/>
      <c r="M53" s="249"/>
      <c r="N53" s="249"/>
      <c r="O53" s="249"/>
      <c r="P53" s="537"/>
      <c r="Q53" s="537"/>
      <c r="R53" s="537"/>
      <c r="S53" s="538" t="str">
        <f t="shared" ca="1" si="4"/>
        <v/>
      </c>
      <c r="T53" s="538" t="str">
        <f t="shared" ca="1" si="5"/>
        <v/>
      </c>
      <c r="U53" s="249"/>
      <c r="V53" s="249"/>
      <c r="W53" s="249"/>
      <c r="X53" s="249"/>
      <c r="Y53" s="249"/>
      <c r="Z53" s="249"/>
      <c r="AA53" s="249"/>
      <c r="AB53" s="249"/>
      <c r="AC53" s="249"/>
      <c r="AD53" s="249"/>
      <c r="AE53" s="249"/>
      <c r="AF53" s="249"/>
      <c r="AG53" s="249"/>
      <c r="AH53" s="249"/>
      <c r="AI53" s="249"/>
      <c r="AJ53" s="249"/>
      <c r="AK53" s="249"/>
      <c r="AL53" s="249"/>
      <c r="AM53" s="249"/>
      <c r="AN53" s="537"/>
      <c r="AO53" s="249" t="str">
        <f>IF(Z53="Yes",COUNTIF($Z$6:Z53,"Yes"),"")</f>
        <v/>
      </c>
      <c r="AP53" s="249" t="str">
        <f>IF(AA53="Yes",COUNTIF($AA$6:AA53,"Yes"),"")</f>
        <v/>
      </c>
      <c r="AQ53" s="249" t="str">
        <f>IF(AC53="Yes",COUNTIF($AC$6:AC53,"Yes"),"")</f>
        <v/>
      </c>
    </row>
    <row r="54" spans="1:43">
      <c r="A54" s="249"/>
      <c r="B54" s="249"/>
      <c r="C54" s="249"/>
      <c r="D54" s="249"/>
      <c r="E54" s="249"/>
      <c r="F54" s="249"/>
      <c r="G54" s="249"/>
      <c r="H54" s="249"/>
      <c r="I54" s="249"/>
      <c r="J54" s="249"/>
      <c r="K54" s="249"/>
      <c r="L54" s="249"/>
      <c r="M54" s="249"/>
      <c r="N54" s="249"/>
      <c r="O54" s="249"/>
      <c r="P54" s="537"/>
      <c r="Q54" s="537"/>
      <c r="R54" s="537"/>
      <c r="S54" s="538" t="str">
        <f t="shared" ca="1" si="4"/>
        <v/>
      </c>
      <c r="T54" s="538" t="str">
        <f t="shared" ca="1" si="5"/>
        <v/>
      </c>
      <c r="U54" s="249"/>
      <c r="V54" s="249"/>
      <c r="W54" s="249"/>
      <c r="X54" s="249"/>
      <c r="Y54" s="249"/>
      <c r="Z54" s="249"/>
      <c r="AA54" s="249"/>
      <c r="AB54" s="249"/>
      <c r="AC54" s="249"/>
      <c r="AD54" s="249"/>
      <c r="AE54" s="249"/>
      <c r="AF54" s="249"/>
      <c r="AG54" s="249"/>
      <c r="AH54" s="249"/>
      <c r="AI54" s="249"/>
      <c r="AJ54" s="249"/>
      <c r="AK54" s="249"/>
      <c r="AL54" s="249"/>
      <c r="AM54" s="249"/>
      <c r="AN54" s="537"/>
      <c r="AO54" s="249" t="str">
        <f>IF(Z54="Yes",COUNTIF($Z$6:Z54,"Yes"),"")</f>
        <v/>
      </c>
      <c r="AP54" s="249" t="str">
        <f>IF(AA54="Yes",COUNTIF($AA$6:AA54,"Yes"),"")</f>
        <v/>
      </c>
      <c r="AQ54" s="249" t="str">
        <f>IF(AC54="Yes",COUNTIF($AC$6:AC54,"Yes"),"")</f>
        <v/>
      </c>
    </row>
    <row r="55" spans="1:43">
      <c r="A55" s="249"/>
      <c r="B55" s="249"/>
      <c r="C55" s="249"/>
      <c r="D55" s="249"/>
      <c r="E55" s="249"/>
      <c r="F55" s="249"/>
      <c r="G55" s="249"/>
      <c r="H55" s="249"/>
      <c r="I55" s="249"/>
      <c r="J55" s="249"/>
      <c r="K55" s="249"/>
      <c r="L55" s="249"/>
      <c r="M55" s="249"/>
      <c r="N55" s="249"/>
      <c r="O55" s="249"/>
      <c r="P55" s="537"/>
      <c r="Q55" s="537"/>
      <c r="R55" s="537"/>
      <c r="S55" s="538" t="str">
        <f t="shared" ca="1" si="4"/>
        <v/>
      </c>
      <c r="T55" s="538" t="str">
        <f t="shared" ca="1" si="5"/>
        <v/>
      </c>
      <c r="U55" s="249"/>
      <c r="V55" s="249"/>
      <c r="W55" s="249"/>
      <c r="X55" s="249"/>
      <c r="Y55" s="249"/>
      <c r="Z55" s="249"/>
      <c r="AA55" s="249"/>
      <c r="AB55" s="249"/>
      <c r="AC55" s="249"/>
      <c r="AD55" s="249"/>
      <c r="AE55" s="249"/>
      <c r="AF55" s="249"/>
      <c r="AG55" s="249"/>
      <c r="AH55" s="249"/>
      <c r="AI55" s="249"/>
      <c r="AJ55" s="249"/>
      <c r="AK55" s="249"/>
      <c r="AL55" s="249"/>
      <c r="AM55" s="249"/>
      <c r="AN55" s="537"/>
      <c r="AO55" s="249" t="str">
        <f>IF(Z55="Yes",COUNTIF($Z$6:Z55,"Yes"),"")</f>
        <v/>
      </c>
      <c r="AP55" s="249" t="str">
        <f>IF(AA55="Yes",COUNTIF($AA$6:AA55,"Yes"),"")</f>
        <v/>
      </c>
      <c r="AQ55" s="249" t="str">
        <f>IF(AC55="Yes",COUNTIF($AC$6:AC55,"Yes"),"")</f>
        <v/>
      </c>
    </row>
    <row r="56" spans="1:43">
      <c r="A56" s="249"/>
      <c r="B56" s="249"/>
      <c r="C56" s="249"/>
      <c r="D56" s="249"/>
      <c r="E56" s="249"/>
      <c r="F56" s="249"/>
      <c r="G56" s="249"/>
      <c r="H56" s="249"/>
      <c r="I56" s="249"/>
      <c r="J56" s="249"/>
      <c r="K56" s="249"/>
      <c r="L56" s="249"/>
      <c r="M56" s="249"/>
      <c r="N56" s="249"/>
      <c r="O56" s="249"/>
      <c r="P56" s="537"/>
      <c r="Q56" s="537"/>
      <c r="R56" s="537"/>
      <c r="S56" s="538" t="str">
        <f t="shared" ca="1" si="4"/>
        <v/>
      </c>
      <c r="T56" s="538" t="str">
        <f t="shared" ca="1" si="5"/>
        <v/>
      </c>
      <c r="U56" s="249"/>
      <c r="V56" s="249"/>
      <c r="W56" s="249"/>
      <c r="X56" s="249"/>
      <c r="Y56" s="249"/>
      <c r="Z56" s="249"/>
      <c r="AA56" s="249"/>
      <c r="AB56" s="249"/>
      <c r="AC56" s="249"/>
      <c r="AD56" s="249"/>
      <c r="AE56" s="249"/>
      <c r="AF56" s="249"/>
      <c r="AG56" s="249"/>
      <c r="AH56" s="249"/>
      <c r="AI56" s="249"/>
      <c r="AJ56" s="249"/>
      <c r="AK56" s="249"/>
      <c r="AL56" s="249"/>
      <c r="AM56" s="249"/>
      <c r="AN56" s="537"/>
      <c r="AO56" s="249" t="str">
        <f>IF(Z56="Yes",COUNTIF($Z$6:Z56,"Yes"),"")</f>
        <v/>
      </c>
      <c r="AP56" s="249" t="str">
        <f>IF(AA56="Yes",COUNTIF($AA$6:AA56,"Yes"),"")</f>
        <v/>
      </c>
      <c r="AQ56" s="249" t="str">
        <f>IF(AC56="Yes",COUNTIF($AC$6:AC56,"Yes"),"")</f>
        <v/>
      </c>
    </row>
    <row r="57" spans="1:43">
      <c r="A57" s="249"/>
      <c r="B57" s="249"/>
      <c r="C57" s="249"/>
      <c r="D57" s="249"/>
      <c r="E57" s="249"/>
      <c r="F57" s="249"/>
      <c r="G57" s="249"/>
      <c r="H57" s="249"/>
      <c r="I57" s="249"/>
      <c r="J57" s="249"/>
      <c r="K57" s="249"/>
      <c r="L57" s="249"/>
      <c r="M57" s="249"/>
      <c r="N57" s="249"/>
      <c r="O57" s="249"/>
      <c r="P57" s="537"/>
      <c r="Q57" s="537"/>
      <c r="R57" s="537"/>
      <c r="S57" s="538" t="str">
        <f t="shared" ca="1" si="4"/>
        <v/>
      </c>
      <c r="T57" s="538" t="str">
        <f t="shared" ca="1" si="5"/>
        <v/>
      </c>
      <c r="U57" s="249"/>
      <c r="V57" s="249"/>
      <c r="W57" s="249"/>
      <c r="X57" s="249"/>
      <c r="Y57" s="249"/>
      <c r="Z57" s="249"/>
      <c r="AA57" s="249"/>
      <c r="AB57" s="249"/>
      <c r="AC57" s="249"/>
      <c r="AD57" s="249"/>
      <c r="AE57" s="249"/>
      <c r="AF57" s="249"/>
      <c r="AG57" s="249"/>
      <c r="AH57" s="249"/>
      <c r="AI57" s="249"/>
      <c r="AJ57" s="249"/>
      <c r="AK57" s="249"/>
      <c r="AL57" s="249"/>
      <c r="AM57" s="249"/>
      <c r="AN57" s="537"/>
      <c r="AO57" s="249" t="str">
        <f>IF(Z57="Yes",COUNTIF($Z$6:Z57,"Yes"),"")</f>
        <v/>
      </c>
      <c r="AP57" s="249" t="str">
        <f>IF(AA57="Yes",COUNTIF($AA$6:AA57,"Yes"),"")</f>
        <v/>
      </c>
      <c r="AQ57" s="249" t="str">
        <f>IF(AC57="Yes",COUNTIF($AC$6:AC57,"Yes"),"")</f>
        <v/>
      </c>
    </row>
    <row r="58" spans="1:43">
      <c r="A58" s="249"/>
      <c r="B58" s="249"/>
      <c r="C58" s="249"/>
      <c r="D58" s="249"/>
      <c r="E58" s="249"/>
      <c r="F58" s="249"/>
      <c r="G58" s="249"/>
      <c r="H58" s="249"/>
      <c r="I58" s="249"/>
      <c r="J58" s="249"/>
      <c r="K58" s="249"/>
      <c r="L58" s="249"/>
      <c r="M58" s="249"/>
      <c r="N58" s="249"/>
      <c r="O58" s="249"/>
      <c r="P58" s="537"/>
      <c r="Q58" s="537"/>
      <c r="R58" s="537"/>
      <c r="S58" s="538" t="str">
        <f t="shared" ca="1" si="4"/>
        <v/>
      </c>
      <c r="T58" s="538" t="str">
        <f t="shared" ca="1" si="5"/>
        <v/>
      </c>
      <c r="U58" s="249"/>
      <c r="V58" s="249"/>
      <c r="W58" s="249"/>
      <c r="X58" s="249"/>
      <c r="Y58" s="249"/>
      <c r="Z58" s="249"/>
      <c r="AA58" s="249"/>
      <c r="AB58" s="249"/>
      <c r="AC58" s="249"/>
      <c r="AD58" s="249"/>
      <c r="AE58" s="249"/>
      <c r="AF58" s="249"/>
      <c r="AG58" s="249"/>
      <c r="AH58" s="249"/>
      <c r="AI58" s="249"/>
      <c r="AJ58" s="249"/>
      <c r="AK58" s="249"/>
      <c r="AL58" s="249"/>
      <c r="AM58" s="249"/>
      <c r="AN58" s="537"/>
      <c r="AO58" s="249" t="str">
        <f>IF(Z58="Yes",COUNTIF($Z$6:Z58,"Yes"),"")</f>
        <v/>
      </c>
      <c r="AP58" s="249" t="str">
        <f>IF(AA58="Yes",COUNTIF($AA$6:AA58,"Yes"),"")</f>
        <v/>
      </c>
      <c r="AQ58" s="249" t="str">
        <f>IF(AC58="Yes",COUNTIF($AC$6:AC58,"Yes"),"")</f>
        <v/>
      </c>
    </row>
    <row r="59" spans="1:43">
      <c r="A59" s="249"/>
      <c r="B59" s="249"/>
      <c r="C59" s="249"/>
      <c r="D59" s="249"/>
      <c r="E59" s="249"/>
      <c r="F59" s="249"/>
      <c r="G59" s="249"/>
      <c r="H59" s="249"/>
      <c r="I59" s="249"/>
      <c r="J59" s="249"/>
      <c r="K59" s="249"/>
      <c r="L59" s="249"/>
      <c r="M59" s="249"/>
      <c r="N59" s="249"/>
      <c r="O59" s="249"/>
      <c r="P59" s="537"/>
      <c r="Q59" s="537"/>
      <c r="R59" s="537"/>
      <c r="S59" s="538" t="str">
        <f t="shared" ca="1" si="4"/>
        <v/>
      </c>
      <c r="T59" s="538" t="str">
        <f t="shared" ca="1" si="5"/>
        <v/>
      </c>
      <c r="U59" s="249"/>
      <c r="V59" s="249"/>
      <c r="W59" s="249"/>
      <c r="X59" s="249"/>
      <c r="Y59" s="249"/>
      <c r="Z59" s="249"/>
      <c r="AA59" s="249"/>
      <c r="AB59" s="249"/>
      <c r="AC59" s="249"/>
      <c r="AD59" s="249"/>
      <c r="AE59" s="249"/>
      <c r="AF59" s="249"/>
      <c r="AG59" s="249"/>
      <c r="AH59" s="249"/>
      <c r="AI59" s="249"/>
      <c r="AJ59" s="249"/>
      <c r="AK59" s="249"/>
      <c r="AL59" s="249"/>
      <c r="AM59" s="249"/>
      <c r="AN59" s="537"/>
      <c r="AO59" s="249" t="str">
        <f>IF(Z59="Yes",COUNTIF($Z$6:Z59,"Yes"),"")</f>
        <v/>
      </c>
      <c r="AP59" s="249" t="str">
        <f>IF(AA59="Yes",COUNTIF($AA$6:AA59,"Yes"),"")</f>
        <v/>
      </c>
      <c r="AQ59" s="249" t="str">
        <f>IF(AC59="Yes",COUNTIF($AC$6:AC59,"Yes"),"")</f>
        <v/>
      </c>
    </row>
    <row r="60" spans="1:43">
      <c r="A60" s="249"/>
      <c r="B60" s="249"/>
      <c r="C60" s="249"/>
      <c r="D60" s="249"/>
      <c r="E60" s="249"/>
      <c r="F60" s="249"/>
      <c r="G60" s="249"/>
      <c r="H60" s="249"/>
      <c r="I60" s="249"/>
      <c r="J60" s="249"/>
      <c r="K60" s="249"/>
      <c r="L60" s="249"/>
      <c r="M60" s="249"/>
      <c r="N60" s="249"/>
      <c r="O60" s="249"/>
      <c r="P60" s="537"/>
      <c r="Q60" s="537"/>
      <c r="R60" s="537"/>
      <c r="S60" s="538" t="str">
        <f t="shared" ca="1" si="4"/>
        <v/>
      </c>
      <c r="T60" s="538" t="str">
        <f t="shared" ca="1" si="5"/>
        <v/>
      </c>
      <c r="U60" s="249"/>
      <c r="V60" s="249"/>
      <c r="W60" s="249"/>
      <c r="X60" s="249"/>
      <c r="Y60" s="249"/>
      <c r="Z60" s="249"/>
      <c r="AA60" s="249"/>
      <c r="AB60" s="249"/>
      <c r="AC60" s="249"/>
      <c r="AD60" s="249"/>
      <c r="AE60" s="249"/>
      <c r="AF60" s="249"/>
      <c r="AG60" s="249"/>
      <c r="AH60" s="249"/>
      <c r="AI60" s="249"/>
      <c r="AJ60" s="249"/>
      <c r="AK60" s="249"/>
      <c r="AL60" s="249"/>
      <c r="AM60" s="249"/>
      <c r="AN60" s="537"/>
      <c r="AO60" s="249" t="str">
        <f>IF(Z60="Yes",COUNTIF($Z$6:Z60,"Yes"),"")</f>
        <v/>
      </c>
      <c r="AP60" s="249" t="str">
        <f>IF(AA60="Yes",COUNTIF($AA$6:AA60,"Yes"),"")</f>
        <v/>
      </c>
      <c r="AQ60" s="249" t="str">
        <f>IF(AC60="Yes",COUNTIF($AC$6:AC60,"Yes"),"")</f>
        <v/>
      </c>
    </row>
    <row r="61" spans="1:43">
      <c r="A61" s="249"/>
      <c r="B61" s="249"/>
      <c r="C61" s="249"/>
      <c r="D61" s="249"/>
      <c r="E61" s="249"/>
      <c r="F61" s="249"/>
      <c r="G61" s="249"/>
      <c r="H61" s="249"/>
      <c r="I61" s="249"/>
      <c r="J61" s="249"/>
      <c r="K61" s="249"/>
      <c r="L61" s="249"/>
      <c r="M61" s="249"/>
      <c r="N61" s="249"/>
      <c r="O61" s="249"/>
      <c r="P61" s="537"/>
      <c r="Q61" s="537"/>
      <c r="R61" s="537"/>
      <c r="S61" s="538" t="str">
        <f t="shared" ca="1" si="4"/>
        <v/>
      </c>
      <c r="T61" s="538" t="str">
        <f t="shared" ca="1" si="5"/>
        <v/>
      </c>
      <c r="U61" s="249"/>
      <c r="V61" s="249"/>
      <c r="W61" s="249"/>
      <c r="X61" s="249"/>
      <c r="Y61" s="249"/>
      <c r="Z61" s="249"/>
      <c r="AA61" s="249"/>
      <c r="AB61" s="249"/>
      <c r="AC61" s="249"/>
      <c r="AD61" s="249"/>
      <c r="AE61" s="249"/>
      <c r="AF61" s="249"/>
      <c r="AG61" s="249"/>
      <c r="AH61" s="249"/>
      <c r="AI61" s="249"/>
      <c r="AJ61" s="249"/>
      <c r="AK61" s="249"/>
      <c r="AL61" s="249"/>
      <c r="AM61" s="249"/>
      <c r="AN61" s="537"/>
      <c r="AO61" s="249" t="str">
        <f>IF(Z61="Yes",COUNTIF($Z$6:Z61,"Yes"),"")</f>
        <v/>
      </c>
      <c r="AP61" s="249" t="str">
        <f>IF(AA61="Yes",COUNTIF($AA$6:AA61,"Yes"),"")</f>
        <v/>
      </c>
      <c r="AQ61" s="249" t="str">
        <f>IF(AC61="Yes",COUNTIF($AC$6:AC61,"Yes"),"")</f>
        <v/>
      </c>
    </row>
    <row r="62" spans="1:43">
      <c r="A62" s="249"/>
      <c r="B62" s="249"/>
      <c r="C62" s="249"/>
      <c r="D62" s="249"/>
      <c r="E62" s="249"/>
      <c r="F62" s="249"/>
      <c r="G62" s="249"/>
      <c r="H62" s="249"/>
      <c r="I62" s="249"/>
      <c r="J62" s="249"/>
      <c r="K62" s="249"/>
      <c r="L62" s="249"/>
      <c r="M62" s="249"/>
      <c r="N62" s="249"/>
      <c r="O62" s="249"/>
      <c r="P62" s="537"/>
      <c r="Q62" s="537"/>
      <c r="R62" s="537"/>
      <c r="S62" s="538" t="str">
        <f t="shared" ca="1" si="4"/>
        <v/>
      </c>
      <c r="T62" s="538" t="str">
        <f t="shared" ca="1" si="5"/>
        <v/>
      </c>
      <c r="U62" s="249"/>
      <c r="V62" s="249"/>
      <c r="W62" s="249"/>
      <c r="X62" s="249"/>
      <c r="Y62" s="249"/>
      <c r="Z62" s="249"/>
      <c r="AA62" s="249"/>
      <c r="AB62" s="249"/>
      <c r="AC62" s="249"/>
      <c r="AD62" s="249"/>
      <c r="AE62" s="249"/>
      <c r="AF62" s="249"/>
      <c r="AG62" s="249"/>
      <c r="AH62" s="249"/>
      <c r="AI62" s="249"/>
      <c r="AJ62" s="249"/>
      <c r="AK62" s="249"/>
      <c r="AL62" s="249"/>
      <c r="AM62" s="249"/>
      <c r="AN62" s="537"/>
      <c r="AO62" s="249" t="str">
        <f>IF(Z62="Yes",COUNTIF($Z$6:Z62,"Yes"),"")</f>
        <v/>
      </c>
      <c r="AP62" s="249" t="str">
        <f>IF(AA62="Yes",COUNTIF($AA$6:AA62,"Yes"),"")</f>
        <v/>
      </c>
      <c r="AQ62" s="249" t="str">
        <f>IF(AC62="Yes",COUNTIF($AC$6:AC62,"Yes"),"")</f>
        <v/>
      </c>
    </row>
    <row r="63" spans="1:43">
      <c r="A63" s="249"/>
      <c r="B63" s="249"/>
      <c r="C63" s="249"/>
      <c r="D63" s="249"/>
      <c r="E63" s="249"/>
      <c r="F63" s="249"/>
      <c r="G63" s="249"/>
      <c r="H63" s="249"/>
      <c r="I63" s="249"/>
      <c r="J63" s="249"/>
      <c r="K63" s="249"/>
      <c r="L63" s="249"/>
      <c r="M63" s="249"/>
      <c r="N63" s="249"/>
      <c r="O63" s="249"/>
      <c r="P63" s="537"/>
      <c r="Q63" s="537"/>
      <c r="R63" s="537"/>
      <c r="S63" s="538" t="str">
        <f t="shared" ca="1" si="4"/>
        <v/>
      </c>
      <c r="T63" s="538" t="str">
        <f t="shared" ca="1" si="5"/>
        <v/>
      </c>
      <c r="U63" s="249"/>
      <c r="V63" s="249"/>
      <c r="W63" s="249"/>
      <c r="X63" s="249"/>
      <c r="Y63" s="249"/>
      <c r="Z63" s="249"/>
      <c r="AA63" s="249"/>
      <c r="AB63" s="249"/>
      <c r="AC63" s="249"/>
      <c r="AD63" s="249"/>
      <c r="AE63" s="249"/>
      <c r="AF63" s="249"/>
      <c r="AG63" s="249"/>
      <c r="AH63" s="249"/>
      <c r="AI63" s="249"/>
      <c r="AJ63" s="249"/>
      <c r="AK63" s="249"/>
      <c r="AL63" s="249"/>
      <c r="AM63" s="249"/>
      <c r="AN63" s="537"/>
      <c r="AO63" s="249" t="str">
        <f>IF(Z63="Yes",COUNTIF($Z$6:Z63,"Yes"),"")</f>
        <v/>
      </c>
      <c r="AP63" s="249" t="str">
        <f>IF(AA63="Yes",COUNTIF($AA$6:AA63,"Yes"),"")</f>
        <v/>
      </c>
      <c r="AQ63" s="249" t="str">
        <f>IF(AC63="Yes",COUNTIF($AC$6:AC63,"Yes"),"")</f>
        <v/>
      </c>
    </row>
    <row r="64" spans="1:43">
      <c r="A64" s="249"/>
      <c r="B64" s="249"/>
      <c r="C64" s="249"/>
      <c r="D64" s="249"/>
      <c r="E64" s="249"/>
      <c r="F64" s="249"/>
      <c r="G64" s="249"/>
      <c r="H64" s="249"/>
      <c r="I64" s="249"/>
      <c r="J64" s="249"/>
      <c r="K64" s="249"/>
      <c r="L64" s="249"/>
      <c r="M64" s="249"/>
      <c r="N64" s="249"/>
      <c r="O64" s="249"/>
      <c r="P64" s="537"/>
      <c r="Q64" s="537"/>
      <c r="R64" s="537"/>
      <c r="S64" s="538" t="str">
        <f t="shared" ca="1" si="4"/>
        <v/>
      </c>
      <c r="T64" s="538" t="str">
        <f t="shared" ca="1" si="5"/>
        <v/>
      </c>
      <c r="U64" s="249"/>
      <c r="V64" s="249"/>
      <c r="W64" s="249"/>
      <c r="X64" s="249"/>
      <c r="Y64" s="249"/>
      <c r="Z64" s="249"/>
      <c r="AA64" s="249"/>
      <c r="AB64" s="249"/>
      <c r="AC64" s="249"/>
      <c r="AD64" s="249"/>
      <c r="AE64" s="249"/>
      <c r="AF64" s="249"/>
      <c r="AG64" s="249"/>
      <c r="AH64" s="249"/>
      <c r="AI64" s="249"/>
      <c r="AJ64" s="249"/>
      <c r="AK64" s="249"/>
      <c r="AL64" s="249"/>
      <c r="AM64" s="249"/>
      <c r="AN64" s="537"/>
      <c r="AO64" s="249" t="str">
        <f>IF(Z64="Yes",COUNTIF($Z$6:Z64,"Yes"),"")</f>
        <v/>
      </c>
      <c r="AP64" s="249" t="str">
        <f>IF(AA64="Yes",COUNTIF($AA$6:AA64,"Yes"),"")</f>
        <v/>
      </c>
      <c r="AQ64" s="249" t="str">
        <f>IF(AC64="Yes",COUNTIF($AC$6:AC64,"Yes"),"")</f>
        <v/>
      </c>
    </row>
    <row r="65" spans="1:43">
      <c r="A65" s="249"/>
      <c r="B65" s="249"/>
      <c r="C65" s="249"/>
      <c r="D65" s="249"/>
      <c r="E65" s="249"/>
      <c r="F65" s="249"/>
      <c r="G65" s="249"/>
      <c r="H65" s="249"/>
      <c r="I65" s="249"/>
      <c r="J65" s="249"/>
      <c r="K65" s="249"/>
      <c r="L65" s="249"/>
      <c r="M65" s="249"/>
      <c r="N65" s="249"/>
      <c r="O65" s="249"/>
      <c r="P65" s="537"/>
      <c r="Q65" s="537"/>
      <c r="R65" s="537"/>
      <c r="S65" s="538" t="str">
        <f t="shared" ca="1" si="4"/>
        <v/>
      </c>
      <c r="T65" s="538" t="str">
        <f t="shared" ca="1" si="5"/>
        <v/>
      </c>
      <c r="U65" s="249"/>
      <c r="V65" s="249"/>
      <c r="W65" s="249"/>
      <c r="X65" s="249"/>
      <c r="Y65" s="249"/>
      <c r="Z65" s="249"/>
      <c r="AA65" s="249"/>
      <c r="AB65" s="249"/>
      <c r="AC65" s="249"/>
      <c r="AD65" s="249"/>
      <c r="AE65" s="249"/>
      <c r="AF65" s="249"/>
      <c r="AG65" s="249"/>
      <c r="AH65" s="249"/>
      <c r="AI65" s="249"/>
      <c r="AJ65" s="249"/>
      <c r="AK65" s="249"/>
      <c r="AL65" s="249"/>
      <c r="AM65" s="249"/>
      <c r="AN65" s="537"/>
      <c r="AO65" s="249" t="str">
        <f>IF(Z65="Yes",COUNTIF($Z$6:Z65,"Yes"),"")</f>
        <v/>
      </c>
      <c r="AP65" s="249" t="str">
        <f>IF(AA65="Yes",COUNTIF($AA$6:AA65,"Yes"),"")</f>
        <v/>
      </c>
      <c r="AQ65" s="249" t="str">
        <f>IF(AC65="Yes",COUNTIF($AC$6:AC65,"Yes"),"")</f>
        <v/>
      </c>
    </row>
    <row r="66" spans="1:43">
      <c r="A66" s="249"/>
      <c r="B66" s="249"/>
      <c r="C66" s="249"/>
      <c r="D66" s="249"/>
      <c r="E66" s="249"/>
      <c r="F66" s="249"/>
      <c r="G66" s="249"/>
      <c r="H66" s="249"/>
      <c r="I66" s="249"/>
      <c r="J66" s="249"/>
      <c r="K66" s="249"/>
      <c r="L66" s="249"/>
      <c r="M66" s="249"/>
      <c r="N66" s="249"/>
      <c r="O66" s="249"/>
      <c r="P66" s="537"/>
      <c r="Q66" s="537"/>
      <c r="R66" s="537"/>
      <c r="S66" s="538" t="str">
        <f t="shared" ca="1" si="4"/>
        <v/>
      </c>
      <c r="T66" s="538" t="str">
        <f t="shared" ca="1" si="5"/>
        <v/>
      </c>
      <c r="U66" s="249"/>
      <c r="V66" s="249"/>
      <c r="W66" s="249"/>
      <c r="X66" s="249"/>
      <c r="Y66" s="249"/>
      <c r="Z66" s="249"/>
      <c r="AA66" s="249"/>
      <c r="AB66" s="249"/>
      <c r="AC66" s="249"/>
      <c r="AD66" s="249"/>
      <c r="AE66" s="249"/>
      <c r="AF66" s="249"/>
      <c r="AG66" s="249"/>
      <c r="AH66" s="249"/>
      <c r="AI66" s="249"/>
      <c r="AJ66" s="249"/>
      <c r="AK66" s="249"/>
      <c r="AL66" s="249"/>
      <c r="AM66" s="249"/>
      <c r="AN66" s="537"/>
      <c r="AO66" s="249" t="str">
        <f>IF(Z66="Yes",COUNTIF($Z$6:Z66,"Yes"),"")</f>
        <v/>
      </c>
      <c r="AP66" s="249" t="str">
        <f>IF(AA66="Yes",COUNTIF($AA$6:AA66,"Yes"),"")</f>
        <v/>
      </c>
      <c r="AQ66" s="249" t="str">
        <f>IF(AC66="Yes",COUNTIF($AC$6:AC66,"Yes"),"")</f>
        <v/>
      </c>
    </row>
    <row r="67" spans="1:43">
      <c r="A67" s="249"/>
      <c r="B67" s="249"/>
      <c r="C67" s="249"/>
      <c r="D67" s="249"/>
      <c r="E67" s="249"/>
      <c r="F67" s="249"/>
      <c r="G67" s="249"/>
      <c r="H67" s="249"/>
      <c r="I67" s="249"/>
      <c r="J67" s="249"/>
      <c r="K67" s="249"/>
      <c r="L67" s="249"/>
      <c r="M67" s="249"/>
      <c r="N67" s="249"/>
      <c r="O67" s="249"/>
      <c r="P67" s="537"/>
      <c r="Q67" s="537"/>
      <c r="R67" s="537"/>
      <c r="S67" s="538" t="str">
        <f t="shared" ca="1" si="4"/>
        <v/>
      </c>
      <c r="T67" s="538" t="str">
        <f t="shared" ca="1" si="5"/>
        <v/>
      </c>
      <c r="U67" s="249"/>
      <c r="V67" s="249"/>
      <c r="W67" s="249"/>
      <c r="X67" s="249"/>
      <c r="Y67" s="249"/>
      <c r="Z67" s="249"/>
      <c r="AA67" s="249"/>
      <c r="AB67" s="249"/>
      <c r="AC67" s="249"/>
      <c r="AD67" s="249"/>
      <c r="AE67" s="249"/>
      <c r="AF67" s="249"/>
      <c r="AG67" s="249"/>
      <c r="AH67" s="249"/>
      <c r="AI67" s="249"/>
      <c r="AJ67" s="249"/>
      <c r="AK67" s="249"/>
      <c r="AL67" s="249"/>
      <c r="AM67" s="249"/>
      <c r="AN67" s="537"/>
      <c r="AO67" s="249" t="str">
        <f>IF(Z67="Yes",COUNTIF($Z$6:Z67,"Yes"),"")</f>
        <v/>
      </c>
      <c r="AP67" s="249" t="str">
        <f>IF(AA67="Yes",COUNTIF($AA$6:AA67,"Yes"),"")</f>
        <v/>
      </c>
      <c r="AQ67" s="249" t="str">
        <f>IF(AC67="Yes",COUNTIF($AC$6:AC67,"Yes"),"")</f>
        <v/>
      </c>
    </row>
    <row r="68" spans="1:43">
      <c r="A68" s="249"/>
      <c r="B68" s="249"/>
      <c r="C68" s="249"/>
      <c r="D68" s="249"/>
      <c r="E68" s="249"/>
      <c r="F68" s="249"/>
      <c r="G68" s="249"/>
      <c r="H68" s="249"/>
      <c r="I68" s="249"/>
      <c r="J68" s="249"/>
      <c r="K68" s="249"/>
      <c r="L68" s="249"/>
      <c r="M68" s="249"/>
      <c r="N68" s="249"/>
      <c r="O68" s="249"/>
      <c r="P68" s="537"/>
      <c r="Q68" s="537"/>
      <c r="R68" s="537"/>
      <c r="S68" s="538" t="str">
        <f t="shared" ca="1" si="4"/>
        <v/>
      </c>
      <c r="T68" s="538" t="str">
        <f t="shared" ca="1" si="5"/>
        <v/>
      </c>
      <c r="U68" s="249"/>
      <c r="V68" s="249"/>
      <c r="W68" s="249"/>
      <c r="X68" s="249"/>
      <c r="Y68" s="249"/>
      <c r="Z68" s="249"/>
      <c r="AA68" s="249"/>
      <c r="AB68" s="249"/>
      <c r="AC68" s="249"/>
      <c r="AD68" s="249"/>
      <c r="AE68" s="249"/>
      <c r="AF68" s="249"/>
      <c r="AG68" s="249"/>
      <c r="AH68" s="249"/>
      <c r="AI68" s="249"/>
      <c r="AJ68" s="249"/>
      <c r="AK68" s="249"/>
      <c r="AL68" s="249"/>
      <c r="AM68" s="249"/>
      <c r="AN68" s="537"/>
      <c r="AO68" s="249" t="str">
        <f>IF(Z68="Yes",COUNTIF($Z$6:Z68,"Yes"),"")</f>
        <v/>
      </c>
      <c r="AP68" s="249" t="str">
        <f>IF(AA68="Yes",COUNTIF($AA$6:AA68,"Yes"),"")</f>
        <v/>
      </c>
      <c r="AQ68" s="249" t="str">
        <f>IF(AC68="Yes",COUNTIF($AC$6:AC68,"Yes"),"")</f>
        <v/>
      </c>
    </row>
    <row r="69" spans="1:43">
      <c r="A69" s="249"/>
      <c r="B69" s="249"/>
      <c r="C69" s="249"/>
      <c r="D69" s="249"/>
      <c r="E69" s="249"/>
      <c r="F69" s="249"/>
      <c r="G69" s="249"/>
      <c r="H69" s="249"/>
      <c r="I69" s="249"/>
      <c r="J69" s="249"/>
      <c r="K69" s="249"/>
      <c r="L69" s="249"/>
      <c r="M69" s="249"/>
      <c r="N69" s="249"/>
      <c r="O69" s="249"/>
      <c r="P69" s="537"/>
      <c r="Q69" s="537"/>
      <c r="R69" s="537"/>
      <c r="S69" s="538" t="str">
        <f t="shared" ca="1" si="4"/>
        <v/>
      </c>
      <c r="T69" s="538" t="str">
        <f t="shared" ca="1" si="5"/>
        <v/>
      </c>
      <c r="U69" s="249"/>
      <c r="V69" s="249"/>
      <c r="W69" s="249"/>
      <c r="X69" s="249"/>
      <c r="Y69" s="249"/>
      <c r="Z69" s="249"/>
      <c r="AA69" s="249"/>
      <c r="AB69" s="249"/>
      <c r="AC69" s="249"/>
      <c r="AD69" s="249"/>
      <c r="AE69" s="249"/>
      <c r="AF69" s="249"/>
      <c r="AG69" s="249"/>
      <c r="AH69" s="249"/>
      <c r="AI69" s="249"/>
      <c r="AJ69" s="249"/>
      <c r="AK69" s="249"/>
      <c r="AL69" s="249"/>
      <c r="AM69" s="249"/>
      <c r="AN69" s="537"/>
      <c r="AO69" s="249" t="str">
        <f>IF(Z69="Yes",COUNTIF($Z$6:Z69,"Yes"),"")</f>
        <v/>
      </c>
      <c r="AP69" s="249" t="str">
        <f>IF(AA69="Yes",COUNTIF($AA$6:AA69,"Yes"),"")</f>
        <v/>
      </c>
      <c r="AQ69" s="249" t="str">
        <f>IF(AC69="Yes",COUNTIF($AC$6:AC69,"Yes"),"")</f>
        <v/>
      </c>
    </row>
    <row r="70" spans="1:43">
      <c r="A70" s="249"/>
      <c r="B70" s="249"/>
      <c r="C70" s="249"/>
      <c r="D70" s="249"/>
      <c r="E70" s="249"/>
      <c r="F70" s="249"/>
      <c r="G70" s="249"/>
      <c r="H70" s="249"/>
      <c r="I70" s="249"/>
      <c r="J70" s="249"/>
      <c r="K70" s="249"/>
      <c r="L70" s="249"/>
      <c r="M70" s="249"/>
      <c r="N70" s="249"/>
      <c r="O70" s="249"/>
      <c r="P70" s="537"/>
      <c r="Q70" s="537"/>
      <c r="R70" s="537"/>
      <c r="S70" s="538" t="str">
        <f t="shared" ref="S70:S133" ca="1" si="6">IF(P70="","",IF(R70&lt;&gt;"",R70-P70,TODAY()-P70))</f>
        <v/>
      </c>
      <c r="T70" s="538" t="str">
        <f t="shared" ref="T70:T133" ca="1" si="7">IF(Q70="","",Q70-TODAY())</f>
        <v/>
      </c>
      <c r="U70" s="249"/>
      <c r="V70" s="249"/>
      <c r="W70" s="249"/>
      <c r="X70" s="249"/>
      <c r="Y70" s="249"/>
      <c r="Z70" s="249"/>
      <c r="AA70" s="249"/>
      <c r="AB70" s="249"/>
      <c r="AC70" s="249"/>
      <c r="AD70" s="249"/>
      <c r="AE70" s="249"/>
      <c r="AF70" s="249"/>
      <c r="AG70" s="249"/>
      <c r="AH70" s="249"/>
      <c r="AI70" s="249"/>
      <c r="AJ70" s="249"/>
      <c r="AK70" s="249"/>
      <c r="AL70" s="249"/>
      <c r="AM70" s="249"/>
      <c r="AN70" s="537"/>
      <c r="AO70" s="249" t="str">
        <f>IF(Z70="Yes",COUNTIF($Z$6:Z70,"Yes"),"")</f>
        <v/>
      </c>
      <c r="AP70" s="249" t="str">
        <f>IF(AA70="Yes",COUNTIF($AA$6:AA70,"Yes"),"")</f>
        <v/>
      </c>
      <c r="AQ70" s="249" t="str">
        <f>IF(AC70="Yes",COUNTIF($AC$6:AC70,"Yes"),"")</f>
        <v/>
      </c>
    </row>
    <row r="71" spans="1:43">
      <c r="A71" s="249"/>
      <c r="B71" s="249"/>
      <c r="C71" s="249"/>
      <c r="D71" s="249"/>
      <c r="E71" s="249"/>
      <c r="F71" s="249"/>
      <c r="G71" s="249"/>
      <c r="H71" s="249"/>
      <c r="I71" s="249"/>
      <c r="J71" s="249"/>
      <c r="K71" s="249"/>
      <c r="L71" s="249"/>
      <c r="M71" s="249"/>
      <c r="N71" s="249"/>
      <c r="O71" s="249"/>
      <c r="P71" s="537"/>
      <c r="Q71" s="537"/>
      <c r="R71" s="537"/>
      <c r="S71" s="538" t="str">
        <f t="shared" ca="1" si="6"/>
        <v/>
      </c>
      <c r="T71" s="538" t="str">
        <f t="shared" ca="1" si="7"/>
        <v/>
      </c>
      <c r="U71" s="249"/>
      <c r="V71" s="249"/>
      <c r="W71" s="249"/>
      <c r="X71" s="249"/>
      <c r="Y71" s="249"/>
      <c r="Z71" s="249"/>
      <c r="AA71" s="249"/>
      <c r="AB71" s="249"/>
      <c r="AC71" s="249"/>
      <c r="AD71" s="249"/>
      <c r="AE71" s="249"/>
      <c r="AF71" s="249"/>
      <c r="AG71" s="249"/>
      <c r="AH71" s="249"/>
      <c r="AI71" s="249"/>
      <c r="AJ71" s="249"/>
      <c r="AK71" s="249"/>
      <c r="AL71" s="249"/>
      <c r="AM71" s="249"/>
      <c r="AN71" s="537"/>
      <c r="AO71" s="249" t="str">
        <f>IF(Z71="Yes",COUNTIF($Z$6:Z71,"Yes"),"")</f>
        <v/>
      </c>
      <c r="AP71" s="249" t="str">
        <f>IF(AA71="Yes",COUNTIF($AA$6:AA71,"Yes"),"")</f>
        <v/>
      </c>
      <c r="AQ71" s="249" t="str">
        <f>IF(AC71="Yes",COUNTIF($AC$6:AC71,"Yes"),"")</f>
        <v/>
      </c>
    </row>
    <row r="72" spans="1:43">
      <c r="A72" s="249"/>
      <c r="B72" s="249"/>
      <c r="C72" s="249"/>
      <c r="D72" s="249"/>
      <c r="E72" s="249"/>
      <c r="F72" s="249"/>
      <c r="G72" s="249"/>
      <c r="H72" s="249"/>
      <c r="I72" s="249"/>
      <c r="J72" s="249"/>
      <c r="K72" s="249"/>
      <c r="L72" s="249"/>
      <c r="M72" s="249"/>
      <c r="N72" s="249"/>
      <c r="O72" s="249"/>
      <c r="P72" s="537"/>
      <c r="Q72" s="537"/>
      <c r="R72" s="537"/>
      <c r="S72" s="538" t="str">
        <f t="shared" ca="1" si="6"/>
        <v/>
      </c>
      <c r="T72" s="538" t="str">
        <f t="shared" ca="1" si="7"/>
        <v/>
      </c>
      <c r="U72" s="249"/>
      <c r="V72" s="249"/>
      <c r="W72" s="249"/>
      <c r="X72" s="249"/>
      <c r="Y72" s="249"/>
      <c r="Z72" s="249"/>
      <c r="AA72" s="249"/>
      <c r="AB72" s="249"/>
      <c r="AC72" s="249"/>
      <c r="AD72" s="249"/>
      <c r="AE72" s="249"/>
      <c r="AF72" s="249"/>
      <c r="AG72" s="249"/>
      <c r="AH72" s="249"/>
      <c r="AI72" s="249"/>
      <c r="AJ72" s="249"/>
      <c r="AK72" s="249"/>
      <c r="AL72" s="249"/>
      <c r="AM72" s="249"/>
      <c r="AN72" s="537"/>
      <c r="AO72" s="249" t="str">
        <f>IF(Z72="Yes",COUNTIF($Z$6:Z72,"Yes"),"")</f>
        <v/>
      </c>
      <c r="AP72" s="249" t="str">
        <f>IF(AA72="Yes",COUNTIF($AA$6:AA72,"Yes"),"")</f>
        <v/>
      </c>
      <c r="AQ72" s="249" t="str">
        <f>IF(AC72="Yes",COUNTIF($AC$6:AC72,"Yes"),"")</f>
        <v/>
      </c>
    </row>
    <row r="73" spans="1:43">
      <c r="A73" s="249"/>
      <c r="B73" s="249"/>
      <c r="C73" s="249"/>
      <c r="D73" s="249"/>
      <c r="E73" s="249"/>
      <c r="F73" s="249"/>
      <c r="G73" s="249"/>
      <c r="H73" s="249"/>
      <c r="I73" s="249"/>
      <c r="J73" s="249"/>
      <c r="K73" s="249"/>
      <c r="L73" s="249"/>
      <c r="M73" s="249"/>
      <c r="N73" s="249"/>
      <c r="O73" s="249"/>
      <c r="P73" s="537"/>
      <c r="Q73" s="537"/>
      <c r="R73" s="537"/>
      <c r="S73" s="538" t="str">
        <f t="shared" ca="1" si="6"/>
        <v/>
      </c>
      <c r="T73" s="538" t="str">
        <f t="shared" ca="1" si="7"/>
        <v/>
      </c>
      <c r="U73" s="249"/>
      <c r="V73" s="249"/>
      <c r="W73" s="249"/>
      <c r="X73" s="249"/>
      <c r="Y73" s="249"/>
      <c r="Z73" s="249"/>
      <c r="AA73" s="249"/>
      <c r="AB73" s="249"/>
      <c r="AC73" s="249"/>
      <c r="AD73" s="249"/>
      <c r="AE73" s="249"/>
      <c r="AF73" s="249"/>
      <c r="AG73" s="249"/>
      <c r="AH73" s="249"/>
      <c r="AI73" s="249"/>
      <c r="AJ73" s="249"/>
      <c r="AK73" s="249"/>
      <c r="AL73" s="249"/>
      <c r="AM73" s="249"/>
      <c r="AN73" s="537"/>
      <c r="AO73" s="249" t="str">
        <f>IF(Z73="Yes",COUNTIF($Z$6:Z73,"Yes"),"")</f>
        <v/>
      </c>
      <c r="AP73" s="249" t="str">
        <f>IF(AA73="Yes",COUNTIF($AA$6:AA73,"Yes"),"")</f>
        <v/>
      </c>
      <c r="AQ73" s="249" t="str">
        <f>IF(AC73="Yes",COUNTIF($AC$6:AC73,"Yes"),"")</f>
        <v/>
      </c>
    </row>
    <row r="74" spans="1:43">
      <c r="A74" s="249"/>
      <c r="B74" s="249"/>
      <c r="C74" s="249"/>
      <c r="D74" s="249"/>
      <c r="E74" s="249"/>
      <c r="F74" s="249"/>
      <c r="G74" s="249"/>
      <c r="H74" s="249"/>
      <c r="I74" s="249"/>
      <c r="J74" s="249"/>
      <c r="K74" s="249"/>
      <c r="L74" s="249"/>
      <c r="M74" s="249"/>
      <c r="N74" s="249"/>
      <c r="O74" s="249"/>
      <c r="P74" s="537"/>
      <c r="Q74" s="537"/>
      <c r="R74" s="537"/>
      <c r="S74" s="538" t="str">
        <f t="shared" ca="1" si="6"/>
        <v/>
      </c>
      <c r="T74" s="538" t="str">
        <f t="shared" ca="1" si="7"/>
        <v/>
      </c>
      <c r="U74" s="249"/>
      <c r="V74" s="249"/>
      <c r="W74" s="249"/>
      <c r="X74" s="249"/>
      <c r="Y74" s="249"/>
      <c r="Z74" s="249"/>
      <c r="AA74" s="249"/>
      <c r="AB74" s="249"/>
      <c r="AC74" s="249"/>
      <c r="AD74" s="249"/>
      <c r="AE74" s="249"/>
      <c r="AF74" s="249"/>
      <c r="AG74" s="249"/>
      <c r="AH74" s="249"/>
      <c r="AI74" s="249"/>
      <c r="AJ74" s="249"/>
      <c r="AK74" s="249"/>
      <c r="AL74" s="249"/>
      <c r="AM74" s="249"/>
      <c r="AN74" s="537"/>
      <c r="AO74" s="249" t="str">
        <f>IF(Z74="Yes",COUNTIF($Z$6:Z74,"Yes"),"")</f>
        <v/>
      </c>
      <c r="AP74" s="249" t="str">
        <f>IF(AA74="Yes",COUNTIF($AA$6:AA74,"Yes"),"")</f>
        <v/>
      </c>
      <c r="AQ74" s="249" t="str">
        <f>IF(AC74="Yes",COUNTIF($AC$6:AC74,"Yes"),"")</f>
        <v/>
      </c>
    </row>
    <row r="75" spans="1:43">
      <c r="A75" s="249"/>
      <c r="B75" s="249"/>
      <c r="C75" s="249"/>
      <c r="D75" s="249"/>
      <c r="E75" s="249"/>
      <c r="F75" s="249"/>
      <c r="G75" s="249"/>
      <c r="H75" s="249"/>
      <c r="I75" s="249"/>
      <c r="J75" s="249"/>
      <c r="K75" s="249"/>
      <c r="L75" s="249"/>
      <c r="M75" s="249"/>
      <c r="N75" s="249"/>
      <c r="O75" s="249"/>
      <c r="P75" s="537"/>
      <c r="Q75" s="537"/>
      <c r="R75" s="537"/>
      <c r="S75" s="538" t="str">
        <f t="shared" ca="1" si="6"/>
        <v/>
      </c>
      <c r="T75" s="538" t="str">
        <f t="shared" ca="1" si="7"/>
        <v/>
      </c>
      <c r="U75" s="249"/>
      <c r="V75" s="249"/>
      <c r="W75" s="249"/>
      <c r="X75" s="249"/>
      <c r="Y75" s="249"/>
      <c r="Z75" s="249"/>
      <c r="AA75" s="249"/>
      <c r="AB75" s="249"/>
      <c r="AC75" s="249"/>
      <c r="AD75" s="249"/>
      <c r="AE75" s="249"/>
      <c r="AF75" s="249"/>
      <c r="AG75" s="249"/>
      <c r="AH75" s="249"/>
      <c r="AI75" s="249"/>
      <c r="AJ75" s="249"/>
      <c r="AK75" s="249"/>
      <c r="AL75" s="249"/>
      <c r="AM75" s="249"/>
      <c r="AN75" s="537"/>
      <c r="AO75" s="249" t="str">
        <f>IF(Z75="Yes",COUNTIF($Z$6:Z75,"Yes"),"")</f>
        <v/>
      </c>
      <c r="AP75" s="249" t="str">
        <f>IF(AA75="Yes",COUNTIF($AA$6:AA75,"Yes"),"")</f>
        <v/>
      </c>
      <c r="AQ75" s="249" t="str">
        <f>IF(AC75="Yes",COUNTIF($AC$6:AC75,"Yes"),"")</f>
        <v/>
      </c>
    </row>
    <row r="76" spans="1:43">
      <c r="A76" s="249"/>
      <c r="B76" s="249"/>
      <c r="C76" s="249"/>
      <c r="D76" s="249"/>
      <c r="E76" s="249"/>
      <c r="F76" s="249"/>
      <c r="G76" s="249"/>
      <c r="H76" s="249"/>
      <c r="I76" s="249"/>
      <c r="J76" s="249"/>
      <c r="K76" s="249"/>
      <c r="L76" s="249"/>
      <c r="M76" s="249"/>
      <c r="N76" s="249"/>
      <c r="O76" s="249"/>
      <c r="P76" s="537"/>
      <c r="Q76" s="537"/>
      <c r="R76" s="537"/>
      <c r="S76" s="538" t="str">
        <f t="shared" ca="1" si="6"/>
        <v/>
      </c>
      <c r="T76" s="538" t="str">
        <f t="shared" ca="1" si="7"/>
        <v/>
      </c>
      <c r="U76" s="249"/>
      <c r="V76" s="249"/>
      <c r="W76" s="249"/>
      <c r="X76" s="249"/>
      <c r="Y76" s="249"/>
      <c r="Z76" s="249"/>
      <c r="AA76" s="249"/>
      <c r="AB76" s="249"/>
      <c r="AC76" s="249"/>
      <c r="AD76" s="249"/>
      <c r="AE76" s="249"/>
      <c r="AF76" s="249"/>
      <c r="AG76" s="249"/>
      <c r="AH76" s="249"/>
      <c r="AI76" s="249"/>
      <c r="AJ76" s="249"/>
      <c r="AK76" s="249"/>
      <c r="AL76" s="249"/>
      <c r="AM76" s="249"/>
      <c r="AN76" s="537"/>
      <c r="AO76" s="249" t="str">
        <f>IF(Z76="Yes",COUNTIF($Z$6:Z76,"Yes"),"")</f>
        <v/>
      </c>
      <c r="AP76" s="249" t="str">
        <f>IF(AA76="Yes",COUNTIF($AA$6:AA76,"Yes"),"")</f>
        <v/>
      </c>
      <c r="AQ76" s="249" t="str">
        <f>IF(AC76="Yes",COUNTIF($AC$6:AC76,"Yes"),"")</f>
        <v/>
      </c>
    </row>
    <row r="77" spans="1:43">
      <c r="A77" s="249"/>
      <c r="B77" s="249"/>
      <c r="C77" s="249"/>
      <c r="D77" s="249"/>
      <c r="E77" s="249"/>
      <c r="F77" s="249"/>
      <c r="G77" s="249"/>
      <c r="H77" s="249"/>
      <c r="I77" s="249"/>
      <c r="J77" s="249"/>
      <c r="K77" s="249"/>
      <c r="L77" s="249"/>
      <c r="M77" s="249"/>
      <c r="N77" s="249"/>
      <c r="O77" s="249"/>
      <c r="P77" s="537"/>
      <c r="Q77" s="537"/>
      <c r="R77" s="537"/>
      <c r="S77" s="538" t="str">
        <f t="shared" ca="1" si="6"/>
        <v/>
      </c>
      <c r="T77" s="538" t="str">
        <f t="shared" ca="1" si="7"/>
        <v/>
      </c>
      <c r="U77" s="249"/>
      <c r="V77" s="249"/>
      <c r="W77" s="249"/>
      <c r="X77" s="249"/>
      <c r="Y77" s="249"/>
      <c r="Z77" s="249"/>
      <c r="AA77" s="249"/>
      <c r="AB77" s="249"/>
      <c r="AC77" s="249"/>
      <c r="AD77" s="249"/>
      <c r="AE77" s="249"/>
      <c r="AF77" s="249"/>
      <c r="AG77" s="249"/>
      <c r="AH77" s="249"/>
      <c r="AI77" s="249"/>
      <c r="AJ77" s="249"/>
      <c r="AK77" s="249"/>
      <c r="AL77" s="249"/>
      <c r="AM77" s="249"/>
      <c r="AN77" s="537"/>
      <c r="AO77" s="249" t="str">
        <f>IF(Z77="Yes",COUNTIF($Z$6:Z77,"Yes"),"")</f>
        <v/>
      </c>
      <c r="AP77" s="249" t="str">
        <f>IF(AA77="Yes",COUNTIF($AA$6:AA77,"Yes"),"")</f>
        <v/>
      </c>
      <c r="AQ77" s="249" t="str">
        <f>IF(AC77="Yes",COUNTIF($AC$6:AC77,"Yes"),"")</f>
        <v/>
      </c>
    </row>
    <row r="78" spans="1:43">
      <c r="A78" s="249"/>
      <c r="B78" s="249"/>
      <c r="C78" s="249"/>
      <c r="D78" s="249"/>
      <c r="E78" s="249"/>
      <c r="F78" s="249"/>
      <c r="G78" s="249"/>
      <c r="H78" s="249"/>
      <c r="I78" s="249"/>
      <c r="J78" s="249"/>
      <c r="K78" s="249"/>
      <c r="L78" s="249"/>
      <c r="M78" s="249"/>
      <c r="N78" s="249"/>
      <c r="O78" s="249"/>
      <c r="P78" s="537"/>
      <c r="Q78" s="537"/>
      <c r="R78" s="537"/>
      <c r="S78" s="538" t="str">
        <f t="shared" ca="1" si="6"/>
        <v/>
      </c>
      <c r="T78" s="538" t="str">
        <f t="shared" ca="1" si="7"/>
        <v/>
      </c>
      <c r="U78" s="249"/>
      <c r="V78" s="249"/>
      <c r="W78" s="249"/>
      <c r="X78" s="249"/>
      <c r="Y78" s="249"/>
      <c r="Z78" s="249"/>
      <c r="AA78" s="249"/>
      <c r="AB78" s="249"/>
      <c r="AC78" s="249"/>
      <c r="AD78" s="249"/>
      <c r="AE78" s="249"/>
      <c r="AF78" s="249"/>
      <c r="AG78" s="249"/>
      <c r="AH78" s="249"/>
      <c r="AI78" s="249"/>
      <c r="AJ78" s="249"/>
      <c r="AK78" s="249"/>
      <c r="AL78" s="249"/>
      <c r="AM78" s="249"/>
      <c r="AN78" s="537"/>
      <c r="AO78" s="249" t="str">
        <f>IF(Z78="Yes",COUNTIF($Z$6:Z78,"Yes"),"")</f>
        <v/>
      </c>
      <c r="AP78" s="249" t="str">
        <f>IF(AA78="Yes",COUNTIF($AA$6:AA78,"Yes"),"")</f>
        <v/>
      </c>
      <c r="AQ78" s="249" t="str">
        <f>IF(AC78="Yes",COUNTIF($AC$6:AC78,"Yes"),"")</f>
        <v/>
      </c>
    </row>
    <row r="79" spans="1:43">
      <c r="A79" s="249"/>
      <c r="B79" s="249"/>
      <c r="C79" s="249"/>
      <c r="D79" s="249"/>
      <c r="E79" s="249"/>
      <c r="F79" s="249"/>
      <c r="G79" s="249"/>
      <c r="H79" s="249"/>
      <c r="I79" s="249"/>
      <c r="J79" s="249"/>
      <c r="K79" s="249"/>
      <c r="L79" s="249"/>
      <c r="M79" s="249"/>
      <c r="N79" s="249"/>
      <c r="O79" s="249"/>
      <c r="P79" s="537"/>
      <c r="Q79" s="537"/>
      <c r="R79" s="537"/>
      <c r="S79" s="538" t="str">
        <f t="shared" ca="1" si="6"/>
        <v/>
      </c>
      <c r="T79" s="538" t="str">
        <f t="shared" ca="1" si="7"/>
        <v/>
      </c>
      <c r="U79" s="249"/>
      <c r="V79" s="249"/>
      <c r="W79" s="249"/>
      <c r="X79" s="249"/>
      <c r="Y79" s="249"/>
      <c r="Z79" s="249"/>
      <c r="AA79" s="249"/>
      <c r="AB79" s="249"/>
      <c r="AC79" s="249"/>
      <c r="AD79" s="249"/>
      <c r="AE79" s="249"/>
      <c r="AF79" s="249"/>
      <c r="AG79" s="249"/>
      <c r="AH79" s="249"/>
      <c r="AI79" s="249"/>
      <c r="AJ79" s="249"/>
      <c r="AK79" s="249"/>
      <c r="AL79" s="249"/>
      <c r="AM79" s="249"/>
      <c r="AN79" s="537"/>
      <c r="AO79" s="249" t="str">
        <f>IF(Z79="Yes",COUNTIF($Z$6:Z79,"Yes"),"")</f>
        <v/>
      </c>
      <c r="AP79" s="249" t="str">
        <f>IF(AA79="Yes",COUNTIF($AA$6:AA79,"Yes"),"")</f>
        <v/>
      </c>
      <c r="AQ79" s="249" t="str">
        <f>IF(AC79="Yes",COUNTIF($AC$6:AC79,"Yes"),"")</f>
        <v/>
      </c>
    </row>
    <row r="80" spans="1:43">
      <c r="A80" s="249"/>
      <c r="B80" s="249"/>
      <c r="C80" s="249"/>
      <c r="D80" s="249"/>
      <c r="E80" s="249"/>
      <c r="F80" s="249"/>
      <c r="G80" s="249"/>
      <c r="H80" s="249"/>
      <c r="I80" s="249"/>
      <c r="J80" s="249"/>
      <c r="K80" s="249"/>
      <c r="L80" s="249"/>
      <c r="M80" s="249"/>
      <c r="N80" s="249"/>
      <c r="O80" s="249"/>
      <c r="P80" s="537"/>
      <c r="Q80" s="537"/>
      <c r="R80" s="537"/>
      <c r="S80" s="538" t="str">
        <f t="shared" ca="1" si="6"/>
        <v/>
      </c>
      <c r="T80" s="538" t="str">
        <f t="shared" ca="1" si="7"/>
        <v/>
      </c>
      <c r="U80" s="249"/>
      <c r="V80" s="249"/>
      <c r="W80" s="249"/>
      <c r="X80" s="249"/>
      <c r="Y80" s="249"/>
      <c r="Z80" s="249"/>
      <c r="AA80" s="249"/>
      <c r="AB80" s="249"/>
      <c r="AC80" s="249"/>
      <c r="AD80" s="249"/>
      <c r="AE80" s="249"/>
      <c r="AF80" s="249"/>
      <c r="AG80" s="249"/>
      <c r="AH80" s="249"/>
      <c r="AI80" s="249"/>
      <c r="AJ80" s="249"/>
      <c r="AK80" s="249"/>
      <c r="AL80" s="249"/>
      <c r="AM80" s="249"/>
      <c r="AN80" s="537"/>
      <c r="AO80" s="249" t="str">
        <f>IF(Z80="Yes",COUNTIF($Z$6:Z80,"Yes"),"")</f>
        <v/>
      </c>
      <c r="AP80" s="249" t="str">
        <f>IF(AA80="Yes",COUNTIF($AA$6:AA80,"Yes"),"")</f>
        <v/>
      </c>
      <c r="AQ80" s="249" t="str">
        <f>IF(AC80="Yes",COUNTIF($AC$6:AC80,"Yes"),"")</f>
        <v/>
      </c>
    </row>
    <row r="81" spans="1:43">
      <c r="A81" s="249"/>
      <c r="B81" s="249"/>
      <c r="C81" s="249"/>
      <c r="D81" s="249"/>
      <c r="E81" s="249"/>
      <c r="F81" s="249"/>
      <c r="G81" s="249"/>
      <c r="H81" s="249"/>
      <c r="I81" s="249"/>
      <c r="J81" s="249"/>
      <c r="K81" s="249"/>
      <c r="L81" s="249"/>
      <c r="M81" s="249"/>
      <c r="N81" s="249"/>
      <c r="O81" s="249"/>
      <c r="P81" s="537"/>
      <c r="Q81" s="537"/>
      <c r="R81" s="537"/>
      <c r="S81" s="538" t="str">
        <f t="shared" ca="1" si="6"/>
        <v/>
      </c>
      <c r="T81" s="538" t="str">
        <f t="shared" ca="1" si="7"/>
        <v/>
      </c>
      <c r="U81" s="249"/>
      <c r="V81" s="249"/>
      <c r="W81" s="249"/>
      <c r="X81" s="249"/>
      <c r="Y81" s="249"/>
      <c r="Z81" s="249"/>
      <c r="AA81" s="249"/>
      <c r="AB81" s="249"/>
      <c r="AC81" s="249"/>
      <c r="AD81" s="249"/>
      <c r="AE81" s="249"/>
      <c r="AF81" s="249"/>
      <c r="AG81" s="249"/>
      <c r="AH81" s="249"/>
      <c r="AI81" s="249"/>
      <c r="AJ81" s="249"/>
      <c r="AK81" s="249"/>
      <c r="AL81" s="249"/>
      <c r="AM81" s="249"/>
      <c r="AN81" s="537"/>
      <c r="AO81" s="249" t="str">
        <f>IF(Z81="Yes",COUNTIF($Z$6:Z81,"Yes"),"")</f>
        <v/>
      </c>
      <c r="AP81" s="249" t="str">
        <f>IF(AA81="Yes",COUNTIF($AA$6:AA81,"Yes"),"")</f>
        <v/>
      </c>
      <c r="AQ81" s="249" t="str">
        <f>IF(AC81="Yes",COUNTIF($AC$6:AC81,"Yes"),"")</f>
        <v/>
      </c>
    </row>
    <row r="82" spans="1:43">
      <c r="A82" s="249"/>
      <c r="B82" s="249"/>
      <c r="C82" s="249"/>
      <c r="D82" s="249"/>
      <c r="E82" s="249"/>
      <c r="F82" s="249"/>
      <c r="G82" s="249"/>
      <c r="H82" s="249"/>
      <c r="I82" s="249"/>
      <c r="J82" s="249"/>
      <c r="K82" s="249"/>
      <c r="L82" s="249"/>
      <c r="M82" s="249"/>
      <c r="N82" s="249"/>
      <c r="O82" s="249"/>
      <c r="P82" s="537"/>
      <c r="Q82" s="537"/>
      <c r="R82" s="537"/>
      <c r="S82" s="538" t="str">
        <f t="shared" ca="1" si="6"/>
        <v/>
      </c>
      <c r="T82" s="538" t="str">
        <f t="shared" ca="1" si="7"/>
        <v/>
      </c>
      <c r="U82" s="249"/>
      <c r="V82" s="249"/>
      <c r="W82" s="249"/>
      <c r="X82" s="249"/>
      <c r="Y82" s="249"/>
      <c r="Z82" s="249"/>
      <c r="AA82" s="249"/>
      <c r="AB82" s="249"/>
      <c r="AC82" s="249"/>
      <c r="AD82" s="249"/>
      <c r="AE82" s="249"/>
      <c r="AF82" s="249"/>
      <c r="AG82" s="249"/>
      <c r="AH82" s="249"/>
      <c r="AI82" s="249"/>
      <c r="AJ82" s="249"/>
      <c r="AK82" s="249"/>
      <c r="AL82" s="249"/>
      <c r="AM82" s="249"/>
      <c r="AN82" s="537"/>
      <c r="AO82" s="249" t="str">
        <f>IF(Z82="Yes",COUNTIF($Z$6:Z82,"Yes"),"")</f>
        <v/>
      </c>
      <c r="AP82" s="249" t="str">
        <f>IF(AA82="Yes",COUNTIF($AA$6:AA82,"Yes"),"")</f>
        <v/>
      </c>
      <c r="AQ82" s="249" t="str">
        <f>IF(AC82="Yes",COUNTIF($AC$6:AC82,"Yes"),"")</f>
        <v/>
      </c>
    </row>
    <row r="83" spans="1:43">
      <c r="A83" s="249"/>
      <c r="B83" s="249"/>
      <c r="C83" s="249"/>
      <c r="D83" s="249"/>
      <c r="E83" s="249"/>
      <c r="F83" s="249"/>
      <c r="G83" s="249"/>
      <c r="H83" s="249"/>
      <c r="I83" s="249"/>
      <c r="J83" s="249"/>
      <c r="K83" s="249"/>
      <c r="L83" s="249"/>
      <c r="M83" s="249"/>
      <c r="N83" s="249"/>
      <c r="O83" s="249"/>
      <c r="P83" s="537"/>
      <c r="Q83" s="537"/>
      <c r="R83" s="537"/>
      <c r="S83" s="538" t="str">
        <f t="shared" ca="1" si="6"/>
        <v/>
      </c>
      <c r="T83" s="538" t="str">
        <f t="shared" ca="1" si="7"/>
        <v/>
      </c>
      <c r="U83" s="249"/>
      <c r="V83" s="249"/>
      <c r="W83" s="249"/>
      <c r="X83" s="249"/>
      <c r="Y83" s="249"/>
      <c r="Z83" s="249"/>
      <c r="AA83" s="249"/>
      <c r="AB83" s="249"/>
      <c r="AC83" s="249"/>
      <c r="AD83" s="249"/>
      <c r="AE83" s="249"/>
      <c r="AF83" s="249"/>
      <c r="AG83" s="249"/>
      <c r="AH83" s="249"/>
      <c r="AI83" s="249"/>
      <c r="AJ83" s="249"/>
      <c r="AK83" s="249"/>
      <c r="AL83" s="249"/>
      <c r="AM83" s="249"/>
      <c r="AN83" s="537"/>
      <c r="AO83" s="249" t="str">
        <f>IF(Z83="Yes",COUNTIF($Z$6:Z83,"Yes"),"")</f>
        <v/>
      </c>
      <c r="AP83" s="249" t="str">
        <f>IF(AA83="Yes",COUNTIF($AA$6:AA83,"Yes"),"")</f>
        <v/>
      </c>
      <c r="AQ83" s="249" t="str">
        <f>IF(AC83="Yes",COUNTIF($AC$6:AC83,"Yes"),"")</f>
        <v/>
      </c>
    </row>
    <row r="84" spans="1:43">
      <c r="A84" s="249"/>
      <c r="B84" s="249"/>
      <c r="C84" s="249"/>
      <c r="D84" s="249"/>
      <c r="E84" s="249"/>
      <c r="F84" s="249"/>
      <c r="G84" s="249"/>
      <c r="H84" s="249"/>
      <c r="I84" s="249"/>
      <c r="J84" s="249"/>
      <c r="K84" s="249"/>
      <c r="L84" s="249"/>
      <c r="M84" s="249"/>
      <c r="N84" s="249"/>
      <c r="O84" s="249"/>
      <c r="P84" s="537"/>
      <c r="Q84" s="537"/>
      <c r="R84" s="537"/>
      <c r="S84" s="538" t="str">
        <f t="shared" ca="1" si="6"/>
        <v/>
      </c>
      <c r="T84" s="538" t="str">
        <f t="shared" ca="1" si="7"/>
        <v/>
      </c>
      <c r="U84" s="249"/>
      <c r="V84" s="249"/>
      <c r="W84" s="249"/>
      <c r="X84" s="249"/>
      <c r="Y84" s="249"/>
      <c r="Z84" s="249"/>
      <c r="AA84" s="249"/>
      <c r="AB84" s="249"/>
      <c r="AC84" s="249"/>
      <c r="AD84" s="249"/>
      <c r="AE84" s="249"/>
      <c r="AF84" s="249"/>
      <c r="AG84" s="249"/>
      <c r="AH84" s="249"/>
      <c r="AI84" s="249"/>
      <c r="AJ84" s="249"/>
      <c r="AK84" s="249"/>
      <c r="AL84" s="249"/>
      <c r="AM84" s="249"/>
      <c r="AN84" s="537"/>
      <c r="AO84" s="249" t="str">
        <f>IF(Z84="Yes",COUNTIF($Z$6:Z84,"Yes"),"")</f>
        <v/>
      </c>
      <c r="AP84" s="249" t="str">
        <f>IF(AA84="Yes",COUNTIF($AA$6:AA84,"Yes"),"")</f>
        <v/>
      </c>
      <c r="AQ84" s="249" t="str">
        <f>IF(AC84="Yes",COUNTIF($AC$6:AC84,"Yes"),"")</f>
        <v/>
      </c>
    </row>
    <row r="85" spans="1:43">
      <c r="A85" s="249"/>
      <c r="B85" s="249"/>
      <c r="C85" s="249"/>
      <c r="D85" s="249"/>
      <c r="E85" s="249"/>
      <c r="F85" s="249"/>
      <c r="G85" s="249"/>
      <c r="H85" s="249"/>
      <c r="I85" s="249"/>
      <c r="J85" s="249"/>
      <c r="K85" s="249"/>
      <c r="L85" s="249"/>
      <c r="M85" s="249"/>
      <c r="N85" s="249"/>
      <c r="O85" s="249"/>
      <c r="P85" s="537"/>
      <c r="Q85" s="537"/>
      <c r="R85" s="537"/>
      <c r="S85" s="538" t="str">
        <f t="shared" ca="1" si="6"/>
        <v/>
      </c>
      <c r="T85" s="538" t="str">
        <f t="shared" ca="1" si="7"/>
        <v/>
      </c>
      <c r="U85" s="249"/>
      <c r="V85" s="249"/>
      <c r="W85" s="249"/>
      <c r="X85" s="249"/>
      <c r="Y85" s="249"/>
      <c r="Z85" s="249"/>
      <c r="AA85" s="249"/>
      <c r="AB85" s="249"/>
      <c r="AC85" s="249"/>
      <c r="AD85" s="249"/>
      <c r="AE85" s="249"/>
      <c r="AF85" s="249"/>
      <c r="AG85" s="249"/>
      <c r="AH85" s="249"/>
      <c r="AI85" s="249"/>
      <c r="AJ85" s="249"/>
      <c r="AK85" s="249"/>
      <c r="AL85" s="249"/>
      <c r="AM85" s="249"/>
      <c r="AN85" s="537"/>
      <c r="AO85" s="249" t="str">
        <f>IF(Z85="Yes",COUNTIF($Z$6:Z85,"Yes"),"")</f>
        <v/>
      </c>
      <c r="AP85" s="249" t="str">
        <f>IF(AA85="Yes",COUNTIF($AA$6:AA85,"Yes"),"")</f>
        <v/>
      </c>
      <c r="AQ85" s="249" t="str">
        <f>IF(AC85="Yes",COUNTIF($AC$6:AC85,"Yes"),"")</f>
        <v/>
      </c>
    </row>
    <row r="86" spans="1:43">
      <c r="A86" s="249"/>
      <c r="B86" s="249"/>
      <c r="C86" s="249"/>
      <c r="D86" s="249"/>
      <c r="E86" s="249"/>
      <c r="F86" s="249"/>
      <c r="G86" s="249"/>
      <c r="H86" s="249"/>
      <c r="I86" s="249"/>
      <c r="J86" s="249"/>
      <c r="K86" s="249"/>
      <c r="L86" s="249"/>
      <c r="M86" s="249"/>
      <c r="N86" s="249"/>
      <c r="O86" s="249"/>
      <c r="P86" s="537"/>
      <c r="Q86" s="537"/>
      <c r="R86" s="537"/>
      <c r="S86" s="538" t="str">
        <f t="shared" ca="1" si="6"/>
        <v/>
      </c>
      <c r="T86" s="538" t="str">
        <f t="shared" ca="1" si="7"/>
        <v/>
      </c>
      <c r="U86" s="249"/>
      <c r="V86" s="249"/>
      <c r="W86" s="249"/>
      <c r="X86" s="249"/>
      <c r="Y86" s="249"/>
      <c r="Z86" s="249"/>
      <c r="AA86" s="249"/>
      <c r="AB86" s="249"/>
      <c r="AC86" s="249"/>
      <c r="AD86" s="249"/>
      <c r="AE86" s="249"/>
      <c r="AF86" s="249"/>
      <c r="AG86" s="249"/>
      <c r="AH86" s="249"/>
      <c r="AI86" s="249"/>
      <c r="AJ86" s="249"/>
      <c r="AK86" s="249"/>
      <c r="AL86" s="249"/>
      <c r="AM86" s="249"/>
      <c r="AN86" s="537"/>
      <c r="AO86" s="249" t="str">
        <f>IF(Z86="Yes",COUNTIF($Z$6:Z86,"Yes"),"")</f>
        <v/>
      </c>
      <c r="AP86" s="249" t="str">
        <f>IF(AA86="Yes",COUNTIF($AA$6:AA86,"Yes"),"")</f>
        <v/>
      </c>
      <c r="AQ86" s="249" t="str">
        <f>IF(AC86="Yes",COUNTIF($AC$6:AC86,"Yes"),"")</f>
        <v/>
      </c>
    </row>
    <row r="87" spans="1:43">
      <c r="A87" s="249"/>
      <c r="B87" s="249"/>
      <c r="C87" s="249"/>
      <c r="D87" s="249"/>
      <c r="E87" s="249"/>
      <c r="F87" s="249"/>
      <c r="G87" s="249"/>
      <c r="H87" s="249"/>
      <c r="I87" s="249"/>
      <c r="J87" s="249"/>
      <c r="K87" s="249"/>
      <c r="L87" s="249"/>
      <c r="M87" s="249"/>
      <c r="N87" s="249"/>
      <c r="O87" s="249"/>
      <c r="P87" s="537"/>
      <c r="Q87" s="537"/>
      <c r="R87" s="537"/>
      <c r="S87" s="538" t="str">
        <f t="shared" ca="1" si="6"/>
        <v/>
      </c>
      <c r="T87" s="538" t="str">
        <f t="shared" ca="1" si="7"/>
        <v/>
      </c>
      <c r="U87" s="249"/>
      <c r="V87" s="249"/>
      <c r="W87" s="249"/>
      <c r="X87" s="249"/>
      <c r="Y87" s="249"/>
      <c r="Z87" s="249"/>
      <c r="AA87" s="249"/>
      <c r="AB87" s="249"/>
      <c r="AC87" s="249"/>
      <c r="AD87" s="249"/>
      <c r="AE87" s="249"/>
      <c r="AF87" s="249"/>
      <c r="AG87" s="249"/>
      <c r="AH87" s="249"/>
      <c r="AI87" s="249"/>
      <c r="AJ87" s="249"/>
      <c r="AK87" s="249"/>
      <c r="AL87" s="249"/>
      <c r="AM87" s="249"/>
      <c r="AN87" s="537"/>
      <c r="AO87" s="249" t="str">
        <f>IF(Z87="Yes",COUNTIF($Z$6:Z87,"Yes"),"")</f>
        <v/>
      </c>
      <c r="AP87" s="249" t="str">
        <f>IF(AA87="Yes",COUNTIF($AA$6:AA87,"Yes"),"")</f>
        <v/>
      </c>
      <c r="AQ87" s="249" t="str">
        <f>IF(AC87="Yes",COUNTIF($AC$6:AC87,"Yes"),"")</f>
        <v/>
      </c>
    </row>
    <row r="88" spans="1:43">
      <c r="A88" s="249"/>
      <c r="B88" s="249"/>
      <c r="C88" s="249"/>
      <c r="D88" s="249"/>
      <c r="E88" s="249"/>
      <c r="F88" s="249"/>
      <c r="G88" s="249"/>
      <c r="H88" s="249"/>
      <c r="I88" s="249"/>
      <c r="J88" s="249"/>
      <c r="K88" s="249"/>
      <c r="L88" s="249"/>
      <c r="M88" s="249"/>
      <c r="N88" s="249"/>
      <c r="O88" s="249"/>
      <c r="P88" s="537"/>
      <c r="Q88" s="537"/>
      <c r="R88" s="537"/>
      <c r="S88" s="538" t="str">
        <f t="shared" ca="1" si="6"/>
        <v/>
      </c>
      <c r="T88" s="538" t="str">
        <f t="shared" ca="1" si="7"/>
        <v/>
      </c>
      <c r="U88" s="249"/>
      <c r="V88" s="249"/>
      <c r="W88" s="249"/>
      <c r="X88" s="249"/>
      <c r="Y88" s="249"/>
      <c r="Z88" s="249"/>
      <c r="AA88" s="249"/>
      <c r="AB88" s="249"/>
      <c r="AC88" s="249"/>
      <c r="AD88" s="249"/>
      <c r="AE88" s="249"/>
      <c r="AF88" s="249"/>
      <c r="AG88" s="249"/>
      <c r="AH88" s="249"/>
      <c r="AI88" s="249"/>
      <c r="AJ88" s="249"/>
      <c r="AK88" s="249"/>
      <c r="AL88" s="249"/>
      <c r="AM88" s="249"/>
      <c r="AN88" s="537"/>
      <c r="AO88" s="249" t="str">
        <f>IF(Z88="Yes",COUNTIF($Z$6:Z88,"Yes"),"")</f>
        <v/>
      </c>
      <c r="AP88" s="249" t="str">
        <f>IF(AA88="Yes",COUNTIF($AA$6:AA88,"Yes"),"")</f>
        <v/>
      </c>
      <c r="AQ88" s="249" t="str">
        <f>IF(AC88="Yes",COUNTIF($AC$6:AC88,"Yes"),"")</f>
        <v/>
      </c>
    </row>
    <row r="89" spans="1:43">
      <c r="A89" s="249"/>
      <c r="B89" s="249"/>
      <c r="C89" s="249"/>
      <c r="D89" s="249"/>
      <c r="E89" s="249"/>
      <c r="F89" s="249"/>
      <c r="G89" s="249"/>
      <c r="H89" s="249"/>
      <c r="I89" s="249"/>
      <c r="J89" s="249"/>
      <c r="K89" s="249"/>
      <c r="L89" s="249"/>
      <c r="M89" s="249"/>
      <c r="N89" s="249"/>
      <c r="O89" s="249"/>
      <c r="P89" s="537"/>
      <c r="Q89" s="537"/>
      <c r="R89" s="537"/>
      <c r="S89" s="538" t="str">
        <f t="shared" ca="1" si="6"/>
        <v/>
      </c>
      <c r="T89" s="538" t="str">
        <f t="shared" ca="1" si="7"/>
        <v/>
      </c>
      <c r="U89" s="249"/>
      <c r="V89" s="249"/>
      <c r="W89" s="249"/>
      <c r="X89" s="249"/>
      <c r="Y89" s="249"/>
      <c r="Z89" s="249"/>
      <c r="AA89" s="249"/>
      <c r="AB89" s="249"/>
      <c r="AC89" s="249"/>
      <c r="AD89" s="249"/>
      <c r="AE89" s="249"/>
      <c r="AF89" s="249"/>
      <c r="AG89" s="249"/>
      <c r="AH89" s="249"/>
      <c r="AI89" s="249"/>
      <c r="AJ89" s="249"/>
      <c r="AK89" s="249"/>
      <c r="AL89" s="249"/>
      <c r="AM89" s="249"/>
      <c r="AN89" s="537"/>
      <c r="AO89" s="249" t="str">
        <f>IF(Z89="Yes",COUNTIF($Z$6:Z89,"Yes"),"")</f>
        <v/>
      </c>
      <c r="AP89" s="249" t="str">
        <f>IF(AA89="Yes",COUNTIF($AA$6:AA89,"Yes"),"")</f>
        <v/>
      </c>
      <c r="AQ89" s="249" t="str">
        <f>IF(AC89="Yes",COUNTIF($AC$6:AC89,"Yes"),"")</f>
        <v/>
      </c>
    </row>
    <row r="90" spans="1:43">
      <c r="A90" s="249"/>
      <c r="B90" s="249"/>
      <c r="C90" s="249"/>
      <c r="D90" s="249"/>
      <c r="E90" s="249"/>
      <c r="F90" s="249"/>
      <c r="G90" s="249"/>
      <c r="H90" s="249"/>
      <c r="I90" s="249"/>
      <c r="J90" s="249"/>
      <c r="K90" s="249"/>
      <c r="L90" s="249"/>
      <c r="M90" s="249"/>
      <c r="N90" s="249"/>
      <c r="O90" s="249"/>
      <c r="P90" s="537"/>
      <c r="Q90" s="537"/>
      <c r="R90" s="537"/>
      <c r="S90" s="538" t="str">
        <f t="shared" ca="1" si="6"/>
        <v/>
      </c>
      <c r="T90" s="538" t="str">
        <f t="shared" ca="1" si="7"/>
        <v/>
      </c>
      <c r="U90" s="249"/>
      <c r="V90" s="249"/>
      <c r="W90" s="249"/>
      <c r="X90" s="249"/>
      <c r="Y90" s="249"/>
      <c r="Z90" s="249"/>
      <c r="AA90" s="249"/>
      <c r="AB90" s="249"/>
      <c r="AC90" s="249"/>
      <c r="AD90" s="249"/>
      <c r="AE90" s="249"/>
      <c r="AF90" s="249"/>
      <c r="AG90" s="249"/>
      <c r="AH90" s="249"/>
      <c r="AI90" s="249"/>
      <c r="AJ90" s="249"/>
      <c r="AK90" s="249"/>
      <c r="AL90" s="249"/>
      <c r="AM90" s="249"/>
      <c r="AN90" s="537"/>
      <c r="AO90" s="249" t="str">
        <f>IF(Z90="Yes",COUNTIF($Z$6:Z90,"Yes"),"")</f>
        <v/>
      </c>
      <c r="AP90" s="249" t="str">
        <f>IF(AA90="Yes",COUNTIF($AA$6:AA90,"Yes"),"")</f>
        <v/>
      </c>
      <c r="AQ90" s="249" t="str">
        <f>IF(AC90="Yes",COUNTIF($AC$6:AC90,"Yes"),"")</f>
        <v/>
      </c>
    </row>
    <row r="91" spans="1:43">
      <c r="A91" s="249"/>
      <c r="B91" s="249"/>
      <c r="C91" s="249"/>
      <c r="D91" s="249"/>
      <c r="E91" s="249"/>
      <c r="F91" s="249"/>
      <c r="G91" s="249"/>
      <c r="H91" s="249"/>
      <c r="I91" s="249"/>
      <c r="J91" s="249"/>
      <c r="K91" s="249"/>
      <c r="L91" s="249"/>
      <c r="M91" s="249"/>
      <c r="N91" s="249"/>
      <c r="O91" s="249"/>
      <c r="P91" s="537"/>
      <c r="Q91" s="537"/>
      <c r="R91" s="537"/>
      <c r="S91" s="538" t="str">
        <f t="shared" ca="1" si="6"/>
        <v/>
      </c>
      <c r="T91" s="538" t="str">
        <f t="shared" ca="1" si="7"/>
        <v/>
      </c>
      <c r="U91" s="249"/>
      <c r="V91" s="249"/>
      <c r="W91" s="249"/>
      <c r="X91" s="249"/>
      <c r="Y91" s="249"/>
      <c r="Z91" s="249"/>
      <c r="AA91" s="249"/>
      <c r="AB91" s="249"/>
      <c r="AC91" s="249"/>
      <c r="AD91" s="249"/>
      <c r="AE91" s="249"/>
      <c r="AF91" s="249"/>
      <c r="AG91" s="249"/>
      <c r="AH91" s="249"/>
      <c r="AI91" s="249"/>
      <c r="AJ91" s="249"/>
      <c r="AK91" s="249"/>
      <c r="AL91" s="249"/>
      <c r="AM91" s="249"/>
      <c r="AN91" s="537"/>
      <c r="AO91" s="249" t="str">
        <f>IF(Z91="Yes",COUNTIF($Z$6:Z91,"Yes"),"")</f>
        <v/>
      </c>
      <c r="AP91" s="249" t="str">
        <f>IF(AA91="Yes",COUNTIF($AA$6:AA91,"Yes"),"")</f>
        <v/>
      </c>
      <c r="AQ91" s="249" t="str">
        <f>IF(AC91="Yes",COUNTIF($AC$6:AC91,"Yes"),"")</f>
        <v/>
      </c>
    </row>
    <row r="92" spans="1:43">
      <c r="A92" s="249"/>
      <c r="B92" s="249"/>
      <c r="C92" s="249"/>
      <c r="D92" s="249"/>
      <c r="E92" s="249"/>
      <c r="F92" s="249"/>
      <c r="G92" s="249"/>
      <c r="H92" s="249"/>
      <c r="I92" s="249"/>
      <c r="J92" s="249"/>
      <c r="K92" s="249"/>
      <c r="L92" s="249"/>
      <c r="M92" s="249"/>
      <c r="N92" s="249"/>
      <c r="O92" s="249"/>
      <c r="P92" s="537"/>
      <c r="Q92" s="537"/>
      <c r="R92" s="537"/>
      <c r="S92" s="538" t="str">
        <f t="shared" ca="1" si="6"/>
        <v/>
      </c>
      <c r="T92" s="538" t="str">
        <f t="shared" ca="1" si="7"/>
        <v/>
      </c>
      <c r="U92" s="249"/>
      <c r="V92" s="249"/>
      <c r="W92" s="249"/>
      <c r="X92" s="249"/>
      <c r="Y92" s="249"/>
      <c r="Z92" s="249"/>
      <c r="AA92" s="249"/>
      <c r="AB92" s="249"/>
      <c r="AC92" s="249"/>
      <c r="AD92" s="249"/>
      <c r="AE92" s="249"/>
      <c r="AF92" s="249"/>
      <c r="AG92" s="249"/>
      <c r="AH92" s="249"/>
      <c r="AI92" s="249"/>
      <c r="AJ92" s="249"/>
      <c r="AK92" s="249"/>
      <c r="AL92" s="249"/>
      <c r="AM92" s="249"/>
      <c r="AN92" s="537"/>
      <c r="AO92" s="249" t="str">
        <f>IF(Z92="Yes",COUNTIF($Z$6:Z92,"Yes"),"")</f>
        <v/>
      </c>
      <c r="AP92" s="249" t="str">
        <f>IF(AA92="Yes",COUNTIF($AA$6:AA92,"Yes"),"")</f>
        <v/>
      </c>
      <c r="AQ92" s="249" t="str">
        <f>IF(AC92="Yes",COUNTIF($AC$6:AC92,"Yes"),"")</f>
        <v/>
      </c>
    </row>
    <row r="93" spans="1:43">
      <c r="A93" s="249"/>
      <c r="B93" s="249"/>
      <c r="C93" s="249"/>
      <c r="D93" s="249"/>
      <c r="E93" s="249"/>
      <c r="F93" s="249"/>
      <c r="G93" s="249"/>
      <c r="H93" s="249"/>
      <c r="I93" s="249"/>
      <c r="J93" s="249"/>
      <c r="K93" s="249"/>
      <c r="L93" s="249"/>
      <c r="M93" s="249"/>
      <c r="N93" s="249"/>
      <c r="O93" s="249"/>
      <c r="P93" s="537"/>
      <c r="Q93" s="537"/>
      <c r="R93" s="537"/>
      <c r="S93" s="538" t="str">
        <f t="shared" ca="1" si="6"/>
        <v/>
      </c>
      <c r="T93" s="538" t="str">
        <f t="shared" ca="1" si="7"/>
        <v/>
      </c>
      <c r="U93" s="249"/>
      <c r="V93" s="249"/>
      <c r="W93" s="249"/>
      <c r="X93" s="249"/>
      <c r="Y93" s="249"/>
      <c r="Z93" s="249"/>
      <c r="AA93" s="249"/>
      <c r="AB93" s="249"/>
      <c r="AC93" s="249"/>
      <c r="AD93" s="249"/>
      <c r="AE93" s="249"/>
      <c r="AF93" s="249"/>
      <c r="AG93" s="249"/>
      <c r="AH93" s="249"/>
      <c r="AI93" s="249"/>
      <c r="AJ93" s="249"/>
      <c r="AK93" s="249"/>
      <c r="AL93" s="249"/>
      <c r="AM93" s="249"/>
      <c r="AN93" s="537"/>
      <c r="AO93" s="249" t="str">
        <f>IF(Z93="Yes",COUNTIF($Z$6:Z93,"Yes"),"")</f>
        <v/>
      </c>
      <c r="AP93" s="249" t="str">
        <f>IF(AA93="Yes",COUNTIF($AA$6:AA93,"Yes"),"")</f>
        <v/>
      </c>
      <c r="AQ93" s="249" t="str">
        <f>IF(AC93="Yes",COUNTIF($AC$6:AC93,"Yes"),"")</f>
        <v/>
      </c>
    </row>
    <row r="94" spans="1:43">
      <c r="A94" s="249"/>
      <c r="B94" s="249"/>
      <c r="C94" s="249"/>
      <c r="D94" s="249"/>
      <c r="E94" s="249"/>
      <c r="F94" s="249"/>
      <c r="G94" s="249"/>
      <c r="H94" s="249"/>
      <c r="I94" s="249"/>
      <c r="J94" s="249"/>
      <c r="K94" s="249"/>
      <c r="L94" s="249"/>
      <c r="M94" s="249"/>
      <c r="N94" s="249"/>
      <c r="O94" s="249"/>
      <c r="P94" s="537"/>
      <c r="Q94" s="537"/>
      <c r="R94" s="537"/>
      <c r="S94" s="538" t="str">
        <f t="shared" ca="1" si="6"/>
        <v/>
      </c>
      <c r="T94" s="538" t="str">
        <f t="shared" ca="1" si="7"/>
        <v/>
      </c>
      <c r="U94" s="249"/>
      <c r="V94" s="249"/>
      <c r="W94" s="249"/>
      <c r="X94" s="249"/>
      <c r="Y94" s="249"/>
      <c r="Z94" s="249"/>
      <c r="AA94" s="249"/>
      <c r="AB94" s="249"/>
      <c r="AC94" s="249"/>
      <c r="AD94" s="249"/>
      <c r="AE94" s="249"/>
      <c r="AF94" s="249"/>
      <c r="AG94" s="249"/>
      <c r="AH94" s="249"/>
      <c r="AI94" s="249"/>
      <c r="AJ94" s="249"/>
      <c r="AK94" s="249"/>
      <c r="AL94" s="249"/>
      <c r="AM94" s="249"/>
      <c r="AN94" s="537"/>
      <c r="AO94" s="249" t="str">
        <f>IF(Z94="Yes",COUNTIF($Z$6:Z94,"Yes"),"")</f>
        <v/>
      </c>
      <c r="AP94" s="249" t="str">
        <f>IF(AA94="Yes",COUNTIF($AA$6:AA94,"Yes"),"")</f>
        <v/>
      </c>
      <c r="AQ94" s="249" t="str">
        <f>IF(AC94="Yes",COUNTIF($AC$6:AC94,"Yes"),"")</f>
        <v/>
      </c>
    </row>
    <row r="95" spans="1:43">
      <c r="A95" s="249"/>
      <c r="B95" s="249"/>
      <c r="C95" s="249"/>
      <c r="D95" s="249"/>
      <c r="E95" s="249"/>
      <c r="F95" s="249"/>
      <c r="G95" s="249"/>
      <c r="H95" s="249"/>
      <c r="I95" s="249"/>
      <c r="J95" s="249"/>
      <c r="K95" s="249"/>
      <c r="L95" s="249"/>
      <c r="M95" s="249"/>
      <c r="N95" s="249"/>
      <c r="O95" s="249"/>
      <c r="P95" s="537"/>
      <c r="Q95" s="537"/>
      <c r="R95" s="537"/>
      <c r="S95" s="538" t="str">
        <f t="shared" ca="1" si="6"/>
        <v/>
      </c>
      <c r="T95" s="538" t="str">
        <f t="shared" ca="1" si="7"/>
        <v/>
      </c>
      <c r="U95" s="249"/>
      <c r="V95" s="249"/>
      <c r="W95" s="249"/>
      <c r="X95" s="249"/>
      <c r="Y95" s="249"/>
      <c r="Z95" s="249"/>
      <c r="AA95" s="249"/>
      <c r="AB95" s="249"/>
      <c r="AC95" s="249"/>
      <c r="AD95" s="249"/>
      <c r="AE95" s="249"/>
      <c r="AF95" s="249"/>
      <c r="AG95" s="249"/>
      <c r="AH95" s="249"/>
      <c r="AI95" s="249"/>
      <c r="AJ95" s="249"/>
      <c r="AK95" s="249"/>
      <c r="AL95" s="249"/>
      <c r="AM95" s="249"/>
      <c r="AN95" s="537"/>
      <c r="AO95" s="249" t="str">
        <f>IF(Z95="Yes",COUNTIF($Z$6:Z95,"Yes"),"")</f>
        <v/>
      </c>
      <c r="AP95" s="249" t="str">
        <f>IF(AA95="Yes",COUNTIF($AA$6:AA95,"Yes"),"")</f>
        <v/>
      </c>
      <c r="AQ95" s="249" t="str">
        <f>IF(AC95="Yes",COUNTIF($AC$6:AC95,"Yes"),"")</f>
        <v/>
      </c>
    </row>
    <row r="96" spans="1:43">
      <c r="A96" s="249"/>
      <c r="B96" s="249"/>
      <c r="C96" s="249"/>
      <c r="D96" s="249"/>
      <c r="E96" s="249"/>
      <c r="F96" s="249"/>
      <c r="G96" s="249"/>
      <c r="H96" s="249"/>
      <c r="I96" s="249"/>
      <c r="J96" s="249"/>
      <c r="K96" s="249"/>
      <c r="L96" s="249"/>
      <c r="M96" s="249"/>
      <c r="N96" s="249"/>
      <c r="O96" s="249"/>
      <c r="P96" s="537"/>
      <c r="Q96" s="537"/>
      <c r="R96" s="537"/>
      <c r="S96" s="538" t="str">
        <f t="shared" ca="1" si="6"/>
        <v/>
      </c>
      <c r="T96" s="538" t="str">
        <f t="shared" ca="1" si="7"/>
        <v/>
      </c>
      <c r="U96" s="249"/>
      <c r="V96" s="249"/>
      <c r="W96" s="249"/>
      <c r="X96" s="249"/>
      <c r="Y96" s="249"/>
      <c r="Z96" s="249"/>
      <c r="AA96" s="249"/>
      <c r="AB96" s="249"/>
      <c r="AC96" s="249"/>
      <c r="AD96" s="249"/>
      <c r="AE96" s="249"/>
      <c r="AF96" s="249"/>
      <c r="AG96" s="249"/>
      <c r="AH96" s="249"/>
      <c r="AI96" s="249"/>
      <c r="AJ96" s="249"/>
      <c r="AK96" s="249"/>
      <c r="AL96" s="249"/>
      <c r="AM96" s="249"/>
      <c r="AN96" s="537"/>
      <c r="AO96" s="249" t="str">
        <f>IF(Z96="Yes",COUNTIF($Z$6:Z96,"Yes"),"")</f>
        <v/>
      </c>
      <c r="AP96" s="249" t="str">
        <f>IF(AA96="Yes",COUNTIF($AA$6:AA96,"Yes"),"")</f>
        <v/>
      </c>
      <c r="AQ96" s="249" t="str">
        <f>IF(AC96="Yes",COUNTIF($AC$6:AC96,"Yes"),"")</f>
        <v/>
      </c>
    </row>
    <row r="97" spans="1:43">
      <c r="A97" s="249"/>
      <c r="B97" s="249"/>
      <c r="C97" s="249"/>
      <c r="D97" s="249"/>
      <c r="E97" s="249"/>
      <c r="F97" s="249"/>
      <c r="G97" s="249"/>
      <c r="H97" s="249"/>
      <c r="I97" s="249"/>
      <c r="J97" s="249"/>
      <c r="K97" s="249"/>
      <c r="L97" s="249"/>
      <c r="M97" s="249"/>
      <c r="N97" s="249"/>
      <c r="O97" s="249"/>
      <c r="P97" s="537"/>
      <c r="Q97" s="537"/>
      <c r="R97" s="537"/>
      <c r="S97" s="538" t="str">
        <f t="shared" ca="1" si="6"/>
        <v/>
      </c>
      <c r="T97" s="538" t="str">
        <f t="shared" ca="1" si="7"/>
        <v/>
      </c>
      <c r="U97" s="249"/>
      <c r="V97" s="249"/>
      <c r="W97" s="249"/>
      <c r="X97" s="249"/>
      <c r="Y97" s="249"/>
      <c r="Z97" s="249"/>
      <c r="AA97" s="249"/>
      <c r="AB97" s="249"/>
      <c r="AC97" s="249"/>
      <c r="AD97" s="249"/>
      <c r="AE97" s="249"/>
      <c r="AF97" s="249"/>
      <c r="AG97" s="249"/>
      <c r="AH97" s="249"/>
      <c r="AI97" s="249"/>
      <c r="AJ97" s="249"/>
      <c r="AK97" s="249"/>
      <c r="AL97" s="249"/>
      <c r="AM97" s="249"/>
      <c r="AN97" s="537"/>
      <c r="AO97" s="249" t="str">
        <f>IF(Z97="Yes",COUNTIF($Z$6:Z97,"Yes"),"")</f>
        <v/>
      </c>
      <c r="AP97" s="249" t="str">
        <f>IF(AA97="Yes",COUNTIF($AA$6:AA97,"Yes"),"")</f>
        <v/>
      </c>
      <c r="AQ97" s="249" t="str">
        <f>IF(AC97="Yes",COUNTIF($AC$6:AC97,"Yes"),"")</f>
        <v/>
      </c>
    </row>
    <row r="98" spans="1:43">
      <c r="A98" s="249"/>
      <c r="B98" s="249"/>
      <c r="C98" s="249"/>
      <c r="D98" s="249"/>
      <c r="E98" s="249"/>
      <c r="F98" s="249"/>
      <c r="G98" s="249"/>
      <c r="H98" s="249"/>
      <c r="I98" s="249"/>
      <c r="J98" s="249"/>
      <c r="K98" s="249"/>
      <c r="L98" s="249"/>
      <c r="M98" s="249"/>
      <c r="N98" s="249"/>
      <c r="O98" s="249"/>
      <c r="P98" s="537"/>
      <c r="Q98" s="537"/>
      <c r="R98" s="537"/>
      <c r="S98" s="538" t="str">
        <f t="shared" ca="1" si="6"/>
        <v/>
      </c>
      <c r="T98" s="538" t="str">
        <f t="shared" ca="1" si="7"/>
        <v/>
      </c>
      <c r="U98" s="249"/>
      <c r="V98" s="249"/>
      <c r="W98" s="249"/>
      <c r="X98" s="249"/>
      <c r="Y98" s="249"/>
      <c r="Z98" s="249"/>
      <c r="AA98" s="249"/>
      <c r="AB98" s="249"/>
      <c r="AC98" s="249"/>
      <c r="AD98" s="249"/>
      <c r="AE98" s="249"/>
      <c r="AF98" s="249"/>
      <c r="AG98" s="249"/>
      <c r="AH98" s="249"/>
      <c r="AI98" s="249"/>
      <c r="AJ98" s="249"/>
      <c r="AK98" s="249"/>
      <c r="AL98" s="249"/>
      <c r="AM98" s="249"/>
      <c r="AN98" s="537"/>
      <c r="AO98" s="249" t="str">
        <f>IF(Z98="Yes",COUNTIF($Z$6:Z98,"Yes"),"")</f>
        <v/>
      </c>
      <c r="AP98" s="249" t="str">
        <f>IF(AA98="Yes",COUNTIF($AA$6:AA98,"Yes"),"")</f>
        <v/>
      </c>
      <c r="AQ98" s="249" t="str">
        <f>IF(AC98="Yes",COUNTIF($AC$6:AC98,"Yes"),"")</f>
        <v/>
      </c>
    </row>
    <row r="99" spans="1:43">
      <c r="A99" s="249"/>
      <c r="B99" s="249"/>
      <c r="C99" s="249"/>
      <c r="D99" s="249"/>
      <c r="E99" s="249"/>
      <c r="F99" s="249"/>
      <c r="G99" s="249"/>
      <c r="H99" s="249"/>
      <c r="I99" s="249"/>
      <c r="J99" s="249"/>
      <c r="K99" s="249"/>
      <c r="L99" s="249"/>
      <c r="M99" s="249"/>
      <c r="N99" s="249"/>
      <c r="O99" s="249"/>
      <c r="P99" s="537"/>
      <c r="Q99" s="537"/>
      <c r="R99" s="537"/>
      <c r="S99" s="538" t="str">
        <f t="shared" ca="1" si="6"/>
        <v/>
      </c>
      <c r="T99" s="538" t="str">
        <f t="shared" ca="1" si="7"/>
        <v/>
      </c>
      <c r="U99" s="249"/>
      <c r="V99" s="249"/>
      <c r="W99" s="249"/>
      <c r="X99" s="249"/>
      <c r="Y99" s="249"/>
      <c r="Z99" s="249"/>
      <c r="AA99" s="249"/>
      <c r="AB99" s="249"/>
      <c r="AC99" s="249"/>
      <c r="AD99" s="249"/>
      <c r="AE99" s="249"/>
      <c r="AF99" s="249"/>
      <c r="AG99" s="249"/>
      <c r="AH99" s="249"/>
      <c r="AI99" s="249"/>
      <c r="AJ99" s="249"/>
      <c r="AK99" s="249"/>
      <c r="AL99" s="249"/>
      <c r="AM99" s="249"/>
      <c r="AN99" s="537"/>
      <c r="AO99" s="249" t="str">
        <f>IF(Z99="Yes",COUNTIF($Z$6:Z99,"Yes"),"")</f>
        <v/>
      </c>
      <c r="AP99" s="249" t="str">
        <f>IF(AA99="Yes",COUNTIF($AA$6:AA99,"Yes"),"")</f>
        <v/>
      </c>
      <c r="AQ99" s="249" t="str">
        <f>IF(AC99="Yes",COUNTIF($AC$6:AC99,"Yes"),"")</f>
        <v/>
      </c>
    </row>
    <row r="100" spans="1:43">
      <c r="A100" s="249"/>
      <c r="B100" s="249"/>
      <c r="C100" s="249"/>
      <c r="D100" s="249"/>
      <c r="E100" s="249"/>
      <c r="F100" s="249"/>
      <c r="G100" s="249"/>
      <c r="H100" s="249"/>
      <c r="I100" s="249"/>
      <c r="J100" s="249"/>
      <c r="K100" s="249"/>
      <c r="L100" s="249"/>
      <c r="M100" s="249"/>
      <c r="N100" s="249"/>
      <c r="O100" s="249"/>
      <c r="P100" s="537"/>
      <c r="Q100" s="537"/>
      <c r="R100" s="537"/>
      <c r="S100" s="538" t="str">
        <f t="shared" ca="1" si="6"/>
        <v/>
      </c>
      <c r="T100" s="538" t="str">
        <f t="shared" ca="1" si="7"/>
        <v/>
      </c>
      <c r="U100" s="249"/>
      <c r="V100" s="249"/>
      <c r="W100" s="249"/>
      <c r="X100" s="249"/>
      <c r="Y100" s="249"/>
      <c r="Z100" s="249"/>
      <c r="AA100" s="249"/>
      <c r="AB100" s="249"/>
      <c r="AC100" s="249"/>
      <c r="AD100" s="249"/>
      <c r="AE100" s="249"/>
      <c r="AF100" s="249"/>
      <c r="AG100" s="249"/>
      <c r="AH100" s="249"/>
      <c r="AI100" s="249"/>
      <c r="AJ100" s="249"/>
      <c r="AK100" s="249"/>
      <c r="AL100" s="249"/>
      <c r="AM100" s="249"/>
      <c r="AN100" s="537"/>
      <c r="AO100" s="249" t="str">
        <f>IF(Z100="Yes",COUNTIF($Z$6:Z100,"Yes"),"")</f>
        <v/>
      </c>
      <c r="AP100" s="249" t="str">
        <f>IF(AA100="Yes",COUNTIF($AA$6:AA100,"Yes"),"")</f>
        <v/>
      </c>
      <c r="AQ100" s="249" t="str">
        <f>IF(AC100="Yes",COUNTIF($AC$6:AC100,"Yes"),"")</f>
        <v/>
      </c>
    </row>
    <row r="101" spans="1:43">
      <c r="A101" s="249"/>
      <c r="B101" s="249"/>
      <c r="C101" s="249"/>
      <c r="D101" s="249"/>
      <c r="E101" s="249"/>
      <c r="F101" s="249"/>
      <c r="G101" s="249"/>
      <c r="H101" s="249"/>
      <c r="I101" s="249"/>
      <c r="J101" s="249"/>
      <c r="K101" s="249"/>
      <c r="L101" s="249"/>
      <c r="M101" s="249"/>
      <c r="N101" s="249"/>
      <c r="O101" s="249"/>
      <c r="P101" s="537"/>
      <c r="Q101" s="537"/>
      <c r="R101" s="537"/>
      <c r="S101" s="538" t="str">
        <f t="shared" ca="1" si="6"/>
        <v/>
      </c>
      <c r="T101" s="538" t="str">
        <f t="shared" ca="1" si="7"/>
        <v/>
      </c>
      <c r="U101" s="249"/>
      <c r="V101" s="249"/>
      <c r="W101" s="249"/>
      <c r="X101" s="249"/>
      <c r="Y101" s="249"/>
      <c r="Z101" s="249"/>
      <c r="AA101" s="249"/>
      <c r="AB101" s="249"/>
      <c r="AC101" s="249"/>
      <c r="AD101" s="249"/>
      <c r="AE101" s="249"/>
      <c r="AF101" s="249"/>
      <c r="AG101" s="249"/>
      <c r="AH101" s="249"/>
      <c r="AI101" s="249"/>
      <c r="AJ101" s="249"/>
      <c r="AK101" s="249"/>
      <c r="AL101" s="249"/>
      <c r="AM101" s="249"/>
      <c r="AN101" s="537"/>
      <c r="AO101" s="249" t="str">
        <f>IF(Z101="Yes",COUNTIF($Z$6:Z101,"Yes"),"")</f>
        <v/>
      </c>
      <c r="AP101" s="249" t="str">
        <f>IF(AA101="Yes",COUNTIF($AA$6:AA101,"Yes"),"")</f>
        <v/>
      </c>
      <c r="AQ101" s="249" t="str">
        <f>IF(AC101="Yes",COUNTIF($AC$6:AC101,"Yes"),"")</f>
        <v/>
      </c>
    </row>
    <row r="102" spans="1:43">
      <c r="A102" s="249"/>
      <c r="B102" s="249"/>
      <c r="C102" s="249"/>
      <c r="D102" s="249"/>
      <c r="E102" s="249"/>
      <c r="F102" s="249"/>
      <c r="G102" s="249"/>
      <c r="H102" s="249"/>
      <c r="I102" s="249"/>
      <c r="J102" s="249"/>
      <c r="K102" s="249"/>
      <c r="L102" s="249"/>
      <c r="M102" s="249"/>
      <c r="N102" s="249"/>
      <c r="O102" s="249"/>
      <c r="P102" s="537"/>
      <c r="Q102" s="537"/>
      <c r="R102" s="537"/>
      <c r="S102" s="538" t="str">
        <f t="shared" ca="1" si="6"/>
        <v/>
      </c>
      <c r="T102" s="538" t="str">
        <f t="shared" ca="1" si="7"/>
        <v/>
      </c>
      <c r="U102" s="249"/>
      <c r="V102" s="249"/>
      <c r="W102" s="249"/>
      <c r="X102" s="249"/>
      <c r="Y102" s="249"/>
      <c r="Z102" s="249"/>
      <c r="AA102" s="249"/>
      <c r="AB102" s="249"/>
      <c r="AC102" s="249"/>
      <c r="AD102" s="249"/>
      <c r="AE102" s="249"/>
      <c r="AF102" s="249"/>
      <c r="AG102" s="249"/>
      <c r="AH102" s="249"/>
      <c r="AI102" s="249"/>
      <c r="AJ102" s="249"/>
      <c r="AK102" s="249"/>
      <c r="AL102" s="249"/>
      <c r="AM102" s="249"/>
      <c r="AN102" s="537"/>
      <c r="AO102" s="249" t="str">
        <f>IF(Z102="Yes",COUNTIF($Z$6:Z102,"Yes"),"")</f>
        <v/>
      </c>
      <c r="AP102" s="249" t="str">
        <f>IF(AA102="Yes",COUNTIF($AA$6:AA102,"Yes"),"")</f>
        <v/>
      </c>
      <c r="AQ102" s="249" t="str">
        <f>IF(AC102="Yes",COUNTIF($AC$6:AC102,"Yes"),"")</f>
        <v/>
      </c>
    </row>
    <row r="103" spans="1:43">
      <c r="A103" s="249"/>
      <c r="B103" s="249"/>
      <c r="C103" s="249"/>
      <c r="D103" s="249"/>
      <c r="E103" s="249"/>
      <c r="F103" s="249"/>
      <c r="G103" s="249"/>
      <c r="H103" s="249"/>
      <c r="I103" s="249"/>
      <c r="J103" s="249"/>
      <c r="K103" s="249"/>
      <c r="L103" s="249"/>
      <c r="M103" s="249"/>
      <c r="N103" s="249"/>
      <c r="O103" s="249"/>
      <c r="P103" s="537"/>
      <c r="Q103" s="537"/>
      <c r="R103" s="537"/>
      <c r="S103" s="538" t="str">
        <f t="shared" ca="1" si="6"/>
        <v/>
      </c>
      <c r="T103" s="538" t="str">
        <f t="shared" ca="1" si="7"/>
        <v/>
      </c>
      <c r="U103" s="249"/>
      <c r="V103" s="249"/>
      <c r="W103" s="249"/>
      <c r="X103" s="249"/>
      <c r="Y103" s="249"/>
      <c r="Z103" s="249"/>
      <c r="AA103" s="249"/>
      <c r="AB103" s="249"/>
      <c r="AC103" s="249"/>
      <c r="AD103" s="249"/>
      <c r="AE103" s="249"/>
      <c r="AF103" s="249"/>
      <c r="AG103" s="249"/>
      <c r="AH103" s="249"/>
      <c r="AI103" s="249"/>
      <c r="AJ103" s="249"/>
      <c r="AK103" s="249"/>
      <c r="AL103" s="249"/>
      <c r="AM103" s="249"/>
      <c r="AN103" s="537"/>
      <c r="AO103" s="249" t="str">
        <f>IF(Z103="Yes",COUNTIF($Z$6:Z103,"Yes"),"")</f>
        <v/>
      </c>
      <c r="AP103" s="249" t="str">
        <f>IF(AA103="Yes",COUNTIF($AA$6:AA103,"Yes"),"")</f>
        <v/>
      </c>
      <c r="AQ103" s="249" t="str">
        <f>IF(AC103="Yes",COUNTIF($AC$6:AC103,"Yes"),"")</f>
        <v/>
      </c>
    </row>
    <row r="104" spans="1:43">
      <c r="A104" s="249"/>
      <c r="B104" s="249"/>
      <c r="C104" s="249"/>
      <c r="D104" s="249"/>
      <c r="E104" s="249"/>
      <c r="F104" s="249"/>
      <c r="G104" s="249"/>
      <c r="H104" s="249"/>
      <c r="I104" s="249"/>
      <c r="J104" s="249"/>
      <c r="K104" s="249"/>
      <c r="L104" s="249"/>
      <c r="M104" s="249"/>
      <c r="N104" s="249"/>
      <c r="O104" s="249"/>
      <c r="P104" s="537"/>
      <c r="Q104" s="537"/>
      <c r="R104" s="537"/>
      <c r="S104" s="538" t="str">
        <f t="shared" ca="1" si="6"/>
        <v/>
      </c>
      <c r="T104" s="538" t="str">
        <f t="shared" ca="1" si="7"/>
        <v/>
      </c>
      <c r="U104" s="249"/>
      <c r="V104" s="249"/>
      <c r="W104" s="249"/>
      <c r="X104" s="249"/>
      <c r="Y104" s="249"/>
      <c r="Z104" s="249"/>
      <c r="AA104" s="249"/>
      <c r="AB104" s="249"/>
      <c r="AC104" s="249"/>
      <c r="AD104" s="249"/>
      <c r="AE104" s="249"/>
      <c r="AF104" s="249"/>
      <c r="AG104" s="249"/>
      <c r="AH104" s="249"/>
      <c r="AI104" s="249"/>
      <c r="AJ104" s="249"/>
      <c r="AK104" s="249"/>
      <c r="AL104" s="249"/>
      <c r="AM104" s="249"/>
      <c r="AN104" s="537"/>
      <c r="AO104" s="249" t="str">
        <f>IF(Z104="Yes",COUNTIF($Z$6:Z104,"Yes"),"")</f>
        <v/>
      </c>
      <c r="AP104" s="249" t="str">
        <f>IF(AA104="Yes",COUNTIF($AA$6:AA104,"Yes"),"")</f>
        <v/>
      </c>
      <c r="AQ104" s="249" t="str">
        <f>IF(AC104="Yes",COUNTIF($AC$6:AC104,"Yes"),"")</f>
        <v/>
      </c>
    </row>
    <row r="105" spans="1:43">
      <c r="A105" s="249"/>
      <c r="B105" s="249"/>
      <c r="C105" s="249"/>
      <c r="D105" s="249"/>
      <c r="E105" s="249"/>
      <c r="F105" s="249"/>
      <c r="G105" s="249"/>
      <c r="H105" s="249"/>
      <c r="I105" s="249"/>
      <c r="J105" s="249"/>
      <c r="K105" s="249"/>
      <c r="L105" s="249"/>
      <c r="M105" s="249"/>
      <c r="N105" s="249"/>
      <c r="O105" s="249"/>
      <c r="P105" s="537"/>
      <c r="Q105" s="537"/>
      <c r="R105" s="537"/>
      <c r="S105" s="538" t="str">
        <f t="shared" ca="1" si="6"/>
        <v/>
      </c>
      <c r="T105" s="538" t="str">
        <f t="shared" ca="1" si="7"/>
        <v/>
      </c>
      <c r="U105" s="249"/>
      <c r="V105" s="249"/>
      <c r="W105" s="249"/>
      <c r="X105" s="249"/>
      <c r="Y105" s="249"/>
      <c r="Z105" s="249"/>
      <c r="AA105" s="249"/>
      <c r="AB105" s="249"/>
      <c r="AC105" s="249"/>
      <c r="AD105" s="249"/>
      <c r="AE105" s="249"/>
      <c r="AF105" s="249"/>
      <c r="AG105" s="249"/>
      <c r="AH105" s="249"/>
      <c r="AI105" s="249"/>
      <c r="AJ105" s="249"/>
      <c r="AK105" s="249"/>
      <c r="AL105" s="249"/>
      <c r="AM105" s="249"/>
      <c r="AN105" s="537"/>
      <c r="AO105" s="249" t="str">
        <f>IF(Z105="Yes",COUNTIF($Z$6:Z105,"Yes"),"")</f>
        <v/>
      </c>
      <c r="AP105" s="249" t="str">
        <f>IF(AA105="Yes",COUNTIF($AA$6:AA105,"Yes"),"")</f>
        <v/>
      </c>
      <c r="AQ105" s="249" t="str">
        <f>IF(AC105="Yes",COUNTIF($AC$6:AC105,"Yes"),"")</f>
        <v/>
      </c>
    </row>
    <row r="106" spans="1:43">
      <c r="A106" s="249"/>
      <c r="B106" s="249"/>
      <c r="C106" s="249"/>
      <c r="D106" s="249"/>
      <c r="E106" s="249"/>
      <c r="F106" s="249"/>
      <c r="G106" s="249"/>
      <c r="H106" s="249"/>
      <c r="I106" s="249"/>
      <c r="J106" s="249"/>
      <c r="K106" s="249"/>
      <c r="L106" s="249"/>
      <c r="M106" s="249"/>
      <c r="N106" s="249"/>
      <c r="O106" s="249"/>
      <c r="P106" s="537"/>
      <c r="Q106" s="537"/>
      <c r="R106" s="537"/>
      <c r="S106" s="538" t="str">
        <f t="shared" ca="1" si="6"/>
        <v/>
      </c>
      <c r="T106" s="538" t="str">
        <f t="shared" ca="1" si="7"/>
        <v/>
      </c>
      <c r="U106" s="249"/>
      <c r="V106" s="249"/>
      <c r="W106" s="249"/>
      <c r="X106" s="249"/>
      <c r="Y106" s="249"/>
      <c r="Z106" s="249"/>
      <c r="AA106" s="249"/>
      <c r="AB106" s="249"/>
      <c r="AC106" s="249"/>
      <c r="AD106" s="249"/>
      <c r="AE106" s="249"/>
      <c r="AF106" s="249"/>
      <c r="AG106" s="249"/>
      <c r="AH106" s="249"/>
      <c r="AI106" s="249"/>
      <c r="AJ106" s="249"/>
      <c r="AK106" s="249"/>
      <c r="AL106" s="249"/>
      <c r="AM106" s="249"/>
      <c r="AN106" s="537"/>
      <c r="AO106" s="249" t="str">
        <f>IF(Z106="Yes",COUNTIF($Z$6:Z106,"Yes"),"")</f>
        <v/>
      </c>
      <c r="AP106" s="249" t="str">
        <f>IF(AA106="Yes",COUNTIF($AA$6:AA106,"Yes"),"")</f>
        <v/>
      </c>
      <c r="AQ106" s="249" t="str">
        <f>IF(AC106="Yes",COUNTIF($AC$6:AC106,"Yes"),"")</f>
        <v/>
      </c>
    </row>
    <row r="107" spans="1:43">
      <c r="A107" s="249"/>
      <c r="B107" s="249"/>
      <c r="C107" s="249"/>
      <c r="D107" s="249"/>
      <c r="E107" s="249"/>
      <c r="F107" s="249"/>
      <c r="G107" s="249"/>
      <c r="H107" s="249"/>
      <c r="I107" s="249"/>
      <c r="J107" s="249"/>
      <c r="K107" s="249"/>
      <c r="L107" s="249"/>
      <c r="M107" s="249"/>
      <c r="N107" s="249"/>
      <c r="O107" s="249"/>
      <c r="P107" s="537"/>
      <c r="Q107" s="537"/>
      <c r="R107" s="537"/>
      <c r="S107" s="538" t="str">
        <f t="shared" ca="1" si="6"/>
        <v/>
      </c>
      <c r="T107" s="538" t="str">
        <f t="shared" ca="1" si="7"/>
        <v/>
      </c>
      <c r="U107" s="249"/>
      <c r="V107" s="249"/>
      <c r="W107" s="249"/>
      <c r="X107" s="249"/>
      <c r="Y107" s="249"/>
      <c r="Z107" s="249"/>
      <c r="AA107" s="249"/>
      <c r="AB107" s="249"/>
      <c r="AC107" s="249"/>
      <c r="AD107" s="249"/>
      <c r="AE107" s="249"/>
      <c r="AF107" s="249"/>
      <c r="AG107" s="249"/>
      <c r="AH107" s="249"/>
      <c r="AI107" s="249"/>
      <c r="AJ107" s="249"/>
      <c r="AK107" s="249"/>
      <c r="AL107" s="249"/>
      <c r="AM107" s="249"/>
      <c r="AN107" s="537"/>
      <c r="AO107" s="249" t="str">
        <f>IF(Z107="Yes",COUNTIF($Z$6:Z107,"Yes"),"")</f>
        <v/>
      </c>
      <c r="AP107" s="249" t="str">
        <f>IF(AA107="Yes",COUNTIF($AA$6:AA107,"Yes"),"")</f>
        <v/>
      </c>
      <c r="AQ107" s="249" t="str">
        <f>IF(AC107="Yes",COUNTIF($AC$6:AC107,"Yes"),"")</f>
        <v/>
      </c>
    </row>
    <row r="108" spans="1:43">
      <c r="A108" s="249"/>
      <c r="B108" s="249"/>
      <c r="C108" s="249"/>
      <c r="D108" s="249"/>
      <c r="E108" s="249"/>
      <c r="F108" s="249"/>
      <c r="G108" s="249"/>
      <c r="H108" s="249"/>
      <c r="I108" s="249"/>
      <c r="J108" s="249"/>
      <c r="K108" s="249"/>
      <c r="L108" s="249"/>
      <c r="M108" s="249"/>
      <c r="N108" s="249"/>
      <c r="O108" s="249"/>
      <c r="P108" s="537"/>
      <c r="Q108" s="537"/>
      <c r="R108" s="537"/>
      <c r="S108" s="538" t="str">
        <f t="shared" ca="1" si="6"/>
        <v/>
      </c>
      <c r="T108" s="538" t="str">
        <f t="shared" ca="1" si="7"/>
        <v/>
      </c>
      <c r="U108" s="249"/>
      <c r="V108" s="249"/>
      <c r="W108" s="249"/>
      <c r="X108" s="249"/>
      <c r="Y108" s="249"/>
      <c r="Z108" s="249"/>
      <c r="AA108" s="249"/>
      <c r="AB108" s="249"/>
      <c r="AC108" s="249"/>
      <c r="AD108" s="249"/>
      <c r="AE108" s="249"/>
      <c r="AF108" s="249"/>
      <c r="AG108" s="249"/>
      <c r="AH108" s="249"/>
      <c r="AI108" s="249"/>
      <c r="AJ108" s="249"/>
      <c r="AK108" s="249"/>
      <c r="AL108" s="249"/>
      <c r="AM108" s="249"/>
      <c r="AN108" s="537"/>
      <c r="AO108" s="249" t="str">
        <f>IF(Z108="Yes",COUNTIF($Z$6:Z108,"Yes"),"")</f>
        <v/>
      </c>
      <c r="AP108" s="249" t="str">
        <f>IF(AA108="Yes",COUNTIF($AA$6:AA108,"Yes"),"")</f>
        <v/>
      </c>
      <c r="AQ108" s="249" t="str">
        <f>IF(AC108="Yes",COUNTIF($AC$6:AC108,"Yes"),"")</f>
        <v/>
      </c>
    </row>
    <row r="109" spans="1:43">
      <c r="A109" s="249"/>
      <c r="B109" s="249"/>
      <c r="C109" s="249"/>
      <c r="D109" s="249"/>
      <c r="E109" s="249"/>
      <c r="F109" s="249"/>
      <c r="G109" s="249"/>
      <c r="H109" s="249"/>
      <c r="I109" s="249"/>
      <c r="J109" s="249"/>
      <c r="K109" s="249"/>
      <c r="L109" s="249"/>
      <c r="M109" s="249"/>
      <c r="N109" s="249"/>
      <c r="O109" s="249"/>
      <c r="P109" s="537"/>
      <c r="Q109" s="537"/>
      <c r="R109" s="537"/>
      <c r="S109" s="538" t="str">
        <f t="shared" ca="1" si="6"/>
        <v/>
      </c>
      <c r="T109" s="538" t="str">
        <f t="shared" ca="1" si="7"/>
        <v/>
      </c>
      <c r="U109" s="249"/>
      <c r="V109" s="249"/>
      <c r="W109" s="249"/>
      <c r="X109" s="249"/>
      <c r="Y109" s="249"/>
      <c r="Z109" s="249"/>
      <c r="AA109" s="249"/>
      <c r="AB109" s="249"/>
      <c r="AC109" s="249"/>
      <c r="AD109" s="249"/>
      <c r="AE109" s="249"/>
      <c r="AF109" s="249"/>
      <c r="AG109" s="249"/>
      <c r="AH109" s="249"/>
      <c r="AI109" s="249"/>
      <c r="AJ109" s="249"/>
      <c r="AK109" s="249"/>
      <c r="AL109" s="249"/>
      <c r="AM109" s="249"/>
      <c r="AN109" s="537"/>
      <c r="AO109" s="249" t="str">
        <f>IF(Z109="Yes",COUNTIF($Z$6:Z109,"Yes"),"")</f>
        <v/>
      </c>
      <c r="AP109" s="249" t="str">
        <f>IF(AA109="Yes",COUNTIF($AA$6:AA109,"Yes"),"")</f>
        <v/>
      </c>
      <c r="AQ109" s="249" t="str">
        <f>IF(AC109="Yes",COUNTIF($AC$6:AC109,"Yes"),"")</f>
        <v/>
      </c>
    </row>
    <row r="110" spans="1:43">
      <c r="A110" s="249"/>
      <c r="B110" s="249"/>
      <c r="C110" s="249"/>
      <c r="D110" s="249"/>
      <c r="E110" s="249"/>
      <c r="F110" s="249"/>
      <c r="G110" s="249"/>
      <c r="H110" s="249"/>
      <c r="I110" s="249"/>
      <c r="J110" s="249"/>
      <c r="K110" s="249"/>
      <c r="L110" s="249"/>
      <c r="M110" s="249"/>
      <c r="N110" s="249"/>
      <c r="O110" s="249"/>
      <c r="P110" s="537"/>
      <c r="Q110" s="537"/>
      <c r="R110" s="537"/>
      <c r="S110" s="538" t="str">
        <f t="shared" ca="1" si="6"/>
        <v/>
      </c>
      <c r="T110" s="538" t="str">
        <f t="shared" ca="1" si="7"/>
        <v/>
      </c>
      <c r="U110" s="249"/>
      <c r="V110" s="249"/>
      <c r="W110" s="249"/>
      <c r="X110" s="249"/>
      <c r="Y110" s="249"/>
      <c r="Z110" s="249"/>
      <c r="AA110" s="249"/>
      <c r="AB110" s="249"/>
      <c r="AC110" s="249"/>
      <c r="AD110" s="249"/>
      <c r="AE110" s="249"/>
      <c r="AF110" s="249"/>
      <c r="AG110" s="249"/>
      <c r="AH110" s="249"/>
      <c r="AI110" s="249"/>
      <c r="AJ110" s="249"/>
      <c r="AK110" s="249"/>
      <c r="AL110" s="249"/>
      <c r="AM110" s="249"/>
      <c r="AN110" s="537"/>
      <c r="AO110" s="249" t="str">
        <f>IF(Z110="Yes",COUNTIF($Z$6:Z110,"Yes"),"")</f>
        <v/>
      </c>
      <c r="AP110" s="249" t="str">
        <f>IF(AA110="Yes",COUNTIF($AA$6:AA110,"Yes"),"")</f>
        <v/>
      </c>
      <c r="AQ110" s="249" t="str">
        <f>IF(AC110="Yes",COUNTIF($AC$6:AC110,"Yes"),"")</f>
        <v/>
      </c>
    </row>
    <row r="111" spans="1:43">
      <c r="A111" s="249"/>
      <c r="B111" s="249"/>
      <c r="C111" s="249"/>
      <c r="D111" s="249"/>
      <c r="E111" s="249"/>
      <c r="F111" s="249"/>
      <c r="G111" s="249"/>
      <c r="H111" s="249"/>
      <c r="I111" s="249"/>
      <c r="J111" s="249"/>
      <c r="K111" s="249"/>
      <c r="L111" s="249"/>
      <c r="M111" s="249"/>
      <c r="N111" s="249"/>
      <c r="O111" s="249"/>
      <c r="P111" s="537"/>
      <c r="Q111" s="537"/>
      <c r="R111" s="537"/>
      <c r="S111" s="538" t="str">
        <f t="shared" ca="1" si="6"/>
        <v/>
      </c>
      <c r="T111" s="538" t="str">
        <f t="shared" ca="1" si="7"/>
        <v/>
      </c>
      <c r="U111" s="249"/>
      <c r="V111" s="249"/>
      <c r="W111" s="249"/>
      <c r="X111" s="249"/>
      <c r="Y111" s="249"/>
      <c r="Z111" s="249"/>
      <c r="AA111" s="249"/>
      <c r="AB111" s="249"/>
      <c r="AC111" s="249"/>
      <c r="AD111" s="249"/>
      <c r="AE111" s="249"/>
      <c r="AF111" s="249"/>
      <c r="AG111" s="249"/>
      <c r="AH111" s="249"/>
      <c r="AI111" s="249"/>
      <c r="AJ111" s="249"/>
      <c r="AK111" s="249"/>
      <c r="AL111" s="249"/>
      <c r="AM111" s="249"/>
      <c r="AN111" s="537"/>
      <c r="AO111" s="249" t="str">
        <f>IF(Z111="Yes",COUNTIF($Z$6:Z111,"Yes"),"")</f>
        <v/>
      </c>
      <c r="AP111" s="249" t="str">
        <f>IF(AA111="Yes",COUNTIF($AA$6:AA111,"Yes"),"")</f>
        <v/>
      </c>
      <c r="AQ111" s="249" t="str">
        <f>IF(AC111="Yes",COUNTIF($AC$6:AC111,"Yes"),"")</f>
        <v/>
      </c>
    </row>
    <row r="112" spans="1:43">
      <c r="A112" s="249"/>
      <c r="B112" s="249"/>
      <c r="C112" s="249"/>
      <c r="D112" s="249"/>
      <c r="E112" s="249"/>
      <c r="F112" s="249"/>
      <c r="G112" s="249"/>
      <c r="H112" s="249"/>
      <c r="I112" s="249"/>
      <c r="J112" s="249"/>
      <c r="K112" s="249"/>
      <c r="L112" s="249"/>
      <c r="M112" s="249"/>
      <c r="N112" s="249"/>
      <c r="O112" s="249"/>
      <c r="P112" s="537"/>
      <c r="Q112" s="537"/>
      <c r="R112" s="537"/>
      <c r="S112" s="538" t="str">
        <f t="shared" ca="1" si="6"/>
        <v/>
      </c>
      <c r="T112" s="538" t="str">
        <f t="shared" ca="1" si="7"/>
        <v/>
      </c>
      <c r="U112" s="249"/>
      <c r="V112" s="249"/>
      <c r="W112" s="249"/>
      <c r="X112" s="249"/>
      <c r="Y112" s="249"/>
      <c r="Z112" s="249"/>
      <c r="AA112" s="249"/>
      <c r="AB112" s="249"/>
      <c r="AC112" s="249"/>
      <c r="AD112" s="249"/>
      <c r="AE112" s="249"/>
      <c r="AF112" s="249"/>
      <c r="AG112" s="249"/>
      <c r="AH112" s="249"/>
      <c r="AI112" s="249"/>
      <c r="AJ112" s="249"/>
      <c r="AK112" s="249"/>
      <c r="AL112" s="249"/>
      <c r="AM112" s="249"/>
      <c r="AN112" s="537"/>
      <c r="AO112" s="249" t="str">
        <f>IF(Z112="Yes",COUNTIF($Z$6:Z112,"Yes"),"")</f>
        <v/>
      </c>
      <c r="AP112" s="249" t="str">
        <f>IF(AA112="Yes",COUNTIF($AA$6:AA112,"Yes"),"")</f>
        <v/>
      </c>
      <c r="AQ112" s="249" t="str">
        <f>IF(AC112="Yes",COUNTIF($AC$6:AC112,"Yes"),"")</f>
        <v/>
      </c>
    </row>
    <row r="113" spans="1:43">
      <c r="A113" s="249"/>
      <c r="B113" s="249"/>
      <c r="C113" s="249"/>
      <c r="D113" s="249"/>
      <c r="E113" s="249"/>
      <c r="F113" s="249"/>
      <c r="G113" s="249"/>
      <c r="H113" s="249"/>
      <c r="I113" s="249"/>
      <c r="J113" s="249"/>
      <c r="K113" s="249"/>
      <c r="L113" s="249"/>
      <c r="M113" s="249"/>
      <c r="N113" s="249"/>
      <c r="O113" s="249"/>
      <c r="P113" s="537"/>
      <c r="Q113" s="537"/>
      <c r="R113" s="537"/>
      <c r="S113" s="538" t="str">
        <f t="shared" ca="1" si="6"/>
        <v/>
      </c>
      <c r="T113" s="538" t="str">
        <f t="shared" ca="1" si="7"/>
        <v/>
      </c>
      <c r="U113" s="249"/>
      <c r="V113" s="249"/>
      <c r="W113" s="249"/>
      <c r="X113" s="249"/>
      <c r="Y113" s="249"/>
      <c r="Z113" s="249"/>
      <c r="AA113" s="249"/>
      <c r="AB113" s="249"/>
      <c r="AC113" s="249"/>
      <c r="AD113" s="249"/>
      <c r="AE113" s="249"/>
      <c r="AF113" s="249"/>
      <c r="AG113" s="249"/>
      <c r="AH113" s="249"/>
      <c r="AI113" s="249"/>
      <c r="AJ113" s="249"/>
      <c r="AK113" s="249"/>
      <c r="AL113" s="249"/>
      <c r="AM113" s="249"/>
      <c r="AN113" s="537"/>
      <c r="AO113" s="249" t="str">
        <f>IF(Z113="Yes",COUNTIF($Z$6:Z113,"Yes"),"")</f>
        <v/>
      </c>
      <c r="AP113" s="249" t="str">
        <f>IF(AA113="Yes",COUNTIF($AA$6:AA113,"Yes"),"")</f>
        <v/>
      </c>
      <c r="AQ113" s="249" t="str">
        <f>IF(AC113="Yes",COUNTIF($AC$6:AC113,"Yes"),"")</f>
        <v/>
      </c>
    </row>
    <row r="114" spans="1:43">
      <c r="A114" s="249"/>
      <c r="B114" s="249"/>
      <c r="C114" s="249"/>
      <c r="D114" s="249"/>
      <c r="E114" s="249"/>
      <c r="F114" s="249"/>
      <c r="G114" s="249"/>
      <c r="H114" s="249"/>
      <c r="I114" s="249"/>
      <c r="J114" s="249"/>
      <c r="K114" s="249"/>
      <c r="L114" s="249"/>
      <c r="M114" s="249"/>
      <c r="N114" s="249"/>
      <c r="O114" s="249"/>
      <c r="P114" s="537"/>
      <c r="Q114" s="537"/>
      <c r="R114" s="537"/>
      <c r="S114" s="538" t="str">
        <f t="shared" ca="1" si="6"/>
        <v/>
      </c>
      <c r="T114" s="538" t="str">
        <f t="shared" ca="1" si="7"/>
        <v/>
      </c>
      <c r="U114" s="249"/>
      <c r="V114" s="249"/>
      <c r="W114" s="249"/>
      <c r="X114" s="249"/>
      <c r="Y114" s="249"/>
      <c r="Z114" s="249"/>
      <c r="AA114" s="249"/>
      <c r="AB114" s="249"/>
      <c r="AC114" s="249"/>
      <c r="AD114" s="249"/>
      <c r="AE114" s="249"/>
      <c r="AF114" s="249"/>
      <c r="AG114" s="249"/>
      <c r="AH114" s="249"/>
      <c r="AI114" s="249"/>
      <c r="AJ114" s="249"/>
      <c r="AK114" s="249"/>
      <c r="AL114" s="249"/>
      <c r="AM114" s="249"/>
      <c r="AN114" s="537"/>
      <c r="AO114" s="249" t="str">
        <f>IF(Z114="Yes",COUNTIF($Z$6:Z114,"Yes"),"")</f>
        <v/>
      </c>
      <c r="AP114" s="249" t="str">
        <f>IF(AA114="Yes",COUNTIF($AA$6:AA114,"Yes"),"")</f>
        <v/>
      </c>
      <c r="AQ114" s="249" t="str">
        <f>IF(AC114="Yes",COUNTIF($AC$6:AC114,"Yes"),"")</f>
        <v/>
      </c>
    </row>
    <row r="115" spans="1:43">
      <c r="A115" s="249"/>
      <c r="B115" s="249"/>
      <c r="C115" s="249"/>
      <c r="D115" s="249"/>
      <c r="E115" s="249"/>
      <c r="F115" s="249"/>
      <c r="G115" s="249"/>
      <c r="H115" s="249"/>
      <c r="I115" s="249"/>
      <c r="J115" s="249"/>
      <c r="K115" s="249"/>
      <c r="L115" s="249"/>
      <c r="M115" s="249"/>
      <c r="N115" s="249"/>
      <c r="O115" s="249"/>
      <c r="P115" s="537"/>
      <c r="Q115" s="537"/>
      <c r="R115" s="537"/>
      <c r="S115" s="538" t="str">
        <f t="shared" ca="1" si="6"/>
        <v/>
      </c>
      <c r="T115" s="538" t="str">
        <f t="shared" ca="1" si="7"/>
        <v/>
      </c>
      <c r="U115" s="249"/>
      <c r="V115" s="249"/>
      <c r="W115" s="249"/>
      <c r="X115" s="249"/>
      <c r="Y115" s="249"/>
      <c r="Z115" s="249"/>
      <c r="AA115" s="249"/>
      <c r="AB115" s="249"/>
      <c r="AC115" s="249"/>
      <c r="AD115" s="249"/>
      <c r="AE115" s="249"/>
      <c r="AF115" s="249"/>
      <c r="AG115" s="249"/>
      <c r="AH115" s="249"/>
      <c r="AI115" s="249"/>
      <c r="AJ115" s="249"/>
      <c r="AK115" s="249"/>
      <c r="AL115" s="249"/>
      <c r="AM115" s="249"/>
      <c r="AN115" s="537"/>
      <c r="AO115" s="249" t="str">
        <f>IF(Z115="Yes",COUNTIF($Z$6:Z115,"Yes"),"")</f>
        <v/>
      </c>
      <c r="AP115" s="249" t="str">
        <f>IF(AA115="Yes",COUNTIF($AA$6:AA115,"Yes"),"")</f>
        <v/>
      </c>
      <c r="AQ115" s="249" t="str">
        <f>IF(AC115="Yes",COUNTIF($AC$6:AC115,"Yes"),"")</f>
        <v/>
      </c>
    </row>
    <row r="116" spans="1:43">
      <c r="A116" s="249"/>
      <c r="B116" s="249"/>
      <c r="C116" s="249"/>
      <c r="D116" s="249"/>
      <c r="E116" s="249"/>
      <c r="F116" s="249"/>
      <c r="G116" s="249"/>
      <c r="H116" s="249"/>
      <c r="I116" s="249"/>
      <c r="J116" s="249"/>
      <c r="K116" s="249"/>
      <c r="L116" s="249"/>
      <c r="M116" s="249"/>
      <c r="N116" s="249"/>
      <c r="O116" s="249"/>
      <c r="P116" s="537"/>
      <c r="Q116" s="537"/>
      <c r="R116" s="537"/>
      <c r="S116" s="538" t="str">
        <f t="shared" ca="1" si="6"/>
        <v/>
      </c>
      <c r="T116" s="538" t="str">
        <f t="shared" ca="1" si="7"/>
        <v/>
      </c>
      <c r="U116" s="249"/>
      <c r="V116" s="249"/>
      <c r="W116" s="249"/>
      <c r="X116" s="249"/>
      <c r="Y116" s="249"/>
      <c r="Z116" s="249"/>
      <c r="AA116" s="249"/>
      <c r="AB116" s="249"/>
      <c r="AC116" s="249"/>
      <c r="AD116" s="249"/>
      <c r="AE116" s="249"/>
      <c r="AF116" s="249"/>
      <c r="AG116" s="249"/>
      <c r="AH116" s="249"/>
      <c r="AI116" s="249"/>
      <c r="AJ116" s="249"/>
      <c r="AK116" s="249"/>
      <c r="AL116" s="249"/>
      <c r="AM116" s="249"/>
      <c r="AN116" s="537"/>
      <c r="AO116" s="249" t="str">
        <f>IF(Z116="Yes",COUNTIF($Z$6:Z116,"Yes"),"")</f>
        <v/>
      </c>
      <c r="AP116" s="249" t="str">
        <f>IF(AA116="Yes",COUNTIF($AA$6:AA116,"Yes"),"")</f>
        <v/>
      </c>
      <c r="AQ116" s="249" t="str">
        <f>IF(AC116="Yes",COUNTIF($AC$6:AC116,"Yes"),"")</f>
        <v/>
      </c>
    </row>
    <row r="117" spans="1:43">
      <c r="A117" s="249"/>
      <c r="B117" s="249"/>
      <c r="C117" s="249"/>
      <c r="D117" s="249"/>
      <c r="E117" s="249"/>
      <c r="F117" s="249"/>
      <c r="G117" s="249"/>
      <c r="H117" s="249"/>
      <c r="I117" s="249"/>
      <c r="J117" s="249"/>
      <c r="K117" s="249"/>
      <c r="L117" s="249"/>
      <c r="M117" s="249"/>
      <c r="N117" s="249"/>
      <c r="O117" s="249"/>
      <c r="P117" s="537"/>
      <c r="Q117" s="537"/>
      <c r="R117" s="537"/>
      <c r="S117" s="538" t="str">
        <f t="shared" ca="1" si="6"/>
        <v/>
      </c>
      <c r="T117" s="538" t="str">
        <f t="shared" ca="1" si="7"/>
        <v/>
      </c>
      <c r="U117" s="249"/>
      <c r="V117" s="249"/>
      <c r="W117" s="249"/>
      <c r="X117" s="249"/>
      <c r="Y117" s="249"/>
      <c r="Z117" s="249"/>
      <c r="AA117" s="249"/>
      <c r="AB117" s="249"/>
      <c r="AC117" s="249"/>
      <c r="AD117" s="249"/>
      <c r="AE117" s="249"/>
      <c r="AF117" s="249"/>
      <c r="AG117" s="249"/>
      <c r="AH117" s="249"/>
      <c r="AI117" s="249"/>
      <c r="AJ117" s="249"/>
      <c r="AK117" s="249"/>
      <c r="AL117" s="249"/>
      <c r="AM117" s="249"/>
      <c r="AN117" s="537"/>
      <c r="AO117" s="249" t="str">
        <f>IF(Z117="Yes",COUNTIF($Z$6:Z117,"Yes"),"")</f>
        <v/>
      </c>
      <c r="AP117" s="249" t="str">
        <f>IF(AA117="Yes",COUNTIF($AA$6:AA117,"Yes"),"")</f>
        <v/>
      </c>
      <c r="AQ117" s="249" t="str">
        <f>IF(AC117="Yes",COUNTIF($AC$6:AC117,"Yes"),"")</f>
        <v/>
      </c>
    </row>
    <row r="118" spans="1:43">
      <c r="A118" s="249"/>
      <c r="B118" s="249"/>
      <c r="C118" s="249"/>
      <c r="D118" s="249"/>
      <c r="E118" s="249"/>
      <c r="F118" s="249"/>
      <c r="G118" s="249"/>
      <c r="H118" s="249"/>
      <c r="I118" s="249"/>
      <c r="J118" s="249"/>
      <c r="K118" s="249"/>
      <c r="L118" s="249"/>
      <c r="M118" s="249"/>
      <c r="N118" s="249"/>
      <c r="O118" s="249"/>
      <c r="P118" s="537"/>
      <c r="Q118" s="537"/>
      <c r="R118" s="537"/>
      <c r="S118" s="538" t="str">
        <f t="shared" ca="1" si="6"/>
        <v/>
      </c>
      <c r="T118" s="538" t="str">
        <f t="shared" ca="1" si="7"/>
        <v/>
      </c>
      <c r="U118" s="249"/>
      <c r="V118" s="249"/>
      <c r="W118" s="249"/>
      <c r="X118" s="249"/>
      <c r="Y118" s="249"/>
      <c r="Z118" s="249"/>
      <c r="AA118" s="249"/>
      <c r="AB118" s="249"/>
      <c r="AC118" s="249"/>
      <c r="AD118" s="249"/>
      <c r="AE118" s="249"/>
      <c r="AF118" s="249"/>
      <c r="AG118" s="249"/>
      <c r="AH118" s="249"/>
      <c r="AI118" s="249"/>
      <c r="AJ118" s="249"/>
      <c r="AK118" s="249"/>
      <c r="AL118" s="249"/>
      <c r="AM118" s="249"/>
      <c r="AN118" s="537"/>
      <c r="AO118" s="249" t="str">
        <f>IF(Z118="Yes",COUNTIF($Z$6:Z118,"Yes"),"")</f>
        <v/>
      </c>
      <c r="AP118" s="249" t="str">
        <f>IF(AA118="Yes",COUNTIF($AA$6:AA118,"Yes"),"")</f>
        <v/>
      </c>
      <c r="AQ118" s="249" t="str">
        <f>IF(AC118="Yes",COUNTIF($AC$6:AC118,"Yes"),"")</f>
        <v/>
      </c>
    </row>
    <row r="119" spans="1:43">
      <c r="A119" s="249"/>
      <c r="B119" s="249"/>
      <c r="C119" s="249"/>
      <c r="D119" s="249"/>
      <c r="E119" s="249"/>
      <c r="F119" s="249"/>
      <c r="G119" s="249"/>
      <c r="H119" s="249"/>
      <c r="I119" s="249"/>
      <c r="J119" s="249"/>
      <c r="K119" s="249"/>
      <c r="L119" s="249"/>
      <c r="M119" s="249"/>
      <c r="N119" s="249"/>
      <c r="O119" s="249"/>
      <c r="P119" s="537"/>
      <c r="Q119" s="537"/>
      <c r="R119" s="537"/>
      <c r="S119" s="538" t="str">
        <f t="shared" ca="1" si="6"/>
        <v/>
      </c>
      <c r="T119" s="538" t="str">
        <f t="shared" ca="1" si="7"/>
        <v/>
      </c>
      <c r="U119" s="249"/>
      <c r="V119" s="249"/>
      <c r="W119" s="249"/>
      <c r="X119" s="249"/>
      <c r="Y119" s="249"/>
      <c r="Z119" s="249"/>
      <c r="AA119" s="249"/>
      <c r="AB119" s="249"/>
      <c r="AC119" s="249"/>
      <c r="AD119" s="249"/>
      <c r="AE119" s="249"/>
      <c r="AF119" s="249"/>
      <c r="AG119" s="249"/>
      <c r="AH119" s="249"/>
      <c r="AI119" s="249"/>
      <c r="AJ119" s="249"/>
      <c r="AK119" s="249"/>
      <c r="AL119" s="249"/>
      <c r="AM119" s="249"/>
      <c r="AN119" s="537"/>
      <c r="AO119" s="249" t="str">
        <f>IF(Z119="Yes",COUNTIF($Z$6:Z119,"Yes"),"")</f>
        <v/>
      </c>
      <c r="AP119" s="249" t="str">
        <f>IF(AA119="Yes",COUNTIF($AA$6:AA119,"Yes"),"")</f>
        <v/>
      </c>
      <c r="AQ119" s="249" t="str">
        <f>IF(AC119="Yes",COUNTIF($AC$6:AC119,"Yes"),"")</f>
        <v/>
      </c>
    </row>
    <row r="120" spans="1:43">
      <c r="A120" s="249"/>
      <c r="B120" s="249"/>
      <c r="C120" s="249"/>
      <c r="D120" s="249"/>
      <c r="E120" s="249"/>
      <c r="F120" s="249"/>
      <c r="G120" s="249"/>
      <c r="H120" s="249"/>
      <c r="I120" s="249"/>
      <c r="J120" s="249"/>
      <c r="K120" s="249"/>
      <c r="L120" s="249"/>
      <c r="M120" s="249"/>
      <c r="N120" s="249"/>
      <c r="O120" s="249"/>
      <c r="P120" s="537"/>
      <c r="Q120" s="537"/>
      <c r="R120" s="537"/>
      <c r="S120" s="538" t="str">
        <f t="shared" ca="1" si="6"/>
        <v/>
      </c>
      <c r="T120" s="538" t="str">
        <f t="shared" ca="1" si="7"/>
        <v/>
      </c>
      <c r="U120" s="249"/>
      <c r="V120" s="249"/>
      <c r="W120" s="249"/>
      <c r="X120" s="249"/>
      <c r="Y120" s="249"/>
      <c r="Z120" s="249"/>
      <c r="AA120" s="249"/>
      <c r="AB120" s="249"/>
      <c r="AC120" s="249"/>
      <c r="AD120" s="249"/>
      <c r="AE120" s="249"/>
      <c r="AF120" s="249"/>
      <c r="AG120" s="249"/>
      <c r="AH120" s="249"/>
      <c r="AI120" s="249"/>
      <c r="AJ120" s="249"/>
      <c r="AK120" s="249"/>
      <c r="AL120" s="249"/>
      <c r="AM120" s="249"/>
      <c r="AN120" s="537"/>
      <c r="AO120" s="249" t="str">
        <f>IF(Z120="Yes",COUNTIF($Z$6:Z120,"Yes"),"")</f>
        <v/>
      </c>
      <c r="AP120" s="249" t="str">
        <f>IF(AA120="Yes",COUNTIF($AA$6:AA120,"Yes"),"")</f>
        <v/>
      </c>
      <c r="AQ120" s="249" t="str">
        <f>IF(AC120="Yes",COUNTIF($AC$6:AC120,"Yes"),"")</f>
        <v/>
      </c>
    </row>
    <row r="121" spans="1:43">
      <c r="A121" s="249"/>
      <c r="B121" s="249"/>
      <c r="C121" s="249"/>
      <c r="D121" s="249"/>
      <c r="E121" s="249"/>
      <c r="F121" s="249"/>
      <c r="G121" s="249"/>
      <c r="H121" s="249"/>
      <c r="I121" s="249"/>
      <c r="J121" s="249"/>
      <c r="K121" s="249"/>
      <c r="L121" s="249"/>
      <c r="M121" s="249"/>
      <c r="N121" s="249"/>
      <c r="O121" s="249"/>
      <c r="P121" s="537"/>
      <c r="Q121" s="537"/>
      <c r="R121" s="537"/>
      <c r="S121" s="538" t="str">
        <f t="shared" ca="1" si="6"/>
        <v/>
      </c>
      <c r="T121" s="538" t="str">
        <f t="shared" ca="1" si="7"/>
        <v/>
      </c>
      <c r="U121" s="249"/>
      <c r="V121" s="249"/>
      <c r="W121" s="249"/>
      <c r="X121" s="249"/>
      <c r="Y121" s="249"/>
      <c r="Z121" s="249"/>
      <c r="AA121" s="249"/>
      <c r="AB121" s="249"/>
      <c r="AC121" s="249"/>
      <c r="AD121" s="249"/>
      <c r="AE121" s="249"/>
      <c r="AF121" s="249"/>
      <c r="AG121" s="249"/>
      <c r="AH121" s="249"/>
      <c r="AI121" s="249"/>
      <c r="AJ121" s="249"/>
      <c r="AK121" s="249"/>
      <c r="AL121" s="249"/>
      <c r="AM121" s="249"/>
      <c r="AN121" s="537"/>
      <c r="AO121" s="249" t="str">
        <f>IF(Z121="Yes",COUNTIF($Z$6:Z121,"Yes"),"")</f>
        <v/>
      </c>
      <c r="AP121" s="249" t="str">
        <f>IF(AA121="Yes",COUNTIF($AA$6:AA121,"Yes"),"")</f>
        <v/>
      </c>
      <c r="AQ121" s="249" t="str">
        <f>IF(AC121="Yes",COUNTIF($AC$6:AC121,"Yes"),"")</f>
        <v/>
      </c>
    </row>
    <row r="122" spans="1:43">
      <c r="A122" s="249"/>
      <c r="B122" s="249"/>
      <c r="C122" s="249"/>
      <c r="D122" s="249"/>
      <c r="E122" s="249"/>
      <c r="F122" s="249"/>
      <c r="G122" s="249"/>
      <c r="H122" s="249"/>
      <c r="I122" s="249"/>
      <c r="J122" s="249"/>
      <c r="K122" s="249"/>
      <c r="L122" s="249"/>
      <c r="M122" s="249"/>
      <c r="N122" s="249"/>
      <c r="O122" s="249"/>
      <c r="P122" s="537"/>
      <c r="Q122" s="537"/>
      <c r="R122" s="537"/>
      <c r="S122" s="538" t="str">
        <f t="shared" ca="1" si="6"/>
        <v/>
      </c>
      <c r="T122" s="538" t="str">
        <f t="shared" ca="1" si="7"/>
        <v/>
      </c>
      <c r="U122" s="249"/>
      <c r="V122" s="249"/>
      <c r="W122" s="249"/>
      <c r="X122" s="249"/>
      <c r="Y122" s="249"/>
      <c r="Z122" s="249"/>
      <c r="AA122" s="249"/>
      <c r="AB122" s="249"/>
      <c r="AC122" s="249"/>
      <c r="AD122" s="249"/>
      <c r="AE122" s="249"/>
      <c r="AF122" s="249"/>
      <c r="AG122" s="249"/>
      <c r="AH122" s="249"/>
      <c r="AI122" s="249"/>
      <c r="AJ122" s="249"/>
      <c r="AK122" s="249"/>
      <c r="AL122" s="249"/>
      <c r="AM122" s="249"/>
      <c r="AN122" s="537"/>
      <c r="AO122" s="249" t="str">
        <f>IF(Z122="Yes",COUNTIF($Z$6:Z122,"Yes"),"")</f>
        <v/>
      </c>
      <c r="AP122" s="249" t="str">
        <f>IF(AA122="Yes",COUNTIF($AA$6:AA122,"Yes"),"")</f>
        <v/>
      </c>
      <c r="AQ122" s="249" t="str">
        <f>IF(AC122="Yes",COUNTIF($AC$6:AC122,"Yes"),"")</f>
        <v/>
      </c>
    </row>
    <row r="123" spans="1:43">
      <c r="A123" s="249"/>
      <c r="B123" s="249"/>
      <c r="C123" s="249"/>
      <c r="D123" s="249"/>
      <c r="E123" s="249"/>
      <c r="F123" s="249"/>
      <c r="G123" s="249"/>
      <c r="H123" s="249"/>
      <c r="I123" s="249"/>
      <c r="J123" s="249"/>
      <c r="K123" s="249"/>
      <c r="L123" s="249"/>
      <c r="M123" s="249"/>
      <c r="N123" s="249"/>
      <c r="O123" s="249"/>
      <c r="P123" s="537"/>
      <c r="Q123" s="537"/>
      <c r="R123" s="537"/>
      <c r="S123" s="538" t="str">
        <f t="shared" ca="1" si="6"/>
        <v/>
      </c>
      <c r="T123" s="538" t="str">
        <f t="shared" ca="1" si="7"/>
        <v/>
      </c>
      <c r="U123" s="249"/>
      <c r="V123" s="249"/>
      <c r="W123" s="249"/>
      <c r="X123" s="249"/>
      <c r="Y123" s="249"/>
      <c r="Z123" s="249"/>
      <c r="AA123" s="249"/>
      <c r="AB123" s="249"/>
      <c r="AC123" s="249"/>
      <c r="AD123" s="249"/>
      <c r="AE123" s="249"/>
      <c r="AF123" s="249"/>
      <c r="AG123" s="249"/>
      <c r="AH123" s="249"/>
      <c r="AI123" s="249"/>
      <c r="AJ123" s="249"/>
      <c r="AK123" s="249"/>
      <c r="AL123" s="249"/>
      <c r="AM123" s="249"/>
      <c r="AN123" s="537"/>
      <c r="AO123" s="249" t="str">
        <f>IF(Z123="Yes",COUNTIF($Z$6:Z123,"Yes"),"")</f>
        <v/>
      </c>
      <c r="AP123" s="249" t="str">
        <f>IF(AA123="Yes",COUNTIF($AA$6:AA123,"Yes"),"")</f>
        <v/>
      </c>
      <c r="AQ123" s="249" t="str">
        <f>IF(AC123="Yes",COUNTIF($AC$6:AC123,"Yes"),"")</f>
        <v/>
      </c>
    </row>
    <row r="124" spans="1:43">
      <c r="A124" s="249"/>
      <c r="B124" s="249"/>
      <c r="C124" s="249"/>
      <c r="D124" s="249"/>
      <c r="E124" s="249"/>
      <c r="F124" s="249"/>
      <c r="G124" s="249"/>
      <c r="H124" s="249"/>
      <c r="I124" s="249"/>
      <c r="J124" s="249"/>
      <c r="K124" s="249"/>
      <c r="L124" s="249"/>
      <c r="M124" s="249"/>
      <c r="N124" s="249"/>
      <c r="O124" s="249"/>
      <c r="P124" s="537"/>
      <c r="Q124" s="537"/>
      <c r="R124" s="537"/>
      <c r="S124" s="538" t="str">
        <f t="shared" ca="1" si="6"/>
        <v/>
      </c>
      <c r="T124" s="538" t="str">
        <f t="shared" ca="1" si="7"/>
        <v/>
      </c>
      <c r="U124" s="249"/>
      <c r="V124" s="249"/>
      <c r="W124" s="249"/>
      <c r="X124" s="249"/>
      <c r="Y124" s="249"/>
      <c r="Z124" s="249"/>
      <c r="AA124" s="249"/>
      <c r="AB124" s="249"/>
      <c r="AC124" s="249"/>
      <c r="AD124" s="249"/>
      <c r="AE124" s="249"/>
      <c r="AF124" s="249"/>
      <c r="AG124" s="249"/>
      <c r="AH124" s="249"/>
      <c r="AI124" s="249"/>
      <c r="AJ124" s="249"/>
      <c r="AK124" s="249"/>
      <c r="AL124" s="249"/>
      <c r="AM124" s="249"/>
      <c r="AN124" s="537"/>
      <c r="AO124" s="249" t="str">
        <f>IF(Z124="Yes",COUNTIF($Z$6:Z124,"Yes"),"")</f>
        <v/>
      </c>
      <c r="AP124" s="249" t="str">
        <f>IF(AA124="Yes",COUNTIF($AA$6:AA124,"Yes"),"")</f>
        <v/>
      </c>
      <c r="AQ124" s="249" t="str">
        <f>IF(AC124="Yes",COUNTIF($AC$6:AC124,"Yes"),"")</f>
        <v/>
      </c>
    </row>
    <row r="125" spans="1:43">
      <c r="A125" s="249"/>
      <c r="B125" s="249"/>
      <c r="C125" s="249"/>
      <c r="D125" s="249"/>
      <c r="E125" s="249"/>
      <c r="F125" s="249"/>
      <c r="G125" s="249"/>
      <c r="H125" s="249"/>
      <c r="I125" s="249"/>
      <c r="J125" s="249"/>
      <c r="K125" s="249"/>
      <c r="L125" s="249"/>
      <c r="M125" s="249"/>
      <c r="N125" s="249"/>
      <c r="O125" s="249"/>
      <c r="P125" s="537"/>
      <c r="Q125" s="537"/>
      <c r="R125" s="537"/>
      <c r="S125" s="538" t="str">
        <f t="shared" ca="1" si="6"/>
        <v/>
      </c>
      <c r="T125" s="538" t="str">
        <f t="shared" ca="1" si="7"/>
        <v/>
      </c>
      <c r="U125" s="249"/>
      <c r="V125" s="249"/>
      <c r="W125" s="249"/>
      <c r="X125" s="249"/>
      <c r="Y125" s="249"/>
      <c r="Z125" s="249"/>
      <c r="AA125" s="249"/>
      <c r="AB125" s="249"/>
      <c r="AC125" s="249"/>
      <c r="AD125" s="249"/>
      <c r="AE125" s="249"/>
      <c r="AF125" s="249"/>
      <c r="AG125" s="249"/>
      <c r="AH125" s="249"/>
      <c r="AI125" s="249"/>
      <c r="AJ125" s="249"/>
      <c r="AK125" s="249"/>
      <c r="AL125" s="249"/>
      <c r="AM125" s="249"/>
      <c r="AN125" s="537"/>
      <c r="AO125" s="249" t="str">
        <f>IF(Z125="Yes",COUNTIF($Z$6:Z125,"Yes"),"")</f>
        <v/>
      </c>
      <c r="AP125" s="249" t="str">
        <f>IF(AA125="Yes",COUNTIF($AA$6:AA125,"Yes"),"")</f>
        <v/>
      </c>
      <c r="AQ125" s="249" t="str">
        <f>IF(AC125="Yes",COUNTIF($AC$6:AC125,"Yes"),"")</f>
        <v/>
      </c>
    </row>
    <row r="126" spans="1:43">
      <c r="A126" s="249"/>
      <c r="B126" s="249"/>
      <c r="C126" s="249"/>
      <c r="D126" s="249"/>
      <c r="E126" s="249"/>
      <c r="F126" s="249"/>
      <c r="G126" s="249"/>
      <c r="H126" s="249"/>
      <c r="I126" s="249"/>
      <c r="J126" s="249"/>
      <c r="K126" s="249"/>
      <c r="L126" s="249"/>
      <c r="M126" s="249"/>
      <c r="N126" s="249"/>
      <c r="O126" s="249"/>
      <c r="P126" s="537"/>
      <c r="Q126" s="537"/>
      <c r="R126" s="537"/>
      <c r="S126" s="538" t="str">
        <f t="shared" ca="1" si="6"/>
        <v/>
      </c>
      <c r="T126" s="538" t="str">
        <f t="shared" ca="1" si="7"/>
        <v/>
      </c>
      <c r="U126" s="249"/>
      <c r="V126" s="249"/>
      <c r="W126" s="249"/>
      <c r="X126" s="249"/>
      <c r="Y126" s="249"/>
      <c r="Z126" s="249"/>
      <c r="AA126" s="249"/>
      <c r="AB126" s="249"/>
      <c r="AC126" s="249"/>
      <c r="AD126" s="249"/>
      <c r="AE126" s="249"/>
      <c r="AF126" s="249"/>
      <c r="AG126" s="249"/>
      <c r="AH126" s="249"/>
      <c r="AI126" s="249"/>
      <c r="AJ126" s="249"/>
      <c r="AK126" s="249"/>
      <c r="AL126" s="249"/>
      <c r="AM126" s="249"/>
      <c r="AN126" s="537"/>
      <c r="AO126" s="249" t="str">
        <f>IF(Z126="Yes",COUNTIF($Z$6:Z126,"Yes"),"")</f>
        <v/>
      </c>
      <c r="AP126" s="249" t="str">
        <f>IF(AA126="Yes",COUNTIF($AA$6:AA126,"Yes"),"")</f>
        <v/>
      </c>
      <c r="AQ126" s="249" t="str">
        <f>IF(AC126="Yes",COUNTIF($AC$6:AC126,"Yes"),"")</f>
        <v/>
      </c>
    </row>
    <row r="127" spans="1:43">
      <c r="A127" s="249"/>
      <c r="B127" s="249"/>
      <c r="C127" s="249"/>
      <c r="D127" s="249"/>
      <c r="E127" s="249"/>
      <c r="F127" s="249"/>
      <c r="G127" s="249"/>
      <c r="H127" s="249"/>
      <c r="I127" s="249"/>
      <c r="J127" s="249"/>
      <c r="K127" s="249"/>
      <c r="L127" s="249"/>
      <c r="M127" s="249"/>
      <c r="N127" s="249"/>
      <c r="O127" s="249"/>
      <c r="P127" s="537"/>
      <c r="Q127" s="537"/>
      <c r="R127" s="537"/>
      <c r="S127" s="538" t="str">
        <f t="shared" ca="1" si="6"/>
        <v/>
      </c>
      <c r="T127" s="538" t="str">
        <f t="shared" ca="1" si="7"/>
        <v/>
      </c>
      <c r="U127" s="249"/>
      <c r="V127" s="249"/>
      <c r="W127" s="249"/>
      <c r="X127" s="249"/>
      <c r="Y127" s="249"/>
      <c r="Z127" s="249"/>
      <c r="AA127" s="249"/>
      <c r="AB127" s="249"/>
      <c r="AC127" s="249"/>
      <c r="AD127" s="249"/>
      <c r="AE127" s="249"/>
      <c r="AF127" s="249"/>
      <c r="AG127" s="249"/>
      <c r="AH127" s="249"/>
      <c r="AI127" s="249"/>
      <c r="AJ127" s="249"/>
      <c r="AK127" s="249"/>
      <c r="AL127" s="249"/>
      <c r="AM127" s="249"/>
      <c r="AN127" s="537"/>
      <c r="AO127" s="249" t="str">
        <f>IF(Z127="Yes",COUNTIF($Z$6:Z127,"Yes"),"")</f>
        <v/>
      </c>
      <c r="AP127" s="249" t="str">
        <f>IF(AA127="Yes",COUNTIF($AA$6:AA127,"Yes"),"")</f>
        <v/>
      </c>
      <c r="AQ127" s="249" t="str">
        <f>IF(AC127="Yes",COUNTIF($AC$6:AC127,"Yes"),"")</f>
        <v/>
      </c>
    </row>
    <row r="128" spans="1:43">
      <c r="A128" s="249"/>
      <c r="B128" s="249"/>
      <c r="C128" s="249"/>
      <c r="D128" s="249"/>
      <c r="E128" s="249"/>
      <c r="F128" s="249"/>
      <c r="G128" s="249"/>
      <c r="H128" s="249"/>
      <c r="I128" s="249"/>
      <c r="J128" s="249"/>
      <c r="K128" s="249"/>
      <c r="L128" s="249"/>
      <c r="M128" s="249"/>
      <c r="N128" s="249"/>
      <c r="O128" s="249"/>
      <c r="P128" s="537"/>
      <c r="Q128" s="537"/>
      <c r="R128" s="537"/>
      <c r="S128" s="538" t="str">
        <f t="shared" ca="1" si="6"/>
        <v/>
      </c>
      <c r="T128" s="538" t="str">
        <f t="shared" ca="1" si="7"/>
        <v/>
      </c>
      <c r="U128" s="249"/>
      <c r="V128" s="249"/>
      <c r="W128" s="249"/>
      <c r="X128" s="249"/>
      <c r="Y128" s="249"/>
      <c r="Z128" s="249"/>
      <c r="AA128" s="249"/>
      <c r="AB128" s="249"/>
      <c r="AC128" s="249"/>
      <c r="AD128" s="249"/>
      <c r="AE128" s="249"/>
      <c r="AF128" s="249"/>
      <c r="AG128" s="249"/>
      <c r="AH128" s="249"/>
      <c r="AI128" s="249"/>
      <c r="AJ128" s="249"/>
      <c r="AK128" s="249"/>
      <c r="AL128" s="249"/>
      <c r="AM128" s="249"/>
      <c r="AN128" s="537"/>
      <c r="AO128" s="249" t="str">
        <f>IF(Z128="Yes",COUNTIF($Z$6:Z128,"Yes"),"")</f>
        <v/>
      </c>
      <c r="AP128" s="249" t="str">
        <f>IF(AA128="Yes",COUNTIF($AA$6:AA128,"Yes"),"")</f>
        <v/>
      </c>
      <c r="AQ128" s="249" t="str">
        <f>IF(AC128="Yes",COUNTIF($AC$6:AC128,"Yes"),"")</f>
        <v/>
      </c>
    </row>
    <row r="129" spans="1:43">
      <c r="A129" s="249"/>
      <c r="B129" s="249"/>
      <c r="C129" s="249"/>
      <c r="D129" s="249"/>
      <c r="E129" s="249"/>
      <c r="F129" s="249"/>
      <c r="G129" s="249"/>
      <c r="H129" s="249"/>
      <c r="I129" s="249"/>
      <c r="J129" s="249"/>
      <c r="K129" s="249"/>
      <c r="L129" s="249"/>
      <c r="M129" s="249"/>
      <c r="N129" s="249"/>
      <c r="O129" s="249"/>
      <c r="P129" s="537"/>
      <c r="Q129" s="537"/>
      <c r="R129" s="537"/>
      <c r="S129" s="538" t="str">
        <f t="shared" ca="1" si="6"/>
        <v/>
      </c>
      <c r="T129" s="538" t="str">
        <f t="shared" ca="1" si="7"/>
        <v/>
      </c>
      <c r="U129" s="249"/>
      <c r="V129" s="249"/>
      <c r="W129" s="249"/>
      <c r="X129" s="249"/>
      <c r="Y129" s="249"/>
      <c r="Z129" s="249"/>
      <c r="AA129" s="249"/>
      <c r="AB129" s="249"/>
      <c r="AC129" s="249"/>
      <c r="AD129" s="249"/>
      <c r="AE129" s="249"/>
      <c r="AF129" s="249"/>
      <c r="AG129" s="249"/>
      <c r="AH129" s="249"/>
      <c r="AI129" s="249"/>
      <c r="AJ129" s="249"/>
      <c r="AK129" s="249"/>
      <c r="AL129" s="249"/>
      <c r="AM129" s="249"/>
      <c r="AN129" s="537"/>
      <c r="AO129" s="249" t="str">
        <f>IF(Z129="Yes",COUNTIF($Z$6:Z129,"Yes"),"")</f>
        <v/>
      </c>
      <c r="AP129" s="249" t="str">
        <f>IF(AA129="Yes",COUNTIF($AA$6:AA129,"Yes"),"")</f>
        <v/>
      </c>
      <c r="AQ129" s="249" t="str">
        <f>IF(AC129="Yes",COUNTIF($AC$6:AC129,"Yes"),"")</f>
        <v/>
      </c>
    </row>
    <row r="130" spans="1:43">
      <c r="A130" s="249"/>
      <c r="B130" s="249"/>
      <c r="C130" s="249"/>
      <c r="D130" s="249"/>
      <c r="E130" s="249"/>
      <c r="F130" s="249"/>
      <c r="G130" s="249"/>
      <c r="H130" s="249"/>
      <c r="I130" s="249"/>
      <c r="J130" s="249"/>
      <c r="K130" s="249"/>
      <c r="L130" s="249"/>
      <c r="M130" s="249"/>
      <c r="N130" s="249"/>
      <c r="O130" s="249"/>
      <c r="P130" s="537"/>
      <c r="Q130" s="537"/>
      <c r="R130" s="537"/>
      <c r="S130" s="538" t="str">
        <f t="shared" ca="1" si="6"/>
        <v/>
      </c>
      <c r="T130" s="538" t="str">
        <f t="shared" ca="1" si="7"/>
        <v/>
      </c>
      <c r="U130" s="249"/>
      <c r="V130" s="249"/>
      <c r="W130" s="249"/>
      <c r="X130" s="249"/>
      <c r="Y130" s="249"/>
      <c r="Z130" s="249"/>
      <c r="AA130" s="249"/>
      <c r="AB130" s="249"/>
      <c r="AC130" s="249"/>
      <c r="AD130" s="249"/>
      <c r="AE130" s="249"/>
      <c r="AF130" s="249"/>
      <c r="AG130" s="249"/>
      <c r="AH130" s="249"/>
      <c r="AI130" s="249"/>
      <c r="AJ130" s="249"/>
      <c r="AK130" s="249"/>
      <c r="AL130" s="249"/>
      <c r="AM130" s="249"/>
      <c r="AN130" s="537"/>
      <c r="AO130" s="249" t="str">
        <f>IF(Z130="Yes",COUNTIF($Z$6:Z130,"Yes"),"")</f>
        <v/>
      </c>
      <c r="AP130" s="249" t="str">
        <f>IF(AA130="Yes",COUNTIF($AA$6:AA130,"Yes"),"")</f>
        <v/>
      </c>
      <c r="AQ130" s="249" t="str">
        <f>IF(AC130="Yes",COUNTIF($AC$6:AC130,"Yes"),"")</f>
        <v/>
      </c>
    </row>
    <row r="131" spans="1:43">
      <c r="A131" s="249"/>
      <c r="B131" s="249"/>
      <c r="C131" s="249"/>
      <c r="D131" s="249"/>
      <c r="E131" s="249"/>
      <c r="F131" s="249"/>
      <c r="G131" s="249"/>
      <c r="H131" s="249"/>
      <c r="I131" s="249"/>
      <c r="J131" s="249"/>
      <c r="K131" s="249"/>
      <c r="L131" s="249"/>
      <c r="M131" s="249"/>
      <c r="N131" s="249"/>
      <c r="O131" s="249"/>
      <c r="P131" s="537"/>
      <c r="Q131" s="537"/>
      <c r="R131" s="537"/>
      <c r="S131" s="538" t="str">
        <f t="shared" ca="1" si="6"/>
        <v/>
      </c>
      <c r="T131" s="538" t="str">
        <f t="shared" ca="1" si="7"/>
        <v/>
      </c>
      <c r="U131" s="249"/>
      <c r="V131" s="249"/>
      <c r="W131" s="249"/>
      <c r="X131" s="249"/>
      <c r="Y131" s="249"/>
      <c r="Z131" s="249"/>
      <c r="AA131" s="249"/>
      <c r="AB131" s="249"/>
      <c r="AC131" s="249"/>
      <c r="AD131" s="249"/>
      <c r="AE131" s="249"/>
      <c r="AF131" s="249"/>
      <c r="AG131" s="249"/>
      <c r="AH131" s="249"/>
      <c r="AI131" s="249"/>
      <c r="AJ131" s="249"/>
      <c r="AK131" s="249"/>
      <c r="AL131" s="249"/>
      <c r="AM131" s="249"/>
      <c r="AN131" s="537"/>
      <c r="AO131" s="249" t="str">
        <f>IF(Z131="Yes",COUNTIF($Z$6:Z131,"Yes"),"")</f>
        <v/>
      </c>
      <c r="AP131" s="249" t="str">
        <f>IF(AA131="Yes",COUNTIF($AA$6:AA131,"Yes"),"")</f>
        <v/>
      </c>
      <c r="AQ131" s="249" t="str">
        <f>IF(AC131="Yes",COUNTIF($AC$6:AC131,"Yes"),"")</f>
        <v/>
      </c>
    </row>
    <row r="132" spans="1:43">
      <c r="A132" s="249"/>
      <c r="B132" s="249"/>
      <c r="C132" s="249"/>
      <c r="D132" s="249"/>
      <c r="E132" s="249"/>
      <c r="F132" s="249"/>
      <c r="G132" s="249"/>
      <c r="H132" s="249"/>
      <c r="I132" s="249"/>
      <c r="J132" s="249"/>
      <c r="K132" s="249"/>
      <c r="L132" s="249"/>
      <c r="M132" s="249"/>
      <c r="N132" s="249"/>
      <c r="O132" s="249"/>
      <c r="P132" s="537"/>
      <c r="Q132" s="537"/>
      <c r="R132" s="537"/>
      <c r="S132" s="538" t="str">
        <f t="shared" ca="1" si="6"/>
        <v/>
      </c>
      <c r="T132" s="538" t="str">
        <f t="shared" ca="1" si="7"/>
        <v/>
      </c>
      <c r="U132" s="249"/>
      <c r="V132" s="249"/>
      <c r="W132" s="249"/>
      <c r="X132" s="249"/>
      <c r="Y132" s="249"/>
      <c r="Z132" s="249"/>
      <c r="AA132" s="249"/>
      <c r="AB132" s="249"/>
      <c r="AC132" s="249"/>
      <c r="AD132" s="249"/>
      <c r="AE132" s="249"/>
      <c r="AF132" s="249"/>
      <c r="AG132" s="249"/>
      <c r="AH132" s="249"/>
      <c r="AI132" s="249"/>
      <c r="AJ132" s="249"/>
      <c r="AK132" s="249"/>
      <c r="AL132" s="249"/>
      <c r="AM132" s="249"/>
      <c r="AN132" s="537"/>
      <c r="AO132" s="249" t="str">
        <f>IF(Z132="Yes",COUNTIF($Z$6:Z132,"Yes"),"")</f>
        <v/>
      </c>
      <c r="AP132" s="249" t="str">
        <f>IF(AA132="Yes",COUNTIF($AA$6:AA132,"Yes"),"")</f>
        <v/>
      </c>
      <c r="AQ132" s="249" t="str">
        <f>IF(AC132="Yes",COUNTIF($AC$6:AC132,"Yes"),"")</f>
        <v/>
      </c>
    </row>
    <row r="133" spans="1:43">
      <c r="A133" s="249"/>
      <c r="B133" s="249"/>
      <c r="C133" s="249"/>
      <c r="D133" s="249"/>
      <c r="E133" s="249"/>
      <c r="F133" s="249"/>
      <c r="G133" s="249"/>
      <c r="H133" s="249"/>
      <c r="I133" s="249"/>
      <c r="J133" s="249"/>
      <c r="K133" s="249"/>
      <c r="L133" s="249"/>
      <c r="M133" s="249"/>
      <c r="N133" s="249"/>
      <c r="O133" s="249"/>
      <c r="P133" s="537"/>
      <c r="Q133" s="537"/>
      <c r="R133" s="537"/>
      <c r="S133" s="538" t="str">
        <f t="shared" ca="1" si="6"/>
        <v/>
      </c>
      <c r="T133" s="538" t="str">
        <f t="shared" ca="1" si="7"/>
        <v/>
      </c>
      <c r="U133" s="249"/>
      <c r="V133" s="249"/>
      <c r="W133" s="249"/>
      <c r="X133" s="249"/>
      <c r="Y133" s="249"/>
      <c r="Z133" s="249"/>
      <c r="AA133" s="249"/>
      <c r="AB133" s="249"/>
      <c r="AC133" s="249"/>
      <c r="AD133" s="249"/>
      <c r="AE133" s="249"/>
      <c r="AF133" s="249"/>
      <c r="AG133" s="249"/>
      <c r="AH133" s="249"/>
      <c r="AI133" s="249"/>
      <c r="AJ133" s="249"/>
      <c r="AK133" s="249"/>
      <c r="AL133" s="249"/>
      <c r="AM133" s="249"/>
      <c r="AN133" s="537"/>
      <c r="AO133" s="249" t="str">
        <f>IF(Z133="Yes",COUNTIF($Z$6:Z133,"Yes"),"")</f>
        <v/>
      </c>
      <c r="AP133" s="249" t="str">
        <f>IF(AA133="Yes",COUNTIF($AA$6:AA133,"Yes"),"")</f>
        <v/>
      </c>
      <c r="AQ133" s="249" t="str">
        <f>IF(AC133="Yes",COUNTIF($AC$6:AC133,"Yes"),"")</f>
        <v/>
      </c>
    </row>
    <row r="134" spans="1:43">
      <c r="A134" s="249"/>
      <c r="B134" s="249"/>
      <c r="C134" s="249"/>
      <c r="D134" s="249"/>
      <c r="E134" s="249"/>
      <c r="F134" s="249"/>
      <c r="G134" s="249"/>
      <c r="H134" s="249"/>
      <c r="I134" s="249"/>
      <c r="J134" s="249"/>
      <c r="K134" s="249"/>
      <c r="L134" s="249"/>
      <c r="M134" s="249"/>
      <c r="N134" s="249"/>
      <c r="O134" s="249"/>
      <c r="P134" s="537"/>
      <c r="Q134" s="537"/>
      <c r="R134" s="537"/>
      <c r="S134" s="538" t="str">
        <f t="shared" ref="S134:S197" ca="1" si="8">IF(P134="","",IF(R134&lt;&gt;"",R134-P134,TODAY()-P134))</f>
        <v/>
      </c>
      <c r="T134" s="538" t="str">
        <f t="shared" ref="T134:T197" ca="1" si="9">IF(Q134="","",Q134-TODAY())</f>
        <v/>
      </c>
      <c r="U134" s="249"/>
      <c r="V134" s="249"/>
      <c r="W134" s="249"/>
      <c r="X134" s="249"/>
      <c r="Y134" s="249"/>
      <c r="Z134" s="249"/>
      <c r="AA134" s="249"/>
      <c r="AB134" s="249"/>
      <c r="AC134" s="249"/>
      <c r="AD134" s="249"/>
      <c r="AE134" s="249"/>
      <c r="AF134" s="249"/>
      <c r="AG134" s="249"/>
      <c r="AH134" s="249"/>
      <c r="AI134" s="249"/>
      <c r="AJ134" s="249"/>
      <c r="AK134" s="249"/>
      <c r="AL134" s="249"/>
      <c r="AM134" s="249"/>
      <c r="AN134" s="537"/>
      <c r="AO134" s="249" t="str">
        <f>IF(Z134="Yes",COUNTIF($Z$6:Z134,"Yes"),"")</f>
        <v/>
      </c>
      <c r="AP134" s="249" t="str">
        <f>IF(AA134="Yes",COUNTIF($AA$6:AA134,"Yes"),"")</f>
        <v/>
      </c>
      <c r="AQ134" s="249" t="str">
        <f>IF(AC134="Yes",COUNTIF($AC$6:AC134,"Yes"),"")</f>
        <v/>
      </c>
    </row>
    <row r="135" spans="1:43">
      <c r="A135" s="249"/>
      <c r="B135" s="249"/>
      <c r="C135" s="249"/>
      <c r="D135" s="249"/>
      <c r="E135" s="249"/>
      <c r="F135" s="249"/>
      <c r="G135" s="249"/>
      <c r="H135" s="249"/>
      <c r="I135" s="249"/>
      <c r="J135" s="249"/>
      <c r="K135" s="249"/>
      <c r="L135" s="249"/>
      <c r="M135" s="249"/>
      <c r="N135" s="249"/>
      <c r="O135" s="249"/>
      <c r="P135" s="537"/>
      <c r="Q135" s="537"/>
      <c r="R135" s="537"/>
      <c r="S135" s="538" t="str">
        <f t="shared" ca="1" si="8"/>
        <v/>
      </c>
      <c r="T135" s="538" t="str">
        <f t="shared" ca="1" si="9"/>
        <v/>
      </c>
      <c r="U135" s="249"/>
      <c r="V135" s="249"/>
      <c r="W135" s="249"/>
      <c r="X135" s="249"/>
      <c r="Y135" s="249"/>
      <c r="Z135" s="249"/>
      <c r="AA135" s="249"/>
      <c r="AB135" s="249"/>
      <c r="AC135" s="249"/>
      <c r="AD135" s="249"/>
      <c r="AE135" s="249"/>
      <c r="AF135" s="249"/>
      <c r="AG135" s="249"/>
      <c r="AH135" s="249"/>
      <c r="AI135" s="249"/>
      <c r="AJ135" s="249"/>
      <c r="AK135" s="249"/>
      <c r="AL135" s="249"/>
      <c r="AM135" s="249"/>
      <c r="AN135" s="537"/>
      <c r="AO135" s="249" t="str">
        <f>IF(Z135="Yes",COUNTIF($Z$6:Z135,"Yes"),"")</f>
        <v/>
      </c>
      <c r="AP135" s="249" t="str">
        <f>IF(AA135="Yes",COUNTIF($AA$6:AA135,"Yes"),"")</f>
        <v/>
      </c>
      <c r="AQ135" s="249" t="str">
        <f>IF(AC135="Yes",COUNTIF($AC$6:AC135,"Yes"),"")</f>
        <v/>
      </c>
    </row>
    <row r="136" spans="1:43">
      <c r="A136" s="249"/>
      <c r="B136" s="249"/>
      <c r="C136" s="249"/>
      <c r="D136" s="249"/>
      <c r="E136" s="249"/>
      <c r="F136" s="249"/>
      <c r="G136" s="249"/>
      <c r="H136" s="249"/>
      <c r="I136" s="249"/>
      <c r="J136" s="249"/>
      <c r="K136" s="249"/>
      <c r="L136" s="249"/>
      <c r="M136" s="249"/>
      <c r="N136" s="249"/>
      <c r="O136" s="249"/>
      <c r="P136" s="537"/>
      <c r="Q136" s="537"/>
      <c r="R136" s="537"/>
      <c r="S136" s="538" t="str">
        <f t="shared" ca="1" si="8"/>
        <v/>
      </c>
      <c r="T136" s="538" t="str">
        <f t="shared" ca="1" si="9"/>
        <v/>
      </c>
      <c r="U136" s="249"/>
      <c r="V136" s="249"/>
      <c r="W136" s="249"/>
      <c r="X136" s="249"/>
      <c r="Y136" s="249"/>
      <c r="Z136" s="249"/>
      <c r="AA136" s="249"/>
      <c r="AB136" s="249"/>
      <c r="AC136" s="249"/>
      <c r="AD136" s="249"/>
      <c r="AE136" s="249"/>
      <c r="AF136" s="249"/>
      <c r="AG136" s="249"/>
      <c r="AH136" s="249"/>
      <c r="AI136" s="249"/>
      <c r="AJ136" s="249"/>
      <c r="AK136" s="249"/>
      <c r="AL136" s="249"/>
      <c r="AM136" s="249"/>
      <c r="AN136" s="537"/>
      <c r="AO136" s="249" t="str">
        <f>IF(Z136="Yes",COUNTIF($Z$6:Z136,"Yes"),"")</f>
        <v/>
      </c>
      <c r="AP136" s="249" t="str">
        <f>IF(AA136="Yes",COUNTIF($AA$6:AA136,"Yes"),"")</f>
        <v/>
      </c>
      <c r="AQ136" s="249" t="str">
        <f>IF(AC136="Yes",COUNTIF($AC$6:AC136,"Yes"),"")</f>
        <v/>
      </c>
    </row>
    <row r="137" spans="1:43">
      <c r="A137" s="249"/>
      <c r="B137" s="249"/>
      <c r="C137" s="249"/>
      <c r="D137" s="249"/>
      <c r="E137" s="249"/>
      <c r="F137" s="249"/>
      <c r="G137" s="249"/>
      <c r="H137" s="249"/>
      <c r="I137" s="249"/>
      <c r="J137" s="249"/>
      <c r="K137" s="249"/>
      <c r="L137" s="249"/>
      <c r="M137" s="249"/>
      <c r="N137" s="249"/>
      <c r="O137" s="249"/>
      <c r="P137" s="537"/>
      <c r="Q137" s="537"/>
      <c r="R137" s="537"/>
      <c r="S137" s="538" t="str">
        <f t="shared" ca="1" si="8"/>
        <v/>
      </c>
      <c r="T137" s="538" t="str">
        <f t="shared" ca="1" si="9"/>
        <v/>
      </c>
      <c r="U137" s="249"/>
      <c r="V137" s="249"/>
      <c r="W137" s="249"/>
      <c r="X137" s="249"/>
      <c r="Y137" s="249"/>
      <c r="Z137" s="249"/>
      <c r="AA137" s="249"/>
      <c r="AB137" s="249"/>
      <c r="AC137" s="249"/>
      <c r="AD137" s="249"/>
      <c r="AE137" s="249"/>
      <c r="AF137" s="249"/>
      <c r="AG137" s="249"/>
      <c r="AH137" s="249"/>
      <c r="AI137" s="249"/>
      <c r="AJ137" s="249"/>
      <c r="AK137" s="249"/>
      <c r="AL137" s="249"/>
      <c r="AM137" s="249"/>
      <c r="AN137" s="537"/>
      <c r="AO137" s="249" t="str">
        <f>IF(Z137="Yes",COUNTIF($Z$6:Z137,"Yes"),"")</f>
        <v/>
      </c>
      <c r="AP137" s="249" t="str">
        <f>IF(AA137="Yes",COUNTIF($AA$6:AA137,"Yes"),"")</f>
        <v/>
      </c>
      <c r="AQ137" s="249" t="str">
        <f>IF(AC137="Yes",COUNTIF($AC$6:AC137,"Yes"),"")</f>
        <v/>
      </c>
    </row>
    <row r="138" spans="1:43">
      <c r="A138" s="249"/>
      <c r="B138" s="249"/>
      <c r="C138" s="249"/>
      <c r="D138" s="249"/>
      <c r="E138" s="249"/>
      <c r="F138" s="249"/>
      <c r="G138" s="249"/>
      <c r="H138" s="249"/>
      <c r="I138" s="249"/>
      <c r="J138" s="249"/>
      <c r="K138" s="249"/>
      <c r="L138" s="249"/>
      <c r="M138" s="249"/>
      <c r="N138" s="249"/>
      <c r="O138" s="249"/>
      <c r="P138" s="537"/>
      <c r="Q138" s="537"/>
      <c r="R138" s="537"/>
      <c r="S138" s="538" t="str">
        <f t="shared" ca="1" si="8"/>
        <v/>
      </c>
      <c r="T138" s="538" t="str">
        <f t="shared" ca="1" si="9"/>
        <v/>
      </c>
      <c r="U138" s="249"/>
      <c r="V138" s="249"/>
      <c r="W138" s="249"/>
      <c r="X138" s="249"/>
      <c r="Y138" s="249"/>
      <c r="Z138" s="249"/>
      <c r="AA138" s="249"/>
      <c r="AB138" s="249"/>
      <c r="AC138" s="249"/>
      <c r="AD138" s="249"/>
      <c r="AE138" s="249"/>
      <c r="AF138" s="249"/>
      <c r="AG138" s="249"/>
      <c r="AH138" s="249"/>
      <c r="AI138" s="249"/>
      <c r="AJ138" s="249"/>
      <c r="AK138" s="249"/>
      <c r="AL138" s="249"/>
      <c r="AM138" s="249"/>
      <c r="AN138" s="537"/>
      <c r="AO138" s="249" t="str">
        <f>IF(Z138="Yes",COUNTIF($Z$6:Z138,"Yes"),"")</f>
        <v/>
      </c>
      <c r="AP138" s="249" t="str">
        <f>IF(AA138="Yes",COUNTIF($AA$6:AA138,"Yes"),"")</f>
        <v/>
      </c>
      <c r="AQ138" s="249" t="str">
        <f>IF(AC138="Yes",COUNTIF($AC$6:AC138,"Yes"),"")</f>
        <v/>
      </c>
    </row>
    <row r="139" spans="1:43">
      <c r="A139" s="249"/>
      <c r="B139" s="249"/>
      <c r="C139" s="249"/>
      <c r="D139" s="249"/>
      <c r="E139" s="249"/>
      <c r="F139" s="249"/>
      <c r="G139" s="249"/>
      <c r="H139" s="249"/>
      <c r="I139" s="249"/>
      <c r="J139" s="249"/>
      <c r="K139" s="249"/>
      <c r="L139" s="249"/>
      <c r="M139" s="249"/>
      <c r="N139" s="249"/>
      <c r="O139" s="249"/>
      <c r="P139" s="537"/>
      <c r="Q139" s="537"/>
      <c r="R139" s="537"/>
      <c r="S139" s="538" t="str">
        <f t="shared" ca="1" si="8"/>
        <v/>
      </c>
      <c r="T139" s="538" t="str">
        <f t="shared" ca="1" si="9"/>
        <v/>
      </c>
      <c r="U139" s="249"/>
      <c r="V139" s="249"/>
      <c r="W139" s="249"/>
      <c r="X139" s="249"/>
      <c r="Y139" s="249"/>
      <c r="Z139" s="249"/>
      <c r="AA139" s="249"/>
      <c r="AB139" s="249"/>
      <c r="AC139" s="249"/>
      <c r="AD139" s="249"/>
      <c r="AE139" s="249"/>
      <c r="AF139" s="249"/>
      <c r="AG139" s="249"/>
      <c r="AH139" s="249"/>
      <c r="AI139" s="249"/>
      <c r="AJ139" s="249"/>
      <c r="AK139" s="249"/>
      <c r="AL139" s="249"/>
      <c r="AM139" s="249"/>
      <c r="AN139" s="537"/>
      <c r="AO139" s="249" t="str">
        <f>IF(Z139="Yes",COUNTIF($Z$6:Z139,"Yes"),"")</f>
        <v/>
      </c>
      <c r="AP139" s="249" t="str">
        <f>IF(AA139="Yes",COUNTIF($AA$6:AA139,"Yes"),"")</f>
        <v/>
      </c>
      <c r="AQ139" s="249" t="str">
        <f>IF(AC139="Yes",COUNTIF($AC$6:AC139,"Yes"),"")</f>
        <v/>
      </c>
    </row>
    <row r="140" spans="1:43">
      <c r="A140" s="249"/>
      <c r="B140" s="249"/>
      <c r="C140" s="249"/>
      <c r="D140" s="249"/>
      <c r="E140" s="249"/>
      <c r="F140" s="249"/>
      <c r="G140" s="249"/>
      <c r="H140" s="249"/>
      <c r="I140" s="249"/>
      <c r="J140" s="249"/>
      <c r="K140" s="249"/>
      <c r="L140" s="249"/>
      <c r="M140" s="249"/>
      <c r="N140" s="249"/>
      <c r="O140" s="249"/>
      <c r="P140" s="537"/>
      <c r="Q140" s="537"/>
      <c r="R140" s="537"/>
      <c r="S140" s="538" t="str">
        <f t="shared" ca="1" si="8"/>
        <v/>
      </c>
      <c r="T140" s="538" t="str">
        <f t="shared" ca="1" si="9"/>
        <v/>
      </c>
      <c r="U140" s="249"/>
      <c r="V140" s="249"/>
      <c r="W140" s="249"/>
      <c r="X140" s="249"/>
      <c r="Y140" s="249"/>
      <c r="Z140" s="249"/>
      <c r="AA140" s="249"/>
      <c r="AB140" s="249"/>
      <c r="AC140" s="249"/>
      <c r="AD140" s="249"/>
      <c r="AE140" s="249"/>
      <c r="AF140" s="249"/>
      <c r="AG140" s="249"/>
      <c r="AH140" s="249"/>
      <c r="AI140" s="249"/>
      <c r="AJ140" s="249"/>
      <c r="AK140" s="249"/>
      <c r="AL140" s="249"/>
      <c r="AM140" s="249"/>
      <c r="AN140" s="537"/>
      <c r="AO140" s="249" t="str">
        <f>IF(Z140="Yes",COUNTIF($Z$6:Z140,"Yes"),"")</f>
        <v/>
      </c>
      <c r="AP140" s="249" t="str">
        <f>IF(AA140="Yes",COUNTIF($AA$6:AA140,"Yes"),"")</f>
        <v/>
      </c>
      <c r="AQ140" s="249" t="str">
        <f>IF(AC140="Yes",COUNTIF($AC$6:AC140,"Yes"),"")</f>
        <v/>
      </c>
    </row>
    <row r="141" spans="1:43">
      <c r="A141" s="249"/>
      <c r="B141" s="249"/>
      <c r="C141" s="249"/>
      <c r="D141" s="249"/>
      <c r="E141" s="249"/>
      <c r="F141" s="249"/>
      <c r="G141" s="249"/>
      <c r="H141" s="249"/>
      <c r="I141" s="249"/>
      <c r="J141" s="249"/>
      <c r="K141" s="249"/>
      <c r="L141" s="249"/>
      <c r="M141" s="249"/>
      <c r="N141" s="249"/>
      <c r="O141" s="249"/>
      <c r="P141" s="537"/>
      <c r="Q141" s="537"/>
      <c r="R141" s="537"/>
      <c r="S141" s="538" t="str">
        <f t="shared" ca="1" si="8"/>
        <v/>
      </c>
      <c r="T141" s="538" t="str">
        <f t="shared" ca="1" si="9"/>
        <v/>
      </c>
      <c r="U141" s="249"/>
      <c r="V141" s="249"/>
      <c r="W141" s="249"/>
      <c r="X141" s="249"/>
      <c r="Y141" s="249"/>
      <c r="Z141" s="249"/>
      <c r="AA141" s="249"/>
      <c r="AB141" s="249"/>
      <c r="AC141" s="249"/>
      <c r="AD141" s="249"/>
      <c r="AE141" s="249"/>
      <c r="AF141" s="249"/>
      <c r="AG141" s="249"/>
      <c r="AH141" s="249"/>
      <c r="AI141" s="249"/>
      <c r="AJ141" s="249"/>
      <c r="AK141" s="249"/>
      <c r="AL141" s="249"/>
      <c r="AM141" s="249"/>
      <c r="AN141" s="537"/>
      <c r="AO141" s="249" t="str">
        <f>IF(Z141="Yes",COUNTIF($Z$6:Z141,"Yes"),"")</f>
        <v/>
      </c>
      <c r="AP141" s="249" t="str">
        <f>IF(AA141="Yes",COUNTIF($AA$6:AA141,"Yes"),"")</f>
        <v/>
      </c>
      <c r="AQ141" s="249" t="str">
        <f>IF(AC141="Yes",COUNTIF($AC$6:AC141,"Yes"),"")</f>
        <v/>
      </c>
    </row>
    <row r="142" spans="1:43">
      <c r="A142" s="249"/>
      <c r="B142" s="249"/>
      <c r="C142" s="249"/>
      <c r="D142" s="249"/>
      <c r="E142" s="249"/>
      <c r="F142" s="249"/>
      <c r="G142" s="249"/>
      <c r="H142" s="249"/>
      <c r="I142" s="249"/>
      <c r="J142" s="249"/>
      <c r="K142" s="249"/>
      <c r="L142" s="249"/>
      <c r="M142" s="249"/>
      <c r="N142" s="249"/>
      <c r="O142" s="249"/>
      <c r="P142" s="537"/>
      <c r="Q142" s="537"/>
      <c r="R142" s="537"/>
      <c r="S142" s="538" t="str">
        <f t="shared" ca="1" si="8"/>
        <v/>
      </c>
      <c r="T142" s="538" t="str">
        <f t="shared" ca="1" si="9"/>
        <v/>
      </c>
      <c r="U142" s="249"/>
      <c r="V142" s="249"/>
      <c r="W142" s="249"/>
      <c r="X142" s="249"/>
      <c r="Y142" s="249"/>
      <c r="Z142" s="249"/>
      <c r="AA142" s="249"/>
      <c r="AB142" s="249"/>
      <c r="AC142" s="249"/>
      <c r="AD142" s="249"/>
      <c r="AE142" s="249"/>
      <c r="AF142" s="249"/>
      <c r="AG142" s="249"/>
      <c r="AH142" s="249"/>
      <c r="AI142" s="249"/>
      <c r="AJ142" s="249"/>
      <c r="AK142" s="249"/>
      <c r="AL142" s="249"/>
      <c r="AM142" s="249"/>
      <c r="AN142" s="537"/>
      <c r="AO142" s="249" t="str">
        <f>IF(Z142="Yes",COUNTIF($Z$6:Z142,"Yes"),"")</f>
        <v/>
      </c>
      <c r="AP142" s="249" t="str">
        <f>IF(AA142="Yes",COUNTIF($AA$6:AA142,"Yes"),"")</f>
        <v/>
      </c>
      <c r="AQ142" s="249" t="str">
        <f>IF(AC142="Yes",COUNTIF($AC$6:AC142,"Yes"),"")</f>
        <v/>
      </c>
    </row>
    <row r="143" spans="1:43">
      <c r="A143" s="249"/>
      <c r="B143" s="249"/>
      <c r="C143" s="249"/>
      <c r="D143" s="249"/>
      <c r="E143" s="249"/>
      <c r="F143" s="249"/>
      <c r="G143" s="249"/>
      <c r="H143" s="249"/>
      <c r="I143" s="249"/>
      <c r="J143" s="249"/>
      <c r="K143" s="249"/>
      <c r="L143" s="249"/>
      <c r="M143" s="249"/>
      <c r="N143" s="249"/>
      <c r="O143" s="249"/>
      <c r="P143" s="537"/>
      <c r="Q143" s="537"/>
      <c r="R143" s="537"/>
      <c r="S143" s="538" t="str">
        <f t="shared" ca="1" si="8"/>
        <v/>
      </c>
      <c r="T143" s="538" t="str">
        <f t="shared" ca="1" si="9"/>
        <v/>
      </c>
      <c r="U143" s="249"/>
      <c r="V143" s="249"/>
      <c r="W143" s="249"/>
      <c r="X143" s="249"/>
      <c r="Y143" s="249"/>
      <c r="Z143" s="249"/>
      <c r="AA143" s="249"/>
      <c r="AB143" s="249"/>
      <c r="AC143" s="249"/>
      <c r="AD143" s="249"/>
      <c r="AE143" s="249"/>
      <c r="AF143" s="249"/>
      <c r="AG143" s="249"/>
      <c r="AH143" s="249"/>
      <c r="AI143" s="249"/>
      <c r="AJ143" s="249"/>
      <c r="AK143" s="249"/>
      <c r="AL143" s="249"/>
      <c r="AM143" s="249"/>
      <c r="AN143" s="537"/>
      <c r="AO143" s="249" t="str">
        <f>IF(Z143="Yes",COUNTIF($Z$6:Z143,"Yes"),"")</f>
        <v/>
      </c>
      <c r="AP143" s="249" t="str">
        <f>IF(AA143="Yes",COUNTIF($AA$6:AA143,"Yes"),"")</f>
        <v/>
      </c>
      <c r="AQ143" s="249" t="str">
        <f>IF(AC143="Yes",COUNTIF($AC$6:AC143,"Yes"),"")</f>
        <v/>
      </c>
    </row>
    <row r="144" spans="1:43">
      <c r="A144" s="249"/>
      <c r="B144" s="249"/>
      <c r="C144" s="249"/>
      <c r="D144" s="249"/>
      <c r="E144" s="249"/>
      <c r="F144" s="249"/>
      <c r="G144" s="249"/>
      <c r="H144" s="249"/>
      <c r="I144" s="249"/>
      <c r="J144" s="249"/>
      <c r="K144" s="249"/>
      <c r="L144" s="249"/>
      <c r="M144" s="249"/>
      <c r="N144" s="249"/>
      <c r="O144" s="249"/>
      <c r="P144" s="537"/>
      <c r="Q144" s="537"/>
      <c r="R144" s="537"/>
      <c r="S144" s="538" t="str">
        <f t="shared" ca="1" si="8"/>
        <v/>
      </c>
      <c r="T144" s="538" t="str">
        <f t="shared" ca="1" si="9"/>
        <v/>
      </c>
      <c r="U144" s="249"/>
      <c r="V144" s="249"/>
      <c r="W144" s="249"/>
      <c r="X144" s="249"/>
      <c r="Y144" s="249"/>
      <c r="Z144" s="249"/>
      <c r="AA144" s="249"/>
      <c r="AB144" s="249"/>
      <c r="AC144" s="249"/>
      <c r="AD144" s="249"/>
      <c r="AE144" s="249"/>
      <c r="AF144" s="249"/>
      <c r="AG144" s="249"/>
      <c r="AH144" s="249"/>
      <c r="AI144" s="249"/>
      <c r="AJ144" s="249"/>
      <c r="AK144" s="249"/>
      <c r="AL144" s="249"/>
      <c r="AM144" s="249"/>
      <c r="AN144" s="537"/>
      <c r="AO144" s="249" t="str">
        <f>IF(Z144="Yes",COUNTIF($Z$6:Z144,"Yes"),"")</f>
        <v/>
      </c>
      <c r="AP144" s="249" t="str">
        <f>IF(AA144="Yes",COUNTIF($AA$6:AA144,"Yes"),"")</f>
        <v/>
      </c>
      <c r="AQ144" s="249" t="str">
        <f>IF(AC144="Yes",COUNTIF($AC$6:AC144,"Yes"),"")</f>
        <v/>
      </c>
    </row>
    <row r="145" spans="1:43">
      <c r="A145" s="249"/>
      <c r="B145" s="249"/>
      <c r="C145" s="249"/>
      <c r="D145" s="249"/>
      <c r="E145" s="249"/>
      <c r="F145" s="249"/>
      <c r="G145" s="249"/>
      <c r="H145" s="249"/>
      <c r="I145" s="249"/>
      <c r="J145" s="249"/>
      <c r="K145" s="249"/>
      <c r="L145" s="249"/>
      <c r="M145" s="249"/>
      <c r="N145" s="249"/>
      <c r="O145" s="249"/>
      <c r="P145" s="537"/>
      <c r="Q145" s="537"/>
      <c r="R145" s="537"/>
      <c r="S145" s="538" t="str">
        <f t="shared" ca="1" si="8"/>
        <v/>
      </c>
      <c r="T145" s="538" t="str">
        <f t="shared" ca="1" si="9"/>
        <v/>
      </c>
      <c r="U145" s="249"/>
      <c r="V145" s="249"/>
      <c r="W145" s="249"/>
      <c r="X145" s="249"/>
      <c r="Y145" s="249"/>
      <c r="Z145" s="249"/>
      <c r="AA145" s="249"/>
      <c r="AB145" s="249"/>
      <c r="AC145" s="249"/>
      <c r="AD145" s="249"/>
      <c r="AE145" s="249"/>
      <c r="AF145" s="249"/>
      <c r="AG145" s="249"/>
      <c r="AH145" s="249"/>
      <c r="AI145" s="249"/>
      <c r="AJ145" s="249"/>
      <c r="AK145" s="249"/>
      <c r="AL145" s="249"/>
      <c r="AM145" s="249"/>
      <c r="AN145" s="537"/>
      <c r="AO145" s="249" t="str">
        <f>IF(Z145="Yes",COUNTIF($Z$6:Z145,"Yes"),"")</f>
        <v/>
      </c>
      <c r="AP145" s="249" t="str">
        <f>IF(AA145="Yes",COUNTIF($AA$6:AA145,"Yes"),"")</f>
        <v/>
      </c>
      <c r="AQ145" s="249" t="str">
        <f>IF(AC145="Yes",COUNTIF($AC$6:AC145,"Yes"),"")</f>
        <v/>
      </c>
    </row>
    <row r="146" spans="1:43">
      <c r="A146" s="249"/>
      <c r="B146" s="249"/>
      <c r="C146" s="249"/>
      <c r="D146" s="249"/>
      <c r="E146" s="249"/>
      <c r="F146" s="249"/>
      <c r="G146" s="249"/>
      <c r="H146" s="249"/>
      <c r="I146" s="249"/>
      <c r="J146" s="249"/>
      <c r="K146" s="249"/>
      <c r="L146" s="249"/>
      <c r="M146" s="249"/>
      <c r="N146" s="249"/>
      <c r="O146" s="249"/>
      <c r="P146" s="537"/>
      <c r="Q146" s="537"/>
      <c r="R146" s="537"/>
      <c r="S146" s="538" t="str">
        <f t="shared" ca="1" si="8"/>
        <v/>
      </c>
      <c r="T146" s="538" t="str">
        <f t="shared" ca="1" si="9"/>
        <v/>
      </c>
      <c r="U146" s="249"/>
      <c r="V146" s="249"/>
      <c r="W146" s="249"/>
      <c r="X146" s="249"/>
      <c r="Y146" s="249"/>
      <c r="Z146" s="249"/>
      <c r="AA146" s="249"/>
      <c r="AB146" s="249"/>
      <c r="AC146" s="249"/>
      <c r="AD146" s="249"/>
      <c r="AE146" s="249"/>
      <c r="AF146" s="249"/>
      <c r="AG146" s="249"/>
      <c r="AH146" s="249"/>
      <c r="AI146" s="249"/>
      <c r="AJ146" s="249"/>
      <c r="AK146" s="249"/>
      <c r="AL146" s="249"/>
      <c r="AM146" s="249"/>
      <c r="AN146" s="537"/>
      <c r="AO146" s="249" t="str">
        <f>IF(Z146="Yes",COUNTIF($Z$6:Z146,"Yes"),"")</f>
        <v/>
      </c>
      <c r="AP146" s="249" t="str">
        <f>IF(AA146="Yes",COUNTIF($AA$6:AA146,"Yes"),"")</f>
        <v/>
      </c>
      <c r="AQ146" s="249" t="str">
        <f>IF(AC146="Yes",COUNTIF($AC$6:AC146,"Yes"),"")</f>
        <v/>
      </c>
    </row>
    <row r="147" spans="1:43">
      <c r="A147" s="249"/>
      <c r="B147" s="249"/>
      <c r="C147" s="249"/>
      <c r="D147" s="249"/>
      <c r="E147" s="249"/>
      <c r="F147" s="249"/>
      <c r="G147" s="249"/>
      <c r="H147" s="249"/>
      <c r="I147" s="249"/>
      <c r="J147" s="249"/>
      <c r="K147" s="249"/>
      <c r="L147" s="249"/>
      <c r="M147" s="249"/>
      <c r="N147" s="249"/>
      <c r="O147" s="249"/>
      <c r="P147" s="537"/>
      <c r="Q147" s="537"/>
      <c r="R147" s="537"/>
      <c r="S147" s="538" t="str">
        <f t="shared" ca="1" si="8"/>
        <v/>
      </c>
      <c r="T147" s="538" t="str">
        <f t="shared" ca="1" si="9"/>
        <v/>
      </c>
      <c r="U147" s="249"/>
      <c r="V147" s="249"/>
      <c r="W147" s="249"/>
      <c r="X147" s="249"/>
      <c r="Y147" s="249"/>
      <c r="Z147" s="249"/>
      <c r="AA147" s="249"/>
      <c r="AB147" s="249"/>
      <c r="AC147" s="249"/>
      <c r="AD147" s="249"/>
      <c r="AE147" s="249"/>
      <c r="AF147" s="249"/>
      <c r="AG147" s="249"/>
      <c r="AH147" s="249"/>
      <c r="AI147" s="249"/>
      <c r="AJ147" s="249"/>
      <c r="AK147" s="249"/>
      <c r="AL147" s="249"/>
      <c r="AM147" s="249"/>
      <c r="AN147" s="537"/>
      <c r="AO147" s="249" t="str">
        <f>IF(Z147="Yes",COUNTIF($Z$6:Z147,"Yes"),"")</f>
        <v/>
      </c>
      <c r="AP147" s="249" t="str">
        <f>IF(AA147="Yes",COUNTIF($AA$6:AA147,"Yes"),"")</f>
        <v/>
      </c>
      <c r="AQ147" s="249" t="str">
        <f>IF(AC147="Yes",COUNTIF($AC$6:AC147,"Yes"),"")</f>
        <v/>
      </c>
    </row>
    <row r="148" spans="1:43">
      <c r="A148" s="249"/>
      <c r="B148" s="249"/>
      <c r="C148" s="249"/>
      <c r="D148" s="249"/>
      <c r="E148" s="249"/>
      <c r="F148" s="249"/>
      <c r="G148" s="249"/>
      <c r="H148" s="249"/>
      <c r="I148" s="249"/>
      <c r="J148" s="249"/>
      <c r="K148" s="249"/>
      <c r="L148" s="249"/>
      <c r="M148" s="249"/>
      <c r="N148" s="249"/>
      <c r="O148" s="249"/>
      <c r="P148" s="537"/>
      <c r="Q148" s="537"/>
      <c r="R148" s="537"/>
      <c r="S148" s="538" t="str">
        <f t="shared" ca="1" si="8"/>
        <v/>
      </c>
      <c r="T148" s="538" t="str">
        <f t="shared" ca="1" si="9"/>
        <v/>
      </c>
      <c r="U148" s="249"/>
      <c r="V148" s="249"/>
      <c r="W148" s="249"/>
      <c r="X148" s="249"/>
      <c r="Y148" s="249"/>
      <c r="Z148" s="249"/>
      <c r="AA148" s="249"/>
      <c r="AB148" s="249"/>
      <c r="AC148" s="249"/>
      <c r="AD148" s="249"/>
      <c r="AE148" s="249"/>
      <c r="AF148" s="249"/>
      <c r="AG148" s="249"/>
      <c r="AH148" s="249"/>
      <c r="AI148" s="249"/>
      <c r="AJ148" s="249"/>
      <c r="AK148" s="249"/>
      <c r="AL148" s="249"/>
      <c r="AM148" s="249"/>
      <c r="AN148" s="537"/>
      <c r="AO148" s="249" t="str">
        <f>IF(Z148="Yes",COUNTIF($Z$6:Z148,"Yes"),"")</f>
        <v/>
      </c>
      <c r="AP148" s="249" t="str">
        <f>IF(AA148="Yes",COUNTIF($AA$6:AA148,"Yes"),"")</f>
        <v/>
      </c>
      <c r="AQ148" s="249" t="str">
        <f>IF(AC148="Yes",COUNTIF($AC$6:AC148,"Yes"),"")</f>
        <v/>
      </c>
    </row>
    <row r="149" spans="1:43">
      <c r="A149" s="249"/>
      <c r="B149" s="249"/>
      <c r="C149" s="249"/>
      <c r="D149" s="249"/>
      <c r="E149" s="249"/>
      <c r="F149" s="249"/>
      <c r="G149" s="249"/>
      <c r="H149" s="249"/>
      <c r="I149" s="249"/>
      <c r="J149" s="249"/>
      <c r="K149" s="249"/>
      <c r="L149" s="249"/>
      <c r="M149" s="249"/>
      <c r="N149" s="249"/>
      <c r="O149" s="249"/>
      <c r="P149" s="537"/>
      <c r="Q149" s="537"/>
      <c r="R149" s="537"/>
      <c r="S149" s="538" t="str">
        <f t="shared" ca="1" si="8"/>
        <v/>
      </c>
      <c r="T149" s="538" t="str">
        <f t="shared" ca="1" si="9"/>
        <v/>
      </c>
      <c r="U149" s="249"/>
      <c r="V149" s="249"/>
      <c r="W149" s="249"/>
      <c r="X149" s="249"/>
      <c r="Y149" s="249"/>
      <c r="Z149" s="249"/>
      <c r="AA149" s="249"/>
      <c r="AB149" s="249"/>
      <c r="AC149" s="249"/>
      <c r="AD149" s="249"/>
      <c r="AE149" s="249"/>
      <c r="AF149" s="249"/>
      <c r="AG149" s="249"/>
      <c r="AH149" s="249"/>
      <c r="AI149" s="249"/>
      <c r="AJ149" s="249"/>
      <c r="AK149" s="249"/>
      <c r="AL149" s="249"/>
      <c r="AM149" s="249"/>
      <c r="AN149" s="537"/>
      <c r="AO149" s="249" t="str">
        <f>IF(Z149="Yes",COUNTIF($Z$6:Z149,"Yes"),"")</f>
        <v/>
      </c>
      <c r="AP149" s="249" t="str">
        <f>IF(AA149="Yes",COUNTIF($AA$6:AA149,"Yes"),"")</f>
        <v/>
      </c>
      <c r="AQ149" s="249" t="str">
        <f>IF(AC149="Yes",COUNTIF($AC$6:AC149,"Yes"),"")</f>
        <v/>
      </c>
    </row>
    <row r="150" spans="1:43">
      <c r="A150" s="249"/>
      <c r="B150" s="249"/>
      <c r="C150" s="249"/>
      <c r="D150" s="249"/>
      <c r="E150" s="249"/>
      <c r="F150" s="249"/>
      <c r="G150" s="249"/>
      <c r="H150" s="249"/>
      <c r="I150" s="249"/>
      <c r="J150" s="249"/>
      <c r="K150" s="249"/>
      <c r="L150" s="249"/>
      <c r="M150" s="249"/>
      <c r="N150" s="249"/>
      <c r="O150" s="249"/>
      <c r="P150" s="537"/>
      <c r="Q150" s="537"/>
      <c r="R150" s="537"/>
      <c r="S150" s="538" t="str">
        <f t="shared" ca="1" si="8"/>
        <v/>
      </c>
      <c r="T150" s="538" t="str">
        <f t="shared" ca="1" si="9"/>
        <v/>
      </c>
      <c r="U150" s="249"/>
      <c r="V150" s="249"/>
      <c r="W150" s="249"/>
      <c r="X150" s="249"/>
      <c r="Y150" s="249"/>
      <c r="Z150" s="249"/>
      <c r="AA150" s="249"/>
      <c r="AB150" s="249"/>
      <c r="AC150" s="249"/>
      <c r="AD150" s="249"/>
      <c r="AE150" s="249"/>
      <c r="AF150" s="249"/>
      <c r="AG150" s="249"/>
      <c r="AH150" s="249"/>
      <c r="AI150" s="249"/>
      <c r="AJ150" s="249"/>
      <c r="AK150" s="249"/>
      <c r="AL150" s="249"/>
      <c r="AM150" s="249"/>
      <c r="AN150" s="537"/>
      <c r="AO150" s="249" t="str">
        <f>IF(Z150="Yes",COUNTIF($Z$6:Z150,"Yes"),"")</f>
        <v/>
      </c>
      <c r="AP150" s="249" t="str">
        <f>IF(AA150="Yes",COUNTIF($AA$6:AA150,"Yes"),"")</f>
        <v/>
      </c>
      <c r="AQ150" s="249" t="str">
        <f>IF(AC150="Yes",COUNTIF($AC$6:AC150,"Yes"),"")</f>
        <v/>
      </c>
    </row>
    <row r="151" spans="1:43">
      <c r="A151" s="249"/>
      <c r="B151" s="249"/>
      <c r="C151" s="249"/>
      <c r="D151" s="249"/>
      <c r="E151" s="249"/>
      <c r="F151" s="249"/>
      <c r="G151" s="249"/>
      <c r="H151" s="249"/>
      <c r="I151" s="249"/>
      <c r="J151" s="249"/>
      <c r="K151" s="249"/>
      <c r="L151" s="249"/>
      <c r="M151" s="249"/>
      <c r="N151" s="249"/>
      <c r="O151" s="249"/>
      <c r="P151" s="537"/>
      <c r="Q151" s="537"/>
      <c r="R151" s="537"/>
      <c r="S151" s="538" t="str">
        <f t="shared" ca="1" si="8"/>
        <v/>
      </c>
      <c r="T151" s="538" t="str">
        <f t="shared" ca="1" si="9"/>
        <v/>
      </c>
      <c r="U151" s="249"/>
      <c r="V151" s="249"/>
      <c r="W151" s="249"/>
      <c r="X151" s="249"/>
      <c r="Y151" s="249"/>
      <c r="Z151" s="249"/>
      <c r="AA151" s="249"/>
      <c r="AB151" s="249"/>
      <c r="AC151" s="249"/>
      <c r="AD151" s="249"/>
      <c r="AE151" s="249"/>
      <c r="AF151" s="249"/>
      <c r="AG151" s="249"/>
      <c r="AH151" s="249"/>
      <c r="AI151" s="249"/>
      <c r="AJ151" s="249"/>
      <c r="AK151" s="249"/>
      <c r="AL151" s="249"/>
      <c r="AM151" s="249"/>
      <c r="AN151" s="537"/>
      <c r="AO151" s="249" t="str">
        <f>IF(Z151="Yes",COUNTIF($Z$6:Z151,"Yes"),"")</f>
        <v/>
      </c>
      <c r="AP151" s="249" t="str">
        <f>IF(AA151="Yes",COUNTIF($AA$6:AA151,"Yes"),"")</f>
        <v/>
      </c>
      <c r="AQ151" s="249" t="str">
        <f>IF(AC151="Yes",COUNTIF($AC$6:AC151,"Yes"),"")</f>
        <v/>
      </c>
    </row>
    <row r="152" spans="1:43">
      <c r="A152" s="249"/>
      <c r="B152" s="249"/>
      <c r="C152" s="249"/>
      <c r="D152" s="249"/>
      <c r="E152" s="249"/>
      <c r="F152" s="249"/>
      <c r="G152" s="249"/>
      <c r="H152" s="249"/>
      <c r="I152" s="249"/>
      <c r="J152" s="249"/>
      <c r="K152" s="249"/>
      <c r="L152" s="249"/>
      <c r="M152" s="249"/>
      <c r="N152" s="249"/>
      <c r="O152" s="249"/>
      <c r="P152" s="537"/>
      <c r="Q152" s="537"/>
      <c r="R152" s="537"/>
      <c r="S152" s="538" t="str">
        <f t="shared" ca="1" si="8"/>
        <v/>
      </c>
      <c r="T152" s="538" t="str">
        <f t="shared" ca="1" si="9"/>
        <v/>
      </c>
      <c r="U152" s="249"/>
      <c r="V152" s="249"/>
      <c r="W152" s="249"/>
      <c r="X152" s="249"/>
      <c r="Y152" s="249"/>
      <c r="Z152" s="249"/>
      <c r="AA152" s="249"/>
      <c r="AB152" s="249"/>
      <c r="AC152" s="249"/>
      <c r="AD152" s="249"/>
      <c r="AE152" s="249"/>
      <c r="AF152" s="249"/>
      <c r="AG152" s="249"/>
      <c r="AH152" s="249"/>
      <c r="AI152" s="249"/>
      <c r="AJ152" s="249"/>
      <c r="AK152" s="249"/>
      <c r="AL152" s="249"/>
      <c r="AM152" s="249"/>
      <c r="AN152" s="537"/>
      <c r="AO152" s="249" t="str">
        <f>IF(Z152="Yes",COUNTIF($Z$6:Z152,"Yes"),"")</f>
        <v/>
      </c>
      <c r="AP152" s="249" t="str">
        <f>IF(AA152="Yes",COUNTIF($AA$6:AA152,"Yes"),"")</f>
        <v/>
      </c>
      <c r="AQ152" s="249" t="str">
        <f>IF(AC152="Yes",COUNTIF($AC$6:AC152,"Yes"),"")</f>
        <v/>
      </c>
    </row>
    <row r="153" spans="1:43">
      <c r="A153" s="249"/>
      <c r="B153" s="249"/>
      <c r="C153" s="249"/>
      <c r="D153" s="249"/>
      <c r="E153" s="249"/>
      <c r="F153" s="249"/>
      <c r="G153" s="249"/>
      <c r="H153" s="249"/>
      <c r="I153" s="249"/>
      <c r="J153" s="249"/>
      <c r="K153" s="249"/>
      <c r="L153" s="249"/>
      <c r="M153" s="249"/>
      <c r="N153" s="249"/>
      <c r="O153" s="249"/>
      <c r="P153" s="537"/>
      <c r="Q153" s="537"/>
      <c r="R153" s="537"/>
      <c r="S153" s="538" t="str">
        <f t="shared" ca="1" si="8"/>
        <v/>
      </c>
      <c r="T153" s="538" t="str">
        <f t="shared" ca="1" si="9"/>
        <v/>
      </c>
      <c r="U153" s="249"/>
      <c r="V153" s="249"/>
      <c r="W153" s="249"/>
      <c r="X153" s="249"/>
      <c r="Y153" s="249"/>
      <c r="Z153" s="249"/>
      <c r="AA153" s="249"/>
      <c r="AB153" s="249"/>
      <c r="AC153" s="249"/>
      <c r="AD153" s="249"/>
      <c r="AE153" s="249"/>
      <c r="AF153" s="249"/>
      <c r="AG153" s="249"/>
      <c r="AH153" s="249"/>
      <c r="AI153" s="249"/>
      <c r="AJ153" s="249"/>
      <c r="AK153" s="249"/>
      <c r="AL153" s="249"/>
      <c r="AM153" s="249"/>
      <c r="AN153" s="537"/>
      <c r="AO153" s="249" t="str">
        <f>IF(Z153="Yes",COUNTIF($Z$6:Z153,"Yes"),"")</f>
        <v/>
      </c>
      <c r="AP153" s="249" t="str">
        <f>IF(AA153="Yes",COUNTIF($AA$6:AA153,"Yes"),"")</f>
        <v/>
      </c>
      <c r="AQ153" s="249" t="str">
        <f>IF(AC153="Yes",COUNTIF($AC$6:AC153,"Yes"),"")</f>
        <v/>
      </c>
    </row>
    <row r="154" spans="1:43">
      <c r="A154" s="249"/>
      <c r="B154" s="249"/>
      <c r="C154" s="249"/>
      <c r="D154" s="249"/>
      <c r="E154" s="249"/>
      <c r="F154" s="249"/>
      <c r="G154" s="249"/>
      <c r="H154" s="249"/>
      <c r="I154" s="249"/>
      <c r="J154" s="249"/>
      <c r="K154" s="249"/>
      <c r="L154" s="249"/>
      <c r="M154" s="249"/>
      <c r="N154" s="249"/>
      <c r="O154" s="249"/>
      <c r="P154" s="537"/>
      <c r="Q154" s="537"/>
      <c r="R154" s="537"/>
      <c r="S154" s="538" t="str">
        <f t="shared" ca="1" si="8"/>
        <v/>
      </c>
      <c r="T154" s="538" t="str">
        <f t="shared" ca="1" si="9"/>
        <v/>
      </c>
      <c r="U154" s="249"/>
      <c r="V154" s="249"/>
      <c r="W154" s="249"/>
      <c r="X154" s="249"/>
      <c r="Y154" s="249"/>
      <c r="Z154" s="249"/>
      <c r="AA154" s="249"/>
      <c r="AB154" s="249"/>
      <c r="AC154" s="249"/>
      <c r="AD154" s="249"/>
      <c r="AE154" s="249"/>
      <c r="AF154" s="249"/>
      <c r="AG154" s="249"/>
      <c r="AH154" s="249"/>
      <c r="AI154" s="249"/>
      <c r="AJ154" s="249"/>
      <c r="AK154" s="249"/>
      <c r="AL154" s="249"/>
      <c r="AM154" s="249"/>
      <c r="AN154" s="537"/>
      <c r="AO154" s="249" t="str">
        <f>IF(Z154="Yes",COUNTIF($Z$6:Z154,"Yes"),"")</f>
        <v/>
      </c>
      <c r="AP154" s="249" t="str">
        <f>IF(AA154="Yes",COUNTIF($AA$6:AA154,"Yes"),"")</f>
        <v/>
      </c>
      <c r="AQ154" s="249" t="str">
        <f>IF(AC154="Yes",COUNTIF($AC$6:AC154,"Yes"),"")</f>
        <v/>
      </c>
    </row>
    <row r="155" spans="1:43">
      <c r="A155" s="249"/>
      <c r="B155" s="249"/>
      <c r="C155" s="249"/>
      <c r="D155" s="249"/>
      <c r="E155" s="249"/>
      <c r="F155" s="249"/>
      <c r="G155" s="249"/>
      <c r="H155" s="249"/>
      <c r="I155" s="249"/>
      <c r="J155" s="249"/>
      <c r="K155" s="249"/>
      <c r="L155" s="249"/>
      <c r="M155" s="249"/>
      <c r="N155" s="249"/>
      <c r="O155" s="249"/>
      <c r="P155" s="537"/>
      <c r="Q155" s="537"/>
      <c r="R155" s="537"/>
      <c r="S155" s="538" t="str">
        <f t="shared" ca="1" si="8"/>
        <v/>
      </c>
      <c r="T155" s="538" t="str">
        <f t="shared" ca="1" si="9"/>
        <v/>
      </c>
      <c r="U155" s="249"/>
      <c r="V155" s="249"/>
      <c r="W155" s="249"/>
      <c r="X155" s="249"/>
      <c r="Y155" s="249"/>
      <c r="Z155" s="249"/>
      <c r="AA155" s="249"/>
      <c r="AB155" s="249"/>
      <c r="AC155" s="249"/>
      <c r="AD155" s="249"/>
      <c r="AE155" s="249"/>
      <c r="AF155" s="249"/>
      <c r="AG155" s="249"/>
      <c r="AH155" s="249"/>
      <c r="AI155" s="249"/>
      <c r="AJ155" s="249"/>
      <c r="AK155" s="249"/>
      <c r="AL155" s="249"/>
      <c r="AM155" s="249"/>
      <c r="AN155" s="537"/>
      <c r="AO155" s="249" t="str">
        <f>IF(Z155="Yes",COUNTIF($Z$6:Z155,"Yes"),"")</f>
        <v/>
      </c>
      <c r="AP155" s="249" t="str">
        <f>IF(AA155="Yes",COUNTIF($AA$6:AA155,"Yes"),"")</f>
        <v/>
      </c>
      <c r="AQ155" s="249" t="str">
        <f>IF(AC155="Yes",COUNTIF($AC$6:AC155,"Yes"),"")</f>
        <v/>
      </c>
    </row>
    <row r="156" spans="1:43">
      <c r="A156" s="249"/>
      <c r="B156" s="249"/>
      <c r="C156" s="249"/>
      <c r="D156" s="249"/>
      <c r="E156" s="249"/>
      <c r="F156" s="249"/>
      <c r="G156" s="249"/>
      <c r="H156" s="249"/>
      <c r="I156" s="249"/>
      <c r="J156" s="249"/>
      <c r="K156" s="249"/>
      <c r="L156" s="249"/>
      <c r="M156" s="249"/>
      <c r="N156" s="249"/>
      <c r="O156" s="249"/>
      <c r="P156" s="537"/>
      <c r="Q156" s="537"/>
      <c r="R156" s="537"/>
      <c r="S156" s="538" t="str">
        <f t="shared" ca="1" si="8"/>
        <v/>
      </c>
      <c r="T156" s="538" t="str">
        <f t="shared" ca="1" si="9"/>
        <v/>
      </c>
      <c r="U156" s="249"/>
      <c r="V156" s="249"/>
      <c r="W156" s="249"/>
      <c r="X156" s="249"/>
      <c r="Y156" s="249"/>
      <c r="Z156" s="249"/>
      <c r="AA156" s="249"/>
      <c r="AB156" s="249"/>
      <c r="AC156" s="249"/>
      <c r="AD156" s="249"/>
      <c r="AE156" s="249"/>
      <c r="AF156" s="249"/>
      <c r="AG156" s="249"/>
      <c r="AH156" s="249"/>
      <c r="AI156" s="249"/>
      <c r="AJ156" s="249"/>
      <c r="AK156" s="249"/>
      <c r="AL156" s="249"/>
      <c r="AM156" s="249"/>
      <c r="AN156" s="537"/>
      <c r="AO156" s="249" t="str">
        <f>IF(Z156="Yes",COUNTIF($Z$6:Z156,"Yes"),"")</f>
        <v/>
      </c>
      <c r="AP156" s="249" t="str">
        <f>IF(AA156="Yes",COUNTIF($AA$6:AA156,"Yes"),"")</f>
        <v/>
      </c>
      <c r="AQ156" s="249" t="str">
        <f>IF(AC156="Yes",COUNTIF($AC$6:AC156,"Yes"),"")</f>
        <v/>
      </c>
    </row>
    <row r="157" spans="1:43">
      <c r="A157" s="249"/>
      <c r="B157" s="249"/>
      <c r="C157" s="249"/>
      <c r="D157" s="249"/>
      <c r="E157" s="249"/>
      <c r="F157" s="249"/>
      <c r="G157" s="249"/>
      <c r="H157" s="249"/>
      <c r="I157" s="249"/>
      <c r="J157" s="249"/>
      <c r="K157" s="249"/>
      <c r="L157" s="249"/>
      <c r="M157" s="249"/>
      <c r="N157" s="249"/>
      <c r="O157" s="249"/>
      <c r="P157" s="537"/>
      <c r="Q157" s="537"/>
      <c r="R157" s="537"/>
      <c r="S157" s="538" t="str">
        <f t="shared" ca="1" si="8"/>
        <v/>
      </c>
      <c r="T157" s="538" t="str">
        <f t="shared" ca="1" si="9"/>
        <v/>
      </c>
      <c r="U157" s="249"/>
      <c r="V157" s="249"/>
      <c r="W157" s="249"/>
      <c r="X157" s="249"/>
      <c r="Y157" s="249"/>
      <c r="Z157" s="249"/>
      <c r="AA157" s="249"/>
      <c r="AB157" s="249"/>
      <c r="AC157" s="249"/>
      <c r="AD157" s="249"/>
      <c r="AE157" s="249"/>
      <c r="AF157" s="249"/>
      <c r="AG157" s="249"/>
      <c r="AH157" s="249"/>
      <c r="AI157" s="249"/>
      <c r="AJ157" s="249"/>
      <c r="AK157" s="249"/>
      <c r="AL157" s="249"/>
      <c r="AM157" s="249"/>
      <c r="AN157" s="537"/>
      <c r="AO157" s="249" t="str">
        <f>IF(Z157="Yes",COUNTIF($Z$6:Z157,"Yes"),"")</f>
        <v/>
      </c>
      <c r="AP157" s="249" t="str">
        <f>IF(AA157="Yes",COUNTIF($AA$6:AA157,"Yes"),"")</f>
        <v/>
      </c>
      <c r="AQ157" s="249" t="str">
        <f>IF(AC157="Yes",COUNTIF($AC$6:AC157,"Yes"),"")</f>
        <v/>
      </c>
    </row>
    <row r="158" spans="1:43">
      <c r="A158" s="249"/>
      <c r="B158" s="249"/>
      <c r="C158" s="249"/>
      <c r="D158" s="249"/>
      <c r="E158" s="249"/>
      <c r="F158" s="249"/>
      <c r="G158" s="249"/>
      <c r="H158" s="249"/>
      <c r="I158" s="249"/>
      <c r="J158" s="249"/>
      <c r="K158" s="249"/>
      <c r="L158" s="249"/>
      <c r="M158" s="249"/>
      <c r="N158" s="249"/>
      <c r="O158" s="249"/>
      <c r="P158" s="537"/>
      <c r="Q158" s="537"/>
      <c r="R158" s="537"/>
      <c r="S158" s="538" t="str">
        <f t="shared" ca="1" si="8"/>
        <v/>
      </c>
      <c r="T158" s="538" t="str">
        <f t="shared" ca="1" si="9"/>
        <v/>
      </c>
      <c r="U158" s="249"/>
      <c r="V158" s="249"/>
      <c r="W158" s="249"/>
      <c r="X158" s="249"/>
      <c r="Y158" s="249"/>
      <c r="Z158" s="249"/>
      <c r="AA158" s="249"/>
      <c r="AB158" s="249"/>
      <c r="AC158" s="249"/>
      <c r="AD158" s="249"/>
      <c r="AE158" s="249"/>
      <c r="AF158" s="249"/>
      <c r="AG158" s="249"/>
      <c r="AH158" s="249"/>
      <c r="AI158" s="249"/>
      <c r="AJ158" s="249"/>
      <c r="AK158" s="249"/>
      <c r="AL158" s="249"/>
      <c r="AM158" s="249"/>
      <c r="AN158" s="537"/>
      <c r="AO158" s="249" t="str">
        <f>IF(Z158="Yes",COUNTIF($Z$6:Z158,"Yes"),"")</f>
        <v/>
      </c>
      <c r="AP158" s="249" t="str">
        <f>IF(AA158="Yes",COUNTIF($AA$6:AA158,"Yes"),"")</f>
        <v/>
      </c>
      <c r="AQ158" s="249" t="str">
        <f>IF(AC158="Yes",COUNTIF($AC$6:AC158,"Yes"),"")</f>
        <v/>
      </c>
    </row>
    <row r="159" spans="1:43">
      <c r="A159" s="249"/>
      <c r="B159" s="249"/>
      <c r="C159" s="249"/>
      <c r="D159" s="249"/>
      <c r="E159" s="249"/>
      <c r="F159" s="249"/>
      <c r="G159" s="249"/>
      <c r="H159" s="249"/>
      <c r="I159" s="249"/>
      <c r="J159" s="249"/>
      <c r="K159" s="249"/>
      <c r="L159" s="249"/>
      <c r="M159" s="249"/>
      <c r="N159" s="249"/>
      <c r="O159" s="249"/>
      <c r="P159" s="537"/>
      <c r="Q159" s="537"/>
      <c r="R159" s="537"/>
      <c r="S159" s="538" t="str">
        <f t="shared" ca="1" si="8"/>
        <v/>
      </c>
      <c r="T159" s="538" t="str">
        <f t="shared" ca="1" si="9"/>
        <v/>
      </c>
      <c r="U159" s="249"/>
      <c r="V159" s="249"/>
      <c r="W159" s="249"/>
      <c r="X159" s="249"/>
      <c r="Y159" s="249"/>
      <c r="Z159" s="249"/>
      <c r="AA159" s="249"/>
      <c r="AB159" s="249"/>
      <c r="AC159" s="249"/>
      <c r="AD159" s="249"/>
      <c r="AE159" s="249"/>
      <c r="AF159" s="249"/>
      <c r="AG159" s="249"/>
      <c r="AH159" s="249"/>
      <c r="AI159" s="249"/>
      <c r="AJ159" s="249"/>
      <c r="AK159" s="249"/>
      <c r="AL159" s="249"/>
      <c r="AM159" s="249"/>
      <c r="AN159" s="537"/>
      <c r="AO159" s="249" t="str">
        <f>IF(Z159="Yes",COUNTIF($Z$6:Z159,"Yes"),"")</f>
        <v/>
      </c>
      <c r="AP159" s="249" t="str">
        <f>IF(AA159="Yes",COUNTIF($AA$6:AA159,"Yes"),"")</f>
        <v/>
      </c>
      <c r="AQ159" s="249" t="str">
        <f>IF(AC159="Yes",COUNTIF($AC$6:AC159,"Yes"),"")</f>
        <v/>
      </c>
    </row>
    <row r="160" spans="1:43">
      <c r="A160" s="249"/>
      <c r="B160" s="249"/>
      <c r="C160" s="249"/>
      <c r="D160" s="249"/>
      <c r="E160" s="249"/>
      <c r="F160" s="249"/>
      <c r="G160" s="249"/>
      <c r="H160" s="249"/>
      <c r="I160" s="249"/>
      <c r="J160" s="249"/>
      <c r="K160" s="249"/>
      <c r="L160" s="249"/>
      <c r="M160" s="249"/>
      <c r="N160" s="249"/>
      <c r="O160" s="249"/>
      <c r="P160" s="537"/>
      <c r="Q160" s="537"/>
      <c r="R160" s="537"/>
      <c r="S160" s="538" t="str">
        <f t="shared" ca="1" si="8"/>
        <v/>
      </c>
      <c r="T160" s="538" t="str">
        <f t="shared" ca="1" si="9"/>
        <v/>
      </c>
      <c r="U160" s="249"/>
      <c r="V160" s="249"/>
      <c r="W160" s="249"/>
      <c r="X160" s="249"/>
      <c r="Y160" s="249"/>
      <c r="Z160" s="249"/>
      <c r="AA160" s="249"/>
      <c r="AB160" s="249"/>
      <c r="AC160" s="249"/>
      <c r="AD160" s="249"/>
      <c r="AE160" s="249"/>
      <c r="AF160" s="249"/>
      <c r="AG160" s="249"/>
      <c r="AH160" s="249"/>
      <c r="AI160" s="249"/>
      <c r="AJ160" s="249"/>
      <c r="AK160" s="249"/>
      <c r="AL160" s="249"/>
      <c r="AM160" s="249"/>
      <c r="AN160" s="537"/>
      <c r="AO160" s="249" t="str">
        <f>IF(Z160="Yes",COUNTIF($Z$6:Z160,"Yes"),"")</f>
        <v/>
      </c>
      <c r="AP160" s="249" t="str">
        <f>IF(AA160="Yes",COUNTIF($AA$6:AA160,"Yes"),"")</f>
        <v/>
      </c>
      <c r="AQ160" s="249" t="str">
        <f>IF(AC160="Yes",COUNTIF($AC$6:AC160,"Yes"),"")</f>
        <v/>
      </c>
    </row>
    <row r="161" spans="1:43">
      <c r="A161" s="249"/>
      <c r="B161" s="249"/>
      <c r="C161" s="249"/>
      <c r="D161" s="249"/>
      <c r="E161" s="249"/>
      <c r="F161" s="249"/>
      <c r="G161" s="249"/>
      <c r="H161" s="249"/>
      <c r="I161" s="249"/>
      <c r="J161" s="249"/>
      <c r="K161" s="249"/>
      <c r="L161" s="249"/>
      <c r="M161" s="249"/>
      <c r="N161" s="249"/>
      <c r="O161" s="249"/>
      <c r="P161" s="537"/>
      <c r="Q161" s="537"/>
      <c r="R161" s="537"/>
      <c r="S161" s="538" t="str">
        <f t="shared" ca="1" si="8"/>
        <v/>
      </c>
      <c r="T161" s="538" t="str">
        <f t="shared" ca="1" si="9"/>
        <v/>
      </c>
      <c r="U161" s="249"/>
      <c r="V161" s="249"/>
      <c r="W161" s="249"/>
      <c r="X161" s="249"/>
      <c r="Y161" s="249"/>
      <c r="Z161" s="249"/>
      <c r="AA161" s="249"/>
      <c r="AB161" s="249"/>
      <c r="AC161" s="249"/>
      <c r="AD161" s="249"/>
      <c r="AE161" s="249"/>
      <c r="AF161" s="249"/>
      <c r="AG161" s="249"/>
      <c r="AH161" s="249"/>
      <c r="AI161" s="249"/>
      <c r="AJ161" s="249"/>
      <c r="AK161" s="249"/>
      <c r="AL161" s="249"/>
      <c r="AM161" s="249"/>
      <c r="AN161" s="537"/>
      <c r="AO161" s="249" t="str">
        <f>IF(Z161="Yes",COUNTIF($Z$6:Z161,"Yes"),"")</f>
        <v/>
      </c>
      <c r="AP161" s="249" t="str">
        <f>IF(AA161="Yes",COUNTIF($AA$6:AA161,"Yes"),"")</f>
        <v/>
      </c>
      <c r="AQ161" s="249" t="str">
        <f>IF(AC161="Yes",COUNTIF($AC$6:AC161,"Yes"),"")</f>
        <v/>
      </c>
    </row>
    <row r="162" spans="1:43">
      <c r="A162" s="249"/>
      <c r="B162" s="249"/>
      <c r="C162" s="249"/>
      <c r="D162" s="249"/>
      <c r="E162" s="249"/>
      <c r="F162" s="249"/>
      <c r="G162" s="249"/>
      <c r="H162" s="249"/>
      <c r="I162" s="249"/>
      <c r="J162" s="249"/>
      <c r="K162" s="249"/>
      <c r="L162" s="249"/>
      <c r="M162" s="249"/>
      <c r="N162" s="249"/>
      <c r="O162" s="249"/>
      <c r="P162" s="537"/>
      <c r="Q162" s="537"/>
      <c r="R162" s="537"/>
      <c r="S162" s="538" t="str">
        <f t="shared" ca="1" si="8"/>
        <v/>
      </c>
      <c r="T162" s="538" t="str">
        <f t="shared" ca="1" si="9"/>
        <v/>
      </c>
      <c r="U162" s="249"/>
      <c r="V162" s="249"/>
      <c r="W162" s="249"/>
      <c r="X162" s="249"/>
      <c r="Y162" s="249"/>
      <c r="Z162" s="249"/>
      <c r="AA162" s="249"/>
      <c r="AB162" s="249"/>
      <c r="AC162" s="249"/>
      <c r="AD162" s="249"/>
      <c r="AE162" s="249"/>
      <c r="AF162" s="249"/>
      <c r="AG162" s="249"/>
      <c r="AH162" s="249"/>
      <c r="AI162" s="249"/>
      <c r="AJ162" s="249"/>
      <c r="AK162" s="249"/>
      <c r="AL162" s="249"/>
      <c r="AM162" s="249"/>
      <c r="AN162" s="537"/>
      <c r="AO162" s="249" t="str">
        <f>IF(Z162="Yes",COUNTIF($Z$6:Z162,"Yes"),"")</f>
        <v/>
      </c>
      <c r="AP162" s="249" t="str">
        <f>IF(AA162="Yes",COUNTIF($AA$6:AA162,"Yes"),"")</f>
        <v/>
      </c>
      <c r="AQ162" s="249" t="str">
        <f>IF(AC162="Yes",COUNTIF($AC$6:AC162,"Yes"),"")</f>
        <v/>
      </c>
    </row>
    <row r="163" spans="1:43">
      <c r="A163" s="249"/>
      <c r="B163" s="249"/>
      <c r="C163" s="249"/>
      <c r="D163" s="249"/>
      <c r="E163" s="249"/>
      <c r="F163" s="249"/>
      <c r="G163" s="249"/>
      <c r="H163" s="249"/>
      <c r="I163" s="249"/>
      <c r="J163" s="249"/>
      <c r="K163" s="249"/>
      <c r="L163" s="249"/>
      <c r="M163" s="249"/>
      <c r="N163" s="249"/>
      <c r="O163" s="249"/>
      <c r="P163" s="537"/>
      <c r="Q163" s="537"/>
      <c r="R163" s="537"/>
      <c r="S163" s="538" t="str">
        <f t="shared" ca="1" si="8"/>
        <v/>
      </c>
      <c r="T163" s="538" t="str">
        <f t="shared" ca="1" si="9"/>
        <v/>
      </c>
      <c r="U163" s="249"/>
      <c r="V163" s="249"/>
      <c r="W163" s="249"/>
      <c r="X163" s="249"/>
      <c r="Y163" s="249"/>
      <c r="Z163" s="249"/>
      <c r="AA163" s="249"/>
      <c r="AB163" s="249"/>
      <c r="AC163" s="249"/>
      <c r="AD163" s="249"/>
      <c r="AE163" s="249"/>
      <c r="AF163" s="249"/>
      <c r="AG163" s="249"/>
      <c r="AH163" s="249"/>
      <c r="AI163" s="249"/>
      <c r="AJ163" s="249"/>
      <c r="AK163" s="249"/>
      <c r="AL163" s="249"/>
      <c r="AM163" s="249"/>
      <c r="AN163" s="537"/>
      <c r="AO163" s="249" t="str">
        <f>IF(Z163="Yes",COUNTIF($Z$6:Z163,"Yes"),"")</f>
        <v/>
      </c>
      <c r="AP163" s="249" t="str">
        <f>IF(AA163="Yes",COUNTIF($AA$6:AA163,"Yes"),"")</f>
        <v/>
      </c>
      <c r="AQ163" s="249" t="str">
        <f>IF(AC163="Yes",COUNTIF($AC$6:AC163,"Yes"),"")</f>
        <v/>
      </c>
    </row>
    <row r="164" spans="1:43">
      <c r="A164" s="249"/>
      <c r="B164" s="249"/>
      <c r="C164" s="249"/>
      <c r="D164" s="249"/>
      <c r="E164" s="249"/>
      <c r="F164" s="249"/>
      <c r="G164" s="249"/>
      <c r="H164" s="249"/>
      <c r="I164" s="249"/>
      <c r="J164" s="249"/>
      <c r="K164" s="249"/>
      <c r="L164" s="249"/>
      <c r="M164" s="249"/>
      <c r="N164" s="249"/>
      <c r="O164" s="249"/>
      <c r="P164" s="537"/>
      <c r="Q164" s="537"/>
      <c r="R164" s="537"/>
      <c r="S164" s="538" t="str">
        <f t="shared" ca="1" si="8"/>
        <v/>
      </c>
      <c r="T164" s="538" t="str">
        <f t="shared" ca="1" si="9"/>
        <v/>
      </c>
      <c r="U164" s="249"/>
      <c r="V164" s="249"/>
      <c r="W164" s="249"/>
      <c r="X164" s="249"/>
      <c r="Y164" s="249"/>
      <c r="Z164" s="249"/>
      <c r="AA164" s="249"/>
      <c r="AB164" s="249"/>
      <c r="AC164" s="249"/>
      <c r="AD164" s="249"/>
      <c r="AE164" s="249"/>
      <c r="AF164" s="249"/>
      <c r="AG164" s="249"/>
      <c r="AH164" s="249"/>
      <c r="AI164" s="249"/>
      <c r="AJ164" s="249"/>
      <c r="AK164" s="249"/>
      <c r="AL164" s="249"/>
      <c r="AM164" s="249"/>
      <c r="AN164" s="537"/>
      <c r="AO164" s="249" t="str">
        <f>IF(Z164="Yes",COUNTIF($Z$6:Z164,"Yes"),"")</f>
        <v/>
      </c>
      <c r="AP164" s="249" t="str">
        <f>IF(AA164="Yes",COUNTIF($AA$6:AA164,"Yes"),"")</f>
        <v/>
      </c>
      <c r="AQ164" s="249" t="str">
        <f>IF(AC164="Yes",COUNTIF($AC$6:AC164,"Yes"),"")</f>
        <v/>
      </c>
    </row>
    <row r="165" spans="1:43">
      <c r="A165" s="249"/>
      <c r="B165" s="249"/>
      <c r="C165" s="249"/>
      <c r="D165" s="249"/>
      <c r="E165" s="249"/>
      <c r="F165" s="249"/>
      <c r="G165" s="249"/>
      <c r="H165" s="249"/>
      <c r="I165" s="249"/>
      <c r="J165" s="249"/>
      <c r="K165" s="249"/>
      <c r="L165" s="249"/>
      <c r="M165" s="249"/>
      <c r="N165" s="249"/>
      <c r="O165" s="249"/>
      <c r="P165" s="537"/>
      <c r="Q165" s="537"/>
      <c r="R165" s="537"/>
      <c r="S165" s="538" t="str">
        <f t="shared" ca="1" si="8"/>
        <v/>
      </c>
      <c r="T165" s="538" t="str">
        <f t="shared" ca="1" si="9"/>
        <v/>
      </c>
      <c r="U165" s="249"/>
      <c r="V165" s="249"/>
      <c r="W165" s="249"/>
      <c r="X165" s="249"/>
      <c r="Y165" s="249"/>
      <c r="Z165" s="249"/>
      <c r="AA165" s="249"/>
      <c r="AB165" s="249"/>
      <c r="AC165" s="249"/>
      <c r="AD165" s="249"/>
      <c r="AE165" s="249"/>
      <c r="AF165" s="249"/>
      <c r="AG165" s="249"/>
      <c r="AH165" s="249"/>
      <c r="AI165" s="249"/>
      <c r="AJ165" s="249"/>
      <c r="AK165" s="249"/>
      <c r="AL165" s="249"/>
      <c r="AM165" s="249"/>
      <c r="AN165" s="537"/>
      <c r="AO165" s="249" t="str">
        <f>IF(Z165="Yes",COUNTIF($Z$6:Z165,"Yes"),"")</f>
        <v/>
      </c>
      <c r="AP165" s="249" t="str">
        <f>IF(AA165="Yes",COUNTIF($AA$6:AA165,"Yes"),"")</f>
        <v/>
      </c>
      <c r="AQ165" s="249" t="str">
        <f>IF(AC165="Yes",COUNTIF($AC$6:AC165,"Yes"),"")</f>
        <v/>
      </c>
    </row>
    <row r="166" spans="1:43">
      <c r="A166" s="249"/>
      <c r="B166" s="249"/>
      <c r="C166" s="249"/>
      <c r="D166" s="249"/>
      <c r="E166" s="249"/>
      <c r="F166" s="249"/>
      <c r="G166" s="249"/>
      <c r="H166" s="249"/>
      <c r="I166" s="249"/>
      <c r="J166" s="249"/>
      <c r="K166" s="249"/>
      <c r="L166" s="249"/>
      <c r="M166" s="249"/>
      <c r="N166" s="249"/>
      <c r="O166" s="249"/>
      <c r="P166" s="537"/>
      <c r="Q166" s="537"/>
      <c r="R166" s="537"/>
      <c r="S166" s="538" t="str">
        <f t="shared" ca="1" si="8"/>
        <v/>
      </c>
      <c r="T166" s="538" t="str">
        <f t="shared" ca="1" si="9"/>
        <v/>
      </c>
      <c r="U166" s="249"/>
      <c r="V166" s="249"/>
      <c r="W166" s="249"/>
      <c r="X166" s="249"/>
      <c r="Y166" s="249"/>
      <c r="Z166" s="249"/>
      <c r="AA166" s="249"/>
      <c r="AB166" s="249"/>
      <c r="AC166" s="249"/>
      <c r="AD166" s="249"/>
      <c r="AE166" s="249"/>
      <c r="AF166" s="249"/>
      <c r="AG166" s="249"/>
      <c r="AH166" s="249"/>
      <c r="AI166" s="249"/>
      <c r="AJ166" s="249"/>
      <c r="AK166" s="249"/>
      <c r="AL166" s="249"/>
      <c r="AM166" s="249"/>
      <c r="AN166" s="537"/>
      <c r="AO166" s="249" t="str">
        <f>IF(Z166="Yes",COUNTIF($Z$6:Z166,"Yes"),"")</f>
        <v/>
      </c>
      <c r="AP166" s="249" t="str">
        <f>IF(AA166="Yes",COUNTIF($AA$6:AA166,"Yes"),"")</f>
        <v/>
      </c>
      <c r="AQ166" s="249" t="str">
        <f>IF(AC166="Yes",COUNTIF($AC$6:AC166,"Yes"),"")</f>
        <v/>
      </c>
    </row>
    <row r="167" spans="1:43">
      <c r="A167" s="249"/>
      <c r="B167" s="249"/>
      <c r="C167" s="249"/>
      <c r="D167" s="249"/>
      <c r="E167" s="249"/>
      <c r="F167" s="249"/>
      <c r="G167" s="249"/>
      <c r="H167" s="249"/>
      <c r="I167" s="249"/>
      <c r="J167" s="249"/>
      <c r="K167" s="249"/>
      <c r="L167" s="249"/>
      <c r="M167" s="249"/>
      <c r="N167" s="249"/>
      <c r="O167" s="249"/>
      <c r="P167" s="537"/>
      <c r="Q167" s="537"/>
      <c r="R167" s="537"/>
      <c r="S167" s="538" t="str">
        <f t="shared" ca="1" si="8"/>
        <v/>
      </c>
      <c r="T167" s="538" t="str">
        <f t="shared" ca="1" si="9"/>
        <v/>
      </c>
      <c r="U167" s="249"/>
      <c r="V167" s="249"/>
      <c r="W167" s="249"/>
      <c r="X167" s="249"/>
      <c r="Y167" s="249"/>
      <c r="Z167" s="249"/>
      <c r="AA167" s="249"/>
      <c r="AB167" s="249"/>
      <c r="AC167" s="249"/>
      <c r="AD167" s="249"/>
      <c r="AE167" s="249"/>
      <c r="AF167" s="249"/>
      <c r="AG167" s="249"/>
      <c r="AH167" s="249"/>
      <c r="AI167" s="249"/>
      <c r="AJ167" s="249"/>
      <c r="AK167" s="249"/>
      <c r="AL167" s="249"/>
      <c r="AM167" s="249"/>
      <c r="AN167" s="537"/>
      <c r="AO167" s="249" t="str">
        <f>IF(Z167="Yes",COUNTIF($Z$6:Z167,"Yes"),"")</f>
        <v/>
      </c>
      <c r="AP167" s="249" t="str">
        <f>IF(AA167="Yes",COUNTIF($AA$6:AA167,"Yes"),"")</f>
        <v/>
      </c>
      <c r="AQ167" s="249" t="str">
        <f>IF(AC167="Yes",COUNTIF($AC$6:AC167,"Yes"),"")</f>
        <v/>
      </c>
    </row>
    <row r="168" spans="1:43">
      <c r="A168" s="249"/>
      <c r="B168" s="249"/>
      <c r="C168" s="249"/>
      <c r="D168" s="249"/>
      <c r="E168" s="249"/>
      <c r="F168" s="249"/>
      <c r="G168" s="249"/>
      <c r="H168" s="249"/>
      <c r="I168" s="249"/>
      <c r="J168" s="249"/>
      <c r="K168" s="249"/>
      <c r="L168" s="249"/>
      <c r="M168" s="249"/>
      <c r="N168" s="249"/>
      <c r="O168" s="249"/>
      <c r="P168" s="537"/>
      <c r="Q168" s="537"/>
      <c r="R168" s="537"/>
      <c r="S168" s="538" t="str">
        <f t="shared" ca="1" si="8"/>
        <v/>
      </c>
      <c r="T168" s="538" t="str">
        <f t="shared" ca="1" si="9"/>
        <v/>
      </c>
      <c r="U168" s="249"/>
      <c r="V168" s="249"/>
      <c r="W168" s="249"/>
      <c r="X168" s="249"/>
      <c r="Y168" s="249"/>
      <c r="Z168" s="249"/>
      <c r="AA168" s="249"/>
      <c r="AB168" s="249"/>
      <c r="AC168" s="249"/>
      <c r="AD168" s="249"/>
      <c r="AE168" s="249"/>
      <c r="AF168" s="249"/>
      <c r="AG168" s="249"/>
      <c r="AH168" s="249"/>
      <c r="AI168" s="249"/>
      <c r="AJ168" s="249"/>
      <c r="AK168" s="249"/>
      <c r="AL168" s="249"/>
      <c r="AM168" s="249"/>
      <c r="AN168" s="537"/>
      <c r="AO168" s="249" t="str">
        <f>IF(Z168="Yes",COUNTIF($Z$6:Z168,"Yes"),"")</f>
        <v/>
      </c>
      <c r="AP168" s="249" t="str">
        <f>IF(AA168="Yes",COUNTIF($AA$6:AA168,"Yes"),"")</f>
        <v/>
      </c>
      <c r="AQ168" s="249" t="str">
        <f>IF(AC168="Yes",COUNTIF($AC$6:AC168,"Yes"),"")</f>
        <v/>
      </c>
    </row>
    <row r="169" spans="1:43">
      <c r="A169" s="249"/>
      <c r="B169" s="249"/>
      <c r="C169" s="249"/>
      <c r="D169" s="249"/>
      <c r="E169" s="249"/>
      <c r="F169" s="249"/>
      <c r="G169" s="249"/>
      <c r="H169" s="249"/>
      <c r="I169" s="249"/>
      <c r="J169" s="249"/>
      <c r="K169" s="249"/>
      <c r="L169" s="249"/>
      <c r="M169" s="249"/>
      <c r="N169" s="249"/>
      <c r="O169" s="249"/>
      <c r="P169" s="537"/>
      <c r="Q169" s="537"/>
      <c r="R169" s="537"/>
      <c r="S169" s="538" t="str">
        <f t="shared" ca="1" si="8"/>
        <v/>
      </c>
      <c r="T169" s="538" t="str">
        <f t="shared" ca="1" si="9"/>
        <v/>
      </c>
      <c r="U169" s="249"/>
      <c r="V169" s="249"/>
      <c r="W169" s="249"/>
      <c r="X169" s="249"/>
      <c r="Y169" s="249"/>
      <c r="Z169" s="249"/>
      <c r="AA169" s="249"/>
      <c r="AB169" s="249"/>
      <c r="AC169" s="249"/>
      <c r="AD169" s="249"/>
      <c r="AE169" s="249"/>
      <c r="AF169" s="249"/>
      <c r="AG169" s="249"/>
      <c r="AH169" s="249"/>
      <c r="AI169" s="249"/>
      <c r="AJ169" s="249"/>
      <c r="AK169" s="249"/>
      <c r="AL169" s="249"/>
      <c r="AM169" s="249"/>
      <c r="AN169" s="537"/>
      <c r="AO169" s="249" t="str">
        <f>IF(Z169="Yes",COUNTIF($Z$6:Z169,"Yes"),"")</f>
        <v/>
      </c>
      <c r="AP169" s="249" t="str">
        <f>IF(AA169="Yes",COUNTIF($AA$6:AA169,"Yes"),"")</f>
        <v/>
      </c>
      <c r="AQ169" s="249" t="str">
        <f>IF(AC169="Yes",COUNTIF($AC$6:AC169,"Yes"),"")</f>
        <v/>
      </c>
    </row>
    <row r="170" spans="1:43">
      <c r="A170" s="249"/>
      <c r="B170" s="249"/>
      <c r="C170" s="249"/>
      <c r="D170" s="249"/>
      <c r="E170" s="249"/>
      <c r="F170" s="249"/>
      <c r="G170" s="249"/>
      <c r="H170" s="249"/>
      <c r="I170" s="249"/>
      <c r="J170" s="249"/>
      <c r="K170" s="249"/>
      <c r="L170" s="249"/>
      <c r="M170" s="249"/>
      <c r="N170" s="249"/>
      <c r="O170" s="249"/>
      <c r="P170" s="537"/>
      <c r="Q170" s="537"/>
      <c r="R170" s="537"/>
      <c r="S170" s="538" t="str">
        <f t="shared" ca="1" si="8"/>
        <v/>
      </c>
      <c r="T170" s="538" t="str">
        <f t="shared" ca="1" si="9"/>
        <v/>
      </c>
      <c r="U170" s="249"/>
      <c r="V170" s="249"/>
      <c r="W170" s="249"/>
      <c r="X170" s="249"/>
      <c r="Y170" s="249"/>
      <c r="Z170" s="249"/>
      <c r="AA170" s="249"/>
      <c r="AB170" s="249"/>
      <c r="AC170" s="249"/>
      <c r="AD170" s="249"/>
      <c r="AE170" s="249"/>
      <c r="AF170" s="249"/>
      <c r="AG170" s="249"/>
      <c r="AH170" s="249"/>
      <c r="AI170" s="249"/>
      <c r="AJ170" s="249"/>
      <c r="AK170" s="249"/>
      <c r="AL170" s="249"/>
      <c r="AM170" s="249"/>
      <c r="AN170" s="537"/>
      <c r="AO170" s="249" t="str">
        <f>IF(Z170="Yes",COUNTIF($Z$6:Z170,"Yes"),"")</f>
        <v/>
      </c>
      <c r="AP170" s="249" t="str">
        <f>IF(AA170="Yes",COUNTIF($AA$6:AA170,"Yes"),"")</f>
        <v/>
      </c>
      <c r="AQ170" s="249" t="str">
        <f>IF(AC170="Yes",COUNTIF($AC$6:AC170,"Yes"),"")</f>
        <v/>
      </c>
    </row>
    <row r="171" spans="1:43">
      <c r="A171" s="249"/>
      <c r="B171" s="249"/>
      <c r="C171" s="249"/>
      <c r="D171" s="249"/>
      <c r="E171" s="249"/>
      <c r="F171" s="249"/>
      <c r="G171" s="249"/>
      <c r="H171" s="249"/>
      <c r="I171" s="249"/>
      <c r="J171" s="249"/>
      <c r="K171" s="249"/>
      <c r="L171" s="249"/>
      <c r="M171" s="249"/>
      <c r="N171" s="249"/>
      <c r="O171" s="249"/>
      <c r="P171" s="537"/>
      <c r="Q171" s="537"/>
      <c r="R171" s="537"/>
      <c r="S171" s="538" t="str">
        <f t="shared" ca="1" si="8"/>
        <v/>
      </c>
      <c r="T171" s="538" t="str">
        <f t="shared" ca="1" si="9"/>
        <v/>
      </c>
      <c r="U171" s="249"/>
      <c r="V171" s="249"/>
      <c r="W171" s="249"/>
      <c r="X171" s="249"/>
      <c r="Y171" s="249"/>
      <c r="Z171" s="249"/>
      <c r="AA171" s="249"/>
      <c r="AB171" s="249"/>
      <c r="AC171" s="249"/>
      <c r="AD171" s="249"/>
      <c r="AE171" s="249"/>
      <c r="AF171" s="249"/>
      <c r="AG171" s="249"/>
      <c r="AH171" s="249"/>
      <c r="AI171" s="249"/>
      <c r="AJ171" s="249"/>
      <c r="AK171" s="249"/>
      <c r="AL171" s="249"/>
      <c r="AM171" s="249"/>
      <c r="AN171" s="537"/>
      <c r="AO171" s="249" t="str">
        <f>IF(Z171="Yes",COUNTIF($Z$6:Z171,"Yes"),"")</f>
        <v/>
      </c>
      <c r="AP171" s="249" t="str">
        <f>IF(AA171="Yes",COUNTIF($AA$6:AA171,"Yes"),"")</f>
        <v/>
      </c>
      <c r="AQ171" s="249" t="str">
        <f>IF(AC171="Yes",COUNTIF($AC$6:AC171,"Yes"),"")</f>
        <v/>
      </c>
    </row>
    <row r="172" spans="1:43">
      <c r="A172" s="249"/>
      <c r="B172" s="249"/>
      <c r="C172" s="249"/>
      <c r="D172" s="249"/>
      <c r="E172" s="249"/>
      <c r="F172" s="249"/>
      <c r="G172" s="249"/>
      <c r="H172" s="249"/>
      <c r="I172" s="249"/>
      <c r="J172" s="249"/>
      <c r="K172" s="249"/>
      <c r="L172" s="249"/>
      <c r="M172" s="249"/>
      <c r="N172" s="249"/>
      <c r="O172" s="249"/>
      <c r="P172" s="537"/>
      <c r="Q172" s="537"/>
      <c r="R172" s="537"/>
      <c r="S172" s="538" t="str">
        <f t="shared" ca="1" si="8"/>
        <v/>
      </c>
      <c r="T172" s="538" t="str">
        <f t="shared" ca="1" si="9"/>
        <v/>
      </c>
      <c r="U172" s="249"/>
      <c r="V172" s="249"/>
      <c r="W172" s="249"/>
      <c r="X172" s="249"/>
      <c r="Y172" s="249"/>
      <c r="Z172" s="249"/>
      <c r="AA172" s="249"/>
      <c r="AB172" s="249"/>
      <c r="AC172" s="249"/>
      <c r="AD172" s="249"/>
      <c r="AE172" s="249"/>
      <c r="AF172" s="249"/>
      <c r="AG172" s="249"/>
      <c r="AH172" s="249"/>
      <c r="AI172" s="249"/>
      <c r="AJ172" s="249"/>
      <c r="AK172" s="249"/>
      <c r="AL172" s="249"/>
      <c r="AM172" s="249"/>
      <c r="AN172" s="537"/>
      <c r="AO172" s="249" t="str">
        <f>IF(Z172="Yes",COUNTIF($Z$6:Z172,"Yes"),"")</f>
        <v/>
      </c>
      <c r="AP172" s="249" t="str">
        <f>IF(AA172="Yes",COUNTIF($AA$6:AA172,"Yes"),"")</f>
        <v/>
      </c>
      <c r="AQ172" s="249" t="str">
        <f>IF(AC172="Yes",COUNTIF($AC$6:AC172,"Yes"),"")</f>
        <v/>
      </c>
    </row>
    <row r="173" spans="1:43">
      <c r="A173" s="249"/>
      <c r="B173" s="249"/>
      <c r="C173" s="249"/>
      <c r="D173" s="249"/>
      <c r="E173" s="249"/>
      <c r="F173" s="249"/>
      <c r="G173" s="249"/>
      <c r="H173" s="249"/>
      <c r="I173" s="249"/>
      <c r="J173" s="249"/>
      <c r="K173" s="249"/>
      <c r="L173" s="249"/>
      <c r="M173" s="249"/>
      <c r="N173" s="249"/>
      <c r="O173" s="249"/>
      <c r="P173" s="537"/>
      <c r="Q173" s="537"/>
      <c r="R173" s="537"/>
      <c r="S173" s="538" t="str">
        <f t="shared" ca="1" si="8"/>
        <v/>
      </c>
      <c r="T173" s="538" t="str">
        <f t="shared" ca="1" si="9"/>
        <v/>
      </c>
      <c r="U173" s="249"/>
      <c r="V173" s="249"/>
      <c r="W173" s="249"/>
      <c r="X173" s="249"/>
      <c r="Y173" s="249"/>
      <c r="Z173" s="249"/>
      <c r="AA173" s="249"/>
      <c r="AB173" s="249"/>
      <c r="AC173" s="249"/>
      <c r="AD173" s="249"/>
      <c r="AE173" s="249"/>
      <c r="AF173" s="249"/>
      <c r="AG173" s="249"/>
      <c r="AH173" s="249"/>
      <c r="AI173" s="249"/>
      <c r="AJ173" s="249"/>
      <c r="AK173" s="249"/>
      <c r="AL173" s="249"/>
      <c r="AM173" s="249"/>
      <c r="AN173" s="537"/>
      <c r="AO173" s="249" t="str">
        <f>IF(Z173="Yes",COUNTIF($Z$6:Z173,"Yes"),"")</f>
        <v/>
      </c>
      <c r="AP173" s="249" t="str">
        <f>IF(AA173="Yes",COUNTIF($AA$6:AA173,"Yes"),"")</f>
        <v/>
      </c>
      <c r="AQ173" s="249" t="str">
        <f>IF(AC173="Yes",COUNTIF($AC$6:AC173,"Yes"),"")</f>
        <v/>
      </c>
    </row>
    <row r="174" spans="1:43">
      <c r="A174" s="249"/>
      <c r="B174" s="249"/>
      <c r="C174" s="249"/>
      <c r="D174" s="249"/>
      <c r="E174" s="249"/>
      <c r="F174" s="249"/>
      <c r="G174" s="249"/>
      <c r="H174" s="249"/>
      <c r="I174" s="249"/>
      <c r="J174" s="249"/>
      <c r="K174" s="249"/>
      <c r="L174" s="249"/>
      <c r="M174" s="249"/>
      <c r="N174" s="249"/>
      <c r="O174" s="249"/>
      <c r="P174" s="537"/>
      <c r="Q174" s="537"/>
      <c r="R174" s="537"/>
      <c r="S174" s="538" t="str">
        <f t="shared" ca="1" si="8"/>
        <v/>
      </c>
      <c r="T174" s="538" t="str">
        <f t="shared" ca="1" si="9"/>
        <v/>
      </c>
      <c r="U174" s="249"/>
      <c r="V174" s="249"/>
      <c r="W174" s="249"/>
      <c r="X174" s="249"/>
      <c r="Y174" s="249"/>
      <c r="Z174" s="249"/>
      <c r="AA174" s="249"/>
      <c r="AB174" s="249"/>
      <c r="AC174" s="249"/>
      <c r="AD174" s="249"/>
      <c r="AE174" s="249"/>
      <c r="AF174" s="249"/>
      <c r="AG174" s="249"/>
      <c r="AH174" s="249"/>
      <c r="AI174" s="249"/>
      <c r="AJ174" s="249"/>
      <c r="AK174" s="249"/>
      <c r="AL174" s="249"/>
      <c r="AM174" s="249"/>
      <c r="AN174" s="537"/>
      <c r="AO174" s="249" t="str">
        <f>IF(Z174="Yes",COUNTIF($Z$6:Z174,"Yes"),"")</f>
        <v/>
      </c>
      <c r="AP174" s="249" t="str">
        <f>IF(AA174="Yes",COUNTIF($AA$6:AA174,"Yes"),"")</f>
        <v/>
      </c>
      <c r="AQ174" s="249" t="str">
        <f>IF(AC174="Yes",COUNTIF($AC$6:AC174,"Yes"),"")</f>
        <v/>
      </c>
    </row>
    <row r="175" spans="1:43">
      <c r="A175" s="249"/>
      <c r="B175" s="249"/>
      <c r="C175" s="249"/>
      <c r="D175" s="249"/>
      <c r="E175" s="249"/>
      <c r="F175" s="249"/>
      <c r="G175" s="249"/>
      <c r="H175" s="249"/>
      <c r="I175" s="249"/>
      <c r="J175" s="249"/>
      <c r="K175" s="249"/>
      <c r="L175" s="249"/>
      <c r="M175" s="249"/>
      <c r="N175" s="249"/>
      <c r="O175" s="249"/>
      <c r="P175" s="537"/>
      <c r="Q175" s="537"/>
      <c r="R175" s="537"/>
      <c r="S175" s="538" t="str">
        <f t="shared" ca="1" si="8"/>
        <v/>
      </c>
      <c r="T175" s="538" t="str">
        <f t="shared" ca="1" si="9"/>
        <v/>
      </c>
      <c r="U175" s="249"/>
      <c r="V175" s="249"/>
      <c r="W175" s="249"/>
      <c r="X175" s="249"/>
      <c r="Y175" s="249"/>
      <c r="Z175" s="249"/>
      <c r="AA175" s="249"/>
      <c r="AB175" s="249"/>
      <c r="AC175" s="249"/>
      <c r="AD175" s="249"/>
      <c r="AE175" s="249"/>
      <c r="AF175" s="249"/>
      <c r="AG175" s="249"/>
      <c r="AH175" s="249"/>
      <c r="AI175" s="249"/>
      <c r="AJ175" s="249"/>
      <c r="AK175" s="249"/>
      <c r="AL175" s="249"/>
      <c r="AM175" s="249"/>
      <c r="AN175" s="537"/>
      <c r="AO175" s="249" t="str">
        <f>IF(Z175="Yes",COUNTIF($Z$6:Z175,"Yes"),"")</f>
        <v/>
      </c>
      <c r="AP175" s="249" t="str">
        <f>IF(AA175="Yes",COUNTIF($AA$6:AA175,"Yes"),"")</f>
        <v/>
      </c>
      <c r="AQ175" s="249" t="str">
        <f>IF(AC175="Yes",COUNTIF($AC$6:AC175,"Yes"),"")</f>
        <v/>
      </c>
    </row>
    <row r="176" spans="1:43">
      <c r="A176" s="249"/>
      <c r="B176" s="249"/>
      <c r="C176" s="249"/>
      <c r="D176" s="249"/>
      <c r="E176" s="249"/>
      <c r="F176" s="249"/>
      <c r="G176" s="249"/>
      <c r="H176" s="249"/>
      <c r="I176" s="249"/>
      <c r="J176" s="249"/>
      <c r="K176" s="249"/>
      <c r="L176" s="249"/>
      <c r="M176" s="249"/>
      <c r="N176" s="249"/>
      <c r="O176" s="249"/>
      <c r="P176" s="537"/>
      <c r="Q176" s="537"/>
      <c r="R176" s="537"/>
      <c r="S176" s="538" t="str">
        <f t="shared" ca="1" si="8"/>
        <v/>
      </c>
      <c r="T176" s="538" t="str">
        <f t="shared" ca="1" si="9"/>
        <v/>
      </c>
      <c r="U176" s="249"/>
      <c r="V176" s="249"/>
      <c r="W176" s="249"/>
      <c r="X176" s="249"/>
      <c r="Y176" s="249"/>
      <c r="Z176" s="249"/>
      <c r="AA176" s="249"/>
      <c r="AB176" s="249"/>
      <c r="AC176" s="249"/>
      <c r="AD176" s="249"/>
      <c r="AE176" s="249"/>
      <c r="AF176" s="249"/>
      <c r="AG176" s="249"/>
      <c r="AH176" s="249"/>
      <c r="AI176" s="249"/>
      <c r="AJ176" s="249"/>
      <c r="AK176" s="249"/>
      <c r="AL176" s="249"/>
      <c r="AM176" s="249"/>
      <c r="AN176" s="537"/>
      <c r="AO176" s="249" t="str">
        <f>IF(Z176="Yes",COUNTIF($Z$6:Z176,"Yes"),"")</f>
        <v/>
      </c>
      <c r="AP176" s="249" t="str">
        <f>IF(AA176="Yes",COUNTIF($AA$6:AA176,"Yes"),"")</f>
        <v/>
      </c>
      <c r="AQ176" s="249" t="str">
        <f>IF(AC176="Yes",COUNTIF($AC$6:AC176,"Yes"),"")</f>
        <v/>
      </c>
    </row>
    <row r="177" spans="1:43">
      <c r="A177" s="249"/>
      <c r="B177" s="249"/>
      <c r="C177" s="249"/>
      <c r="D177" s="249"/>
      <c r="E177" s="249"/>
      <c r="F177" s="249"/>
      <c r="G177" s="249"/>
      <c r="H177" s="249"/>
      <c r="I177" s="249"/>
      <c r="J177" s="249"/>
      <c r="K177" s="249"/>
      <c r="L177" s="249"/>
      <c r="M177" s="249"/>
      <c r="N177" s="249"/>
      <c r="O177" s="249"/>
      <c r="P177" s="537"/>
      <c r="Q177" s="537"/>
      <c r="R177" s="537"/>
      <c r="S177" s="538" t="str">
        <f t="shared" ca="1" si="8"/>
        <v/>
      </c>
      <c r="T177" s="538" t="str">
        <f t="shared" ca="1" si="9"/>
        <v/>
      </c>
      <c r="U177" s="249"/>
      <c r="V177" s="249"/>
      <c r="W177" s="249"/>
      <c r="X177" s="249"/>
      <c r="Y177" s="249"/>
      <c r="Z177" s="249"/>
      <c r="AA177" s="249"/>
      <c r="AB177" s="249"/>
      <c r="AC177" s="249"/>
      <c r="AD177" s="249"/>
      <c r="AE177" s="249"/>
      <c r="AF177" s="249"/>
      <c r="AG177" s="249"/>
      <c r="AH177" s="249"/>
      <c r="AI177" s="249"/>
      <c r="AJ177" s="249"/>
      <c r="AK177" s="249"/>
      <c r="AL177" s="249"/>
      <c r="AM177" s="249"/>
      <c r="AN177" s="537"/>
      <c r="AO177" s="249" t="str">
        <f>IF(Z177="Yes",COUNTIF($Z$6:Z177,"Yes"),"")</f>
        <v/>
      </c>
      <c r="AP177" s="249" t="str">
        <f>IF(AA177="Yes",COUNTIF($AA$6:AA177,"Yes"),"")</f>
        <v/>
      </c>
      <c r="AQ177" s="249" t="str">
        <f>IF(AC177="Yes",COUNTIF($AC$6:AC177,"Yes"),"")</f>
        <v/>
      </c>
    </row>
    <row r="178" spans="1:43">
      <c r="A178" s="249"/>
      <c r="B178" s="249"/>
      <c r="C178" s="249"/>
      <c r="D178" s="249"/>
      <c r="E178" s="249"/>
      <c r="F178" s="249"/>
      <c r="G178" s="249"/>
      <c r="H178" s="249"/>
      <c r="I178" s="249"/>
      <c r="J178" s="249"/>
      <c r="K178" s="249"/>
      <c r="L178" s="249"/>
      <c r="M178" s="249"/>
      <c r="N178" s="249"/>
      <c r="O178" s="249"/>
      <c r="P178" s="537"/>
      <c r="Q178" s="537"/>
      <c r="R178" s="537"/>
      <c r="S178" s="538" t="str">
        <f t="shared" ca="1" si="8"/>
        <v/>
      </c>
      <c r="T178" s="538" t="str">
        <f t="shared" ca="1" si="9"/>
        <v/>
      </c>
      <c r="U178" s="249"/>
      <c r="V178" s="249"/>
      <c r="W178" s="249"/>
      <c r="X178" s="249"/>
      <c r="Y178" s="249"/>
      <c r="Z178" s="249"/>
      <c r="AA178" s="249"/>
      <c r="AB178" s="249"/>
      <c r="AC178" s="249"/>
      <c r="AD178" s="249"/>
      <c r="AE178" s="249"/>
      <c r="AF178" s="249"/>
      <c r="AG178" s="249"/>
      <c r="AH178" s="249"/>
      <c r="AI178" s="249"/>
      <c r="AJ178" s="249"/>
      <c r="AK178" s="249"/>
      <c r="AL178" s="249"/>
      <c r="AM178" s="249"/>
      <c r="AN178" s="537"/>
      <c r="AO178" s="249" t="str">
        <f>IF(Z178="Yes",COUNTIF($Z$6:Z178,"Yes"),"")</f>
        <v/>
      </c>
      <c r="AP178" s="249" t="str">
        <f>IF(AA178="Yes",COUNTIF($AA$6:AA178,"Yes"),"")</f>
        <v/>
      </c>
      <c r="AQ178" s="249" t="str">
        <f>IF(AC178="Yes",COUNTIF($AC$6:AC178,"Yes"),"")</f>
        <v/>
      </c>
    </row>
    <row r="179" spans="1:43">
      <c r="A179" s="249"/>
      <c r="B179" s="249"/>
      <c r="C179" s="249"/>
      <c r="D179" s="249"/>
      <c r="E179" s="249"/>
      <c r="F179" s="249"/>
      <c r="G179" s="249"/>
      <c r="H179" s="249"/>
      <c r="I179" s="249"/>
      <c r="J179" s="249"/>
      <c r="K179" s="249"/>
      <c r="L179" s="249"/>
      <c r="M179" s="249"/>
      <c r="N179" s="249"/>
      <c r="O179" s="249"/>
      <c r="P179" s="537"/>
      <c r="Q179" s="537"/>
      <c r="R179" s="537"/>
      <c r="S179" s="538" t="str">
        <f t="shared" ca="1" si="8"/>
        <v/>
      </c>
      <c r="T179" s="538" t="str">
        <f t="shared" ca="1" si="9"/>
        <v/>
      </c>
      <c r="U179" s="249"/>
      <c r="V179" s="249"/>
      <c r="W179" s="249"/>
      <c r="X179" s="249"/>
      <c r="Y179" s="249"/>
      <c r="Z179" s="249"/>
      <c r="AA179" s="249"/>
      <c r="AB179" s="249"/>
      <c r="AC179" s="249"/>
      <c r="AD179" s="249"/>
      <c r="AE179" s="249"/>
      <c r="AF179" s="249"/>
      <c r="AG179" s="249"/>
      <c r="AH179" s="249"/>
      <c r="AI179" s="249"/>
      <c r="AJ179" s="249"/>
      <c r="AK179" s="249"/>
      <c r="AL179" s="249"/>
      <c r="AM179" s="249"/>
      <c r="AN179" s="537"/>
      <c r="AO179" s="249" t="str">
        <f>IF(Z179="Yes",COUNTIF($Z$6:Z179,"Yes"),"")</f>
        <v/>
      </c>
      <c r="AP179" s="249" t="str">
        <f>IF(AA179="Yes",COUNTIF($AA$6:AA179,"Yes"),"")</f>
        <v/>
      </c>
      <c r="AQ179" s="249" t="str">
        <f>IF(AC179="Yes",COUNTIF($AC$6:AC179,"Yes"),"")</f>
        <v/>
      </c>
    </row>
    <row r="180" spans="1:43">
      <c r="A180" s="249"/>
      <c r="B180" s="249"/>
      <c r="C180" s="249"/>
      <c r="D180" s="249"/>
      <c r="E180" s="249"/>
      <c r="F180" s="249"/>
      <c r="G180" s="249"/>
      <c r="H180" s="249"/>
      <c r="I180" s="249"/>
      <c r="J180" s="249"/>
      <c r="K180" s="249"/>
      <c r="L180" s="249"/>
      <c r="M180" s="249"/>
      <c r="N180" s="249"/>
      <c r="O180" s="249"/>
      <c r="P180" s="537"/>
      <c r="Q180" s="537"/>
      <c r="R180" s="537"/>
      <c r="S180" s="538" t="str">
        <f t="shared" ca="1" si="8"/>
        <v/>
      </c>
      <c r="T180" s="538" t="str">
        <f t="shared" ca="1" si="9"/>
        <v/>
      </c>
      <c r="U180" s="249"/>
      <c r="V180" s="249"/>
      <c r="W180" s="249"/>
      <c r="X180" s="249"/>
      <c r="Y180" s="249"/>
      <c r="Z180" s="249"/>
      <c r="AA180" s="249"/>
      <c r="AB180" s="249"/>
      <c r="AC180" s="249"/>
      <c r="AD180" s="249"/>
      <c r="AE180" s="249"/>
      <c r="AF180" s="249"/>
      <c r="AG180" s="249"/>
      <c r="AH180" s="249"/>
      <c r="AI180" s="249"/>
      <c r="AJ180" s="249"/>
      <c r="AK180" s="249"/>
      <c r="AL180" s="249"/>
      <c r="AM180" s="249"/>
      <c r="AN180" s="537"/>
      <c r="AO180" s="249" t="str">
        <f>IF(Z180="Yes",COUNTIF($Z$6:Z180,"Yes"),"")</f>
        <v/>
      </c>
      <c r="AP180" s="249" t="str">
        <f>IF(AA180="Yes",COUNTIF($AA$6:AA180,"Yes"),"")</f>
        <v/>
      </c>
      <c r="AQ180" s="249" t="str">
        <f>IF(AC180="Yes",COUNTIF($AC$6:AC180,"Yes"),"")</f>
        <v/>
      </c>
    </row>
    <row r="181" spans="1:43">
      <c r="A181" s="249"/>
      <c r="B181" s="249"/>
      <c r="C181" s="249"/>
      <c r="D181" s="249"/>
      <c r="E181" s="249"/>
      <c r="F181" s="249"/>
      <c r="G181" s="249"/>
      <c r="H181" s="249"/>
      <c r="I181" s="249"/>
      <c r="J181" s="249"/>
      <c r="K181" s="249"/>
      <c r="L181" s="249"/>
      <c r="M181" s="249"/>
      <c r="N181" s="249"/>
      <c r="O181" s="249"/>
      <c r="P181" s="537"/>
      <c r="Q181" s="537"/>
      <c r="R181" s="537"/>
      <c r="S181" s="538" t="str">
        <f t="shared" ca="1" si="8"/>
        <v/>
      </c>
      <c r="T181" s="538" t="str">
        <f t="shared" ca="1" si="9"/>
        <v/>
      </c>
      <c r="U181" s="249"/>
      <c r="V181" s="249"/>
      <c r="W181" s="249"/>
      <c r="X181" s="249"/>
      <c r="Y181" s="249"/>
      <c r="Z181" s="249"/>
      <c r="AA181" s="249"/>
      <c r="AB181" s="249"/>
      <c r="AC181" s="249"/>
      <c r="AD181" s="249"/>
      <c r="AE181" s="249"/>
      <c r="AF181" s="249"/>
      <c r="AG181" s="249"/>
      <c r="AH181" s="249"/>
      <c r="AI181" s="249"/>
      <c r="AJ181" s="249"/>
      <c r="AK181" s="249"/>
      <c r="AL181" s="249"/>
      <c r="AM181" s="249"/>
      <c r="AN181" s="537"/>
      <c r="AO181" s="249" t="str">
        <f>IF(Z181="Yes",COUNTIF($Z$6:Z181,"Yes"),"")</f>
        <v/>
      </c>
      <c r="AP181" s="249" t="str">
        <f>IF(AA181="Yes",COUNTIF($AA$6:AA181,"Yes"),"")</f>
        <v/>
      </c>
      <c r="AQ181" s="249" t="str">
        <f>IF(AC181="Yes",COUNTIF($AC$6:AC181,"Yes"),"")</f>
        <v/>
      </c>
    </row>
    <row r="182" spans="1:43">
      <c r="A182" s="249"/>
      <c r="B182" s="249"/>
      <c r="C182" s="249"/>
      <c r="D182" s="249"/>
      <c r="E182" s="249"/>
      <c r="F182" s="249"/>
      <c r="G182" s="249"/>
      <c r="H182" s="249"/>
      <c r="I182" s="249"/>
      <c r="J182" s="249"/>
      <c r="K182" s="249"/>
      <c r="L182" s="249"/>
      <c r="M182" s="249"/>
      <c r="N182" s="249"/>
      <c r="O182" s="249"/>
      <c r="P182" s="537"/>
      <c r="Q182" s="537"/>
      <c r="R182" s="537"/>
      <c r="S182" s="538" t="str">
        <f t="shared" ca="1" si="8"/>
        <v/>
      </c>
      <c r="T182" s="538" t="str">
        <f t="shared" ca="1" si="9"/>
        <v/>
      </c>
      <c r="U182" s="249"/>
      <c r="V182" s="249"/>
      <c r="W182" s="249"/>
      <c r="X182" s="249"/>
      <c r="Y182" s="249"/>
      <c r="Z182" s="249"/>
      <c r="AA182" s="249"/>
      <c r="AB182" s="249"/>
      <c r="AC182" s="249"/>
      <c r="AD182" s="249"/>
      <c r="AE182" s="249"/>
      <c r="AF182" s="249"/>
      <c r="AG182" s="249"/>
      <c r="AH182" s="249"/>
      <c r="AI182" s="249"/>
      <c r="AJ182" s="249"/>
      <c r="AK182" s="249"/>
      <c r="AL182" s="249"/>
      <c r="AM182" s="249"/>
      <c r="AN182" s="537"/>
      <c r="AO182" s="249" t="str">
        <f>IF(Z182="Yes",COUNTIF($Z$6:Z182,"Yes"),"")</f>
        <v/>
      </c>
      <c r="AP182" s="249" t="str">
        <f>IF(AA182="Yes",COUNTIF($AA$6:AA182,"Yes"),"")</f>
        <v/>
      </c>
      <c r="AQ182" s="249" t="str">
        <f>IF(AC182="Yes",COUNTIF($AC$6:AC182,"Yes"),"")</f>
        <v/>
      </c>
    </row>
    <row r="183" spans="1:43">
      <c r="A183" s="249"/>
      <c r="B183" s="249"/>
      <c r="C183" s="249"/>
      <c r="D183" s="249"/>
      <c r="E183" s="249"/>
      <c r="F183" s="249"/>
      <c r="G183" s="249"/>
      <c r="H183" s="249"/>
      <c r="I183" s="249"/>
      <c r="J183" s="249"/>
      <c r="K183" s="249"/>
      <c r="L183" s="249"/>
      <c r="M183" s="249"/>
      <c r="N183" s="249"/>
      <c r="O183" s="249"/>
      <c r="P183" s="537"/>
      <c r="Q183" s="537"/>
      <c r="R183" s="537"/>
      <c r="S183" s="538" t="str">
        <f t="shared" ca="1" si="8"/>
        <v/>
      </c>
      <c r="T183" s="538" t="str">
        <f t="shared" ca="1" si="9"/>
        <v/>
      </c>
      <c r="U183" s="249"/>
      <c r="V183" s="249"/>
      <c r="W183" s="249"/>
      <c r="X183" s="249"/>
      <c r="Y183" s="249"/>
      <c r="Z183" s="249"/>
      <c r="AA183" s="249"/>
      <c r="AB183" s="249"/>
      <c r="AC183" s="249"/>
      <c r="AD183" s="249"/>
      <c r="AE183" s="249"/>
      <c r="AF183" s="249"/>
      <c r="AG183" s="249"/>
      <c r="AH183" s="249"/>
      <c r="AI183" s="249"/>
      <c r="AJ183" s="249"/>
      <c r="AK183" s="249"/>
      <c r="AL183" s="249"/>
      <c r="AM183" s="249"/>
      <c r="AN183" s="537"/>
      <c r="AO183" s="249" t="str">
        <f>IF(Z183="Yes",COUNTIF($Z$6:Z183,"Yes"),"")</f>
        <v/>
      </c>
      <c r="AP183" s="249" t="str">
        <f>IF(AA183="Yes",COUNTIF($AA$6:AA183,"Yes"),"")</f>
        <v/>
      </c>
      <c r="AQ183" s="249" t="str">
        <f>IF(AC183="Yes",COUNTIF($AC$6:AC183,"Yes"),"")</f>
        <v/>
      </c>
    </row>
    <row r="184" spans="1:43">
      <c r="A184" s="249"/>
      <c r="B184" s="249"/>
      <c r="C184" s="249"/>
      <c r="D184" s="249"/>
      <c r="E184" s="249"/>
      <c r="F184" s="249"/>
      <c r="G184" s="249"/>
      <c r="H184" s="249"/>
      <c r="I184" s="249"/>
      <c r="J184" s="249"/>
      <c r="K184" s="249"/>
      <c r="L184" s="249"/>
      <c r="M184" s="249"/>
      <c r="N184" s="249"/>
      <c r="O184" s="249"/>
      <c r="P184" s="537"/>
      <c r="Q184" s="537"/>
      <c r="R184" s="537"/>
      <c r="S184" s="538" t="str">
        <f t="shared" ca="1" si="8"/>
        <v/>
      </c>
      <c r="T184" s="538" t="str">
        <f t="shared" ca="1" si="9"/>
        <v/>
      </c>
      <c r="U184" s="249"/>
      <c r="V184" s="249"/>
      <c r="W184" s="249"/>
      <c r="X184" s="249"/>
      <c r="Y184" s="249"/>
      <c r="Z184" s="249"/>
      <c r="AA184" s="249"/>
      <c r="AB184" s="249"/>
      <c r="AC184" s="249"/>
      <c r="AD184" s="249"/>
      <c r="AE184" s="249"/>
      <c r="AF184" s="249"/>
      <c r="AG184" s="249"/>
      <c r="AH184" s="249"/>
      <c r="AI184" s="249"/>
      <c r="AJ184" s="249"/>
      <c r="AK184" s="249"/>
      <c r="AL184" s="249"/>
      <c r="AM184" s="249"/>
      <c r="AN184" s="537"/>
      <c r="AO184" s="249" t="str">
        <f>IF(Z184="Yes",COUNTIF($Z$6:Z184,"Yes"),"")</f>
        <v/>
      </c>
      <c r="AP184" s="249" t="str">
        <f>IF(AA184="Yes",COUNTIF($AA$6:AA184,"Yes"),"")</f>
        <v/>
      </c>
      <c r="AQ184" s="249" t="str">
        <f>IF(AC184="Yes",COUNTIF($AC$6:AC184,"Yes"),"")</f>
        <v/>
      </c>
    </row>
    <row r="185" spans="1:43">
      <c r="A185" s="249"/>
      <c r="B185" s="249"/>
      <c r="C185" s="249"/>
      <c r="D185" s="249"/>
      <c r="E185" s="249"/>
      <c r="F185" s="249"/>
      <c r="G185" s="249"/>
      <c r="H185" s="249"/>
      <c r="I185" s="249"/>
      <c r="J185" s="249"/>
      <c r="K185" s="249"/>
      <c r="L185" s="249"/>
      <c r="M185" s="249"/>
      <c r="N185" s="249"/>
      <c r="O185" s="249"/>
      <c r="P185" s="537"/>
      <c r="Q185" s="537"/>
      <c r="R185" s="537"/>
      <c r="S185" s="538" t="str">
        <f t="shared" ca="1" si="8"/>
        <v/>
      </c>
      <c r="T185" s="538" t="str">
        <f t="shared" ca="1" si="9"/>
        <v/>
      </c>
      <c r="U185" s="249"/>
      <c r="V185" s="249"/>
      <c r="W185" s="249"/>
      <c r="X185" s="249"/>
      <c r="Y185" s="249"/>
      <c r="Z185" s="249"/>
      <c r="AA185" s="249"/>
      <c r="AB185" s="249"/>
      <c r="AC185" s="249"/>
      <c r="AD185" s="249"/>
      <c r="AE185" s="249"/>
      <c r="AF185" s="249"/>
      <c r="AG185" s="249"/>
      <c r="AH185" s="249"/>
      <c r="AI185" s="249"/>
      <c r="AJ185" s="249"/>
      <c r="AK185" s="249"/>
      <c r="AL185" s="249"/>
      <c r="AM185" s="249"/>
      <c r="AN185" s="537"/>
      <c r="AO185" s="249" t="str">
        <f>IF(Z185="Yes",COUNTIF($Z$6:Z185,"Yes"),"")</f>
        <v/>
      </c>
      <c r="AP185" s="249" t="str">
        <f>IF(AA185="Yes",COUNTIF($AA$6:AA185,"Yes"),"")</f>
        <v/>
      </c>
      <c r="AQ185" s="249" t="str">
        <f>IF(AC185="Yes",COUNTIF($AC$6:AC185,"Yes"),"")</f>
        <v/>
      </c>
    </row>
    <row r="186" spans="1:43">
      <c r="A186" s="249"/>
      <c r="B186" s="249"/>
      <c r="C186" s="249"/>
      <c r="D186" s="249"/>
      <c r="E186" s="249"/>
      <c r="F186" s="249"/>
      <c r="G186" s="249"/>
      <c r="H186" s="249"/>
      <c r="I186" s="249"/>
      <c r="J186" s="249"/>
      <c r="K186" s="249"/>
      <c r="L186" s="249"/>
      <c r="M186" s="249"/>
      <c r="N186" s="249"/>
      <c r="O186" s="249"/>
      <c r="P186" s="537"/>
      <c r="Q186" s="537"/>
      <c r="R186" s="537"/>
      <c r="S186" s="538" t="str">
        <f t="shared" ca="1" si="8"/>
        <v/>
      </c>
      <c r="T186" s="538" t="str">
        <f t="shared" ca="1" si="9"/>
        <v/>
      </c>
      <c r="U186" s="249"/>
      <c r="V186" s="249"/>
      <c r="W186" s="249"/>
      <c r="X186" s="249"/>
      <c r="Y186" s="249"/>
      <c r="Z186" s="249"/>
      <c r="AA186" s="249"/>
      <c r="AB186" s="249"/>
      <c r="AC186" s="249"/>
      <c r="AD186" s="249"/>
      <c r="AE186" s="249"/>
      <c r="AF186" s="249"/>
      <c r="AG186" s="249"/>
      <c r="AH186" s="249"/>
      <c r="AI186" s="249"/>
      <c r="AJ186" s="249"/>
      <c r="AK186" s="249"/>
      <c r="AL186" s="249"/>
      <c r="AM186" s="249"/>
      <c r="AN186" s="537"/>
      <c r="AO186" s="249" t="str">
        <f>IF(Z186="Yes",COUNTIF($Z$6:Z186,"Yes"),"")</f>
        <v/>
      </c>
      <c r="AP186" s="249" t="str">
        <f>IF(AA186="Yes",COUNTIF($AA$6:AA186,"Yes"),"")</f>
        <v/>
      </c>
      <c r="AQ186" s="249" t="str">
        <f>IF(AC186="Yes",COUNTIF($AC$6:AC186,"Yes"),"")</f>
        <v/>
      </c>
    </row>
    <row r="187" spans="1:43">
      <c r="A187" s="249"/>
      <c r="B187" s="249"/>
      <c r="C187" s="249"/>
      <c r="D187" s="249"/>
      <c r="E187" s="249"/>
      <c r="F187" s="249"/>
      <c r="G187" s="249"/>
      <c r="H187" s="249"/>
      <c r="I187" s="249"/>
      <c r="J187" s="249"/>
      <c r="K187" s="249"/>
      <c r="L187" s="249"/>
      <c r="M187" s="249"/>
      <c r="N187" s="249"/>
      <c r="O187" s="249"/>
      <c r="P187" s="537"/>
      <c r="Q187" s="537"/>
      <c r="R187" s="537"/>
      <c r="S187" s="538" t="str">
        <f t="shared" ca="1" si="8"/>
        <v/>
      </c>
      <c r="T187" s="538" t="str">
        <f t="shared" ca="1" si="9"/>
        <v/>
      </c>
      <c r="U187" s="249"/>
      <c r="V187" s="249"/>
      <c r="W187" s="249"/>
      <c r="X187" s="249"/>
      <c r="Y187" s="249"/>
      <c r="Z187" s="249"/>
      <c r="AA187" s="249"/>
      <c r="AB187" s="249"/>
      <c r="AC187" s="249"/>
      <c r="AD187" s="249"/>
      <c r="AE187" s="249"/>
      <c r="AF187" s="249"/>
      <c r="AG187" s="249"/>
      <c r="AH187" s="249"/>
      <c r="AI187" s="249"/>
      <c r="AJ187" s="249"/>
      <c r="AK187" s="249"/>
      <c r="AL187" s="249"/>
      <c r="AM187" s="249"/>
      <c r="AN187" s="537"/>
      <c r="AO187" s="249" t="str">
        <f>IF(Z187="Yes",COUNTIF($Z$6:Z187,"Yes"),"")</f>
        <v/>
      </c>
      <c r="AP187" s="249" t="str">
        <f>IF(AA187="Yes",COUNTIF($AA$6:AA187,"Yes"),"")</f>
        <v/>
      </c>
      <c r="AQ187" s="249" t="str">
        <f>IF(AC187="Yes",COUNTIF($AC$6:AC187,"Yes"),"")</f>
        <v/>
      </c>
    </row>
    <row r="188" spans="1:43">
      <c r="A188" s="249"/>
      <c r="B188" s="249"/>
      <c r="C188" s="249"/>
      <c r="D188" s="249"/>
      <c r="E188" s="249"/>
      <c r="F188" s="249"/>
      <c r="G188" s="249"/>
      <c r="H188" s="249"/>
      <c r="I188" s="249"/>
      <c r="J188" s="249"/>
      <c r="K188" s="249"/>
      <c r="L188" s="249"/>
      <c r="M188" s="249"/>
      <c r="N188" s="249"/>
      <c r="O188" s="249"/>
      <c r="P188" s="537"/>
      <c r="Q188" s="537"/>
      <c r="R188" s="537"/>
      <c r="S188" s="538" t="str">
        <f t="shared" ca="1" si="8"/>
        <v/>
      </c>
      <c r="T188" s="538" t="str">
        <f t="shared" ca="1" si="9"/>
        <v/>
      </c>
      <c r="U188" s="249"/>
      <c r="V188" s="249"/>
      <c r="W188" s="249"/>
      <c r="X188" s="249"/>
      <c r="Y188" s="249"/>
      <c r="Z188" s="249"/>
      <c r="AA188" s="249"/>
      <c r="AB188" s="249"/>
      <c r="AC188" s="249"/>
      <c r="AD188" s="249"/>
      <c r="AE188" s="249"/>
      <c r="AF188" s="249"/>
      <c r="AG188" s="249"/>
      <c r="AH188" s="249"/>
      <c r="AI188" s="249"/>
      <c r="AJ188" s="249"/>
      <c r="AK188" s="249"/>
      <c r="AL188" s="249"/>
      <c r="AM188" s="249"/>
      <c r="AN188" s="537"/>
      <c r="AO188" s="249" t="str">
        <f>IF(Z188="Yes",COUNTIF($Z$6:Z188,"Yes"),"")</f>
        <v/>
      </c>
      <c r="AP188" s="249" t="str">
        <f>IF(AA188="Yes",COUNTIF($AA$6:AA188,"Yes"),"")</f>
        <v/>
      </c>
      <c r="AQ188" s="249" t="str">
        <f>IF(AC188="Yes",COUNTIF($AC$6:AC188,"Yes"),"")</f>
        <v/>
      </c>
    </row>
    <row r="189" spans="1:43">
      <c r="A189" s="249"/>
      <c r="B189" s="249"/>
      <c r="C189" s="249"/>
      <c r="D189" s="249"/>
      <c r="E189" s="249"/>
      <c r="F189" s="249"/>
      <c r="G189" s="249"/>
      <c r="H189" s="249"/>
      <c r="I189" s="249"/>
      <c r="J189" s="249"/>
      <c r="K189" s="249"/>
      <c r="L189" s="249"/>
      <c r="M189" s="249"/>
      <c r="N189" s="249"/>
      <c r="O189" s="249"/>
      <c r="P189" s="537"/>
      <c r="Q189" s="537"/>
      <c r="R189" s="537"/>
      <c r="S189" s="538" t="str">
        <f t="shared" ca="1" si="8"/>
        <v/>
      </c>
      <c r="T189" s="538" t="str">
        <f t="shared" ca="1" si="9"/>
        <v/>
      </c>
      <c r="U189" s="249"/>
      <c r="V189" s="249"/>
      <c r="W189" s="249"/>
      <c r="X189" s="249"/>
      <c r="Y189" s="249"/>
      <c r="Z189" s="249"/>
      <c r="AA189" s="249"/>
      <c r="AB189" s="249"/>
      <c r="AC189" s="249"/>
      <c r="AD189" s="249"/>
      <c r="AE189" s="249"/>
      <c r="AF189" s="249"/>
      <c r="AG189" s="249"/>
      <c r="AH189" s="249"/>
      <c r="AI189" s="249"/>
      <c r="AJ189" s="249"/>
      <c r="AK189" s="249"/>
      <c r="AL189" s="249"/>
      <c r="AM189" s="249"/>
      <c r="AN189" s="537"/>
      <c r="AO189" s="249" t="str">
        <f>IF(Z189="Yes",COUNTIF($Z$6:Z189,"Yes"),"")</f>
        <v/>
      </c>
      <c r="AP189" s="249" t="str">
        <f>IF(AA189="Yes",COUNTIF($AA$6:AA189,"Yes"),"")</f>
        <v/>
      </c>
      <c r="AQ189" s="249" t="str">
        <f>IF(AC189="Yes",COUNTIF($AC$6:AC189,"Yes"),"")</f>
        <v/>
      </c>
    </row>
    <row r="190" spans="1:43">
      <c r="A190" s="249"/>
      <c r="B190" s="249"/>
      <c r="C190" s="249"/>
      <c r="D190" s="249"/>
      <c r="E190" s="249"/>
      <c r="F190" s="249"/>
      <c r="G190" s="249"/>
      <c r="H190" s="249"/>
      <c r="I190" s="249"/>
      <c r="J190" s="249"/>
      <c r="K190" s="249"/>
      <c r="L190" s="249"/>
      <c r="M190" s="249"/>
      <c r="N190" s="249"/>
      <c r="O190" s="249"/>
      <c r="P190" s="537"/>
      <c r="Q190" s="537"/>
      <c r="R190" s="537"/>
      <c r="S190" s="538" t="str">
        <f t="shared" ca="1" si="8"/>
        <v/>
      </c>
      <c r="T190" s="538" t="str">
        <f t="shared" ca="1" si="9"/>
        <v/>
      </c>
      <c r="U190" s="249"/>
      <c r="V190" s="249"/>
      <c r="W190" s="249"/>
      <c r="X190" s="249"/>
      <c r="Y190" s="249"/>
      <c r="Z190" s="249"/>
      <c r="AA190" s="249"/>
      <c r="AB190" s="249"/>
      <c r="AC190" s="249"/>
      <c r="AD190" s="249"/>
      <c r="AE190" s="249"/>
      <c r="AF190" s="249"/>
      <c r="AG190" s="249"/>
      <c r="AH190" s="249"/>
      <c r="AI190" s="249"/>
      <c r="AJ190" s="249"/>
      <c r="AK190" s="249"/>
      <c r="AL190" s="249"/>
      <c r="AM190" s="249"/>
      <c r="AN190" s="537"/>
      <c r="AO190" s="249" t="str">
        <f>IF(Z190="Yes",COUNTIF($Z$6:Z190,"Yes"),"")</f>
        <v/>
      </c>
      <c r="AP190" s="249" t="str">
        <f>IF(AA190="Yes",COUNTIF($AA$6:AA190,"Yes"),"")</f>
        <v/>
      </c>
      <c r="AQ190" s="249" t="str">
        <f>IF(AC190="Yes",COUNTIF($AC$6:AC190,"Yes"),"")</f>
        <v/>
      </c>
    </row>
    <row r="191" spans="1:43">
      <c r="A191" s="249"/>
      <c r="B191" s="249"/>
      <c r="C191" s="249"/>
      <c r="D191" s="249"/>
      <c r="E191" s="249"/>
      <c r="F191" s="249"/>
      <c r="G191" s="249"/>
      <c r="H191" s="249"/>
      <c r="I191" s="249"/>
      <c r="J191" s="249"/>
      <c r="K191" s="249"/>
      <c r="L191" s="249"/>
      <c r="M191" s="249"/>
      <c r="N191" s="249"/>
      <c r="O191" s="249"/>
      <c r="P191" s="537"/>
      <c r="Q191" s="537"/>
      <c r="R191" s="537"/>
      <c r="S191" s="538" t="str">
        <f t="shared" ca="1" si="8"/>
        <v/>
      </c>
      <c r="T191" s="538" t="str">
        <f t="shared" ca="1" si="9"/>
        <v/>
      </c>
      <c r="U191" s="249"/>
      <c r="V191" s="249"/>
      <c r="W191" s="249"/>
      <c r="X191" s="249"/>
      <c r="Y191" s="249"/>
      <c r="Z191" s="249"/>
      <c r="AA191" s="249"/>
      <c r="AB191" s="249"/>
      <c r="AC191" s="249"/>
      <c r="AD191" s="249"/>
      <c r="AE191" s="249"/>
      <c r="AF191" s="249"/>
      <c r="AG191" s="249"/>
      <c r="AH191" s="249"/>
      <c r="AI191" s="249"/>
      <c r="AJ191" s="249"/>
      <c r="AK191" s="249"/>
      <c r="AL191" s="249"/>
      <c r="AM191" s="249"/>
      <c r="AN191" s="537"/>
      <c r="AO191" s="249" t="str">
        <f>IF(Z191="Yes",COUNTIF($Z$6:Z191,"Yes"),"")</f>
        <v/>
      </c>
      <c r="AP191" s="249" t="str">
        <f>IF(AA191="Yes",COUNTIF($AA$6:AA191,"Yes"),"")</f>
        <v/>
      </c>
      <c r="AQ191" s="249" t="str">
        <f>IF(AC191="Yes",COUNTIF($AC$6:AC191,"Yes"),"")</f>
        <v/>
      </c>
    </row>
    <row r="192" spans="1:43">
      <c r="A192" s="249"/>
      <c r="B192" s="249"/>
      <c r="C192" s="249"/>
      <c r="D192" s="249"/>
      <c r="E192" s="249"/>
      <c r="F192" s="249"/>
      <c r="G192" s="249"/>
      <c r="H192" s="249"/>
      <c r="I192" s="249"/>
      <c r="J192" s="249"/>
      <c r="K192" s="249"/>
      <c r="L192" s="249"/>
      <c r="M192" s="249"/>
      <c r="N192" s="249"/>
      <c r="O192" s="249"/>
      <c r="P192" s="537"/>
      <c r="Q192" s="537"/>
      <c r="R192" s="537"/>
      <c r="S192" s="538" t="str">
        <f t="shared" ca="1" si="8"/>
        <v/>
      </c>
      <c r="T192" s="538" t="str">
        <f t="shared" ca="1" si="9"/>
        <v/>
      </c>
      <c r="U192" s="249"/>
      <c r="V192" s="249"/>
      <c r="W192" s="249"/>
      <c r="X192" s="249"/>
      <c r="Y192" s="249"/>
      <c r="Z192" s="249"/>
      <c r="AA192" s="249"/>
      <c r="AB192" s="249"/>
      <c r="AC192" s="249"/>
      <c r="AD192" s="249"/>
      <c r="AE192" s="249"/>
      <c r="AF192" s="249"/>
      <c r="AG192" s="249"/>
      <c r="AH192" s="249"/>
      <c r="AI192" s="249"/>
      <c r="AJ192" s="249"/>
      <c r="AK192" s="249"/>
      <c r="AL192" s="249"/>
      <c r="AM192" s="249"/>
      <c r="AN192" s="537"/>
      <c r="AO192" s="249" t="str">
        <f>IF(Z192="Yes",COUNTIF($Z$6:Z192,"Yes"),"")</f>
        <v/>
      </c>
      <c r="AP192" s="249" t="str">
        <f>IF(AA192="Yes",COUNTIF($AA$6:AA192,"Yes"),"")</f>
        <v/>
      </c>
      <c r="AQ192" s="249" t="str">
        <f>IF(AC192="Yes",COUNTIF($AC$6:AC192,"Yes"),"")</f>
        <v/>
      </c>
    </row>
    <row r="193" spans="1:43">
      <c r="A193" s="249"/>
      <c r="B193" s="249"/>
      <c r="C193" s="249"/>
      <c r="D193" s="249"/>
      <c r="E193" s="249"/>
      <c r="F193" s="249"/>
      <c r="G193" s="249"/>
      <c r="H193" s="249"/>
      <c r="I193" s="249"/>
      <c r="J193" s="249"/>
      <c r="K193" s="249"/>
      <c r="L193" s="249"/>
      <c r="M193" s="249"/>
      <c r="N193" s="249"/>
      <c r="O193" s="249"/>
      <c r="P193" s="537"/>
      <c r="Q193" s="537"/>
      <c r="R193" s="537"/>
      <c r="S193" s="538" t="str">
        <f t="shared" ca="1" si="8"/>
        <v/>
      </c>
      <c r="T193" s="538" t="str">
        <f t="shared" ca="1" si="9"/>
        <v/>
      </c>
      <c r="U193" s="249"/>
      <c r="V193" s="249"/>
      <c r="W193" s="249"/>
      <c r="X193" s="249"/>
      <c r="Y193" s="249"/>
      <c r="Z193" s="249"/>
      <c r="AA193" s="249"/>
      <c r="AB193" s="249"/>
      <c r="AC193" s="249"/>
      <c r="AD193" s="249"/>
      <c r="AE193" s="249"/>
      <c r="AF193" s="249"/>
      <c r="AG193" s="249"/>
      <c r="AH193" s="249"/>
      <c r="AI193" s="249"/>
      <c r="AJ193" s="249"/>
      <c r="AK193" s="249"/>
      <c r="AL193" s="249"/>
      <c r="AM193" s="249"/>
      <c r="AN193" s="537"/>
      <c r="AO193" s="249" t="str">
        <f>IF(Z193="Yes",COUNTIF($Z$6:Z193,"Yes"),"")</f>
        <v/>
      </c>
      <c r="AP193" s="249" t="str">
        <f>IF(AA193="Yes",COUNTIF($AA$6:AA193,"Yes"),"")</f>
        <v/>
      </c>
      <c r="AQ193" s="249" t="str">
        <f>IF(AC193="Yes",COUNTIF($AC$6:AC193,"Yes"),"")</f>
        <v/>
      </c>
    </row>
    <row r="194" spans="1:43">
      <c r="A194" s="249"/>
      <c r="B194" s="249"/>
      <c r="C194" s="249"/>
      <c r="D194" s="249"/>
      <c r="E194" s="249"/>
      <c r="F194" s="249"/>
      <c r="G194" s="249"/>
      <c r="H194" s="249"/>
      <c r="I194" s="249"/>
      <c r="J194" s="249"/>
      <c r="K194" s="249"/>
      <c r="L194" s="249"/>
      <c r="M194" s="249"/>
      <c r="N194" s="249"/>
      <c r="O194" s="249"/>
      <c r="P194" s="537"/>
      <c r="Q194" s="537"/>
      <c r="R194" s="537"/>
      <c r="S194" s="538" t="str">
        <f t="shared" ca="1" si="8"/>
        <v/>
      </c>
      <c r="T194" s="538" t="str">
        <f t="shared" ca="1" si="9"/>
        <v/>
      </c>
      <c r="U194" s="249"/>
      <c r="V194" s="249"/>
      <c r="W194" s="249"/>
      <c r="X194" s="249"/>
      <c r="Y194" s="249"/>
      <c r="Z194" s="249"/>
      <c r="AA194" s="249"/>
      <c r="AB194" s="249"/>
      <c r="AC194" s="249"/>
      <c r="AD194" s="249"/>
      <c r="AE194" s="249"/>
      <c r="AF194" s="249"/>
      <c r="AG194" s="249"/>
      <c r="AH194" s="249"/>
      <c r="AI194" s="249"/>
      <c r="AJ194" s="249"/>
      <c r="AK194" s="249"/>
      <c r="AL194" s="249"/>
      <c r="AM194" s="249"/>
      <c r="AN194" s="537"/>
      <c r="AO194" s="249" t="str">
        <f>IF(Z194="Yes",COUNTIF($Z$6:Z194,"Yes"),"")</f>
        <v/>
      </c>
      <c r="AP194" s="249" t="str">
        <f>IF(AA194="Yes",COUNTIF($AA$6:AA194,"Yes"),"")</f>
        <v/>
      </c>
      <c r="AQ194" s="249" t="str">
        <f>IF(AC194="Yes",COUNTIF($AC$6:AC194,"Yes"),"")</f>
        <v/>
      </c>
    </row>
    <row r="195" spans="1:43">
      <c r="A195" s="249"/>
      <c r="B195" s="249"/>
      <c r="C195" s="249"/>
      <c r="D195" s="249"/>
      <c r="E195" s="249"/>
      <c r="F195" s="249"/>
      <c r="G195" s="249"/>
      <c r="H195" s="249"/>
      <c r="I195" s="249"/>
      <c r="J195" s="249"/>
      <c r="K195" s="249"/>
      <c r="L195" s="249"/>
      <c r="M195" s="249"/>
      <c r="N195" s="249"/>
      <c r="O195" s="249"/>
      <c r="P195" s="537"/>
      <c r="Q195" s="537"/>
      <c r="R195" s="537"/>
      <c r="S195" s="538" t="str">
        <f t="shared" ca="1" si="8"/>
        <v/>
      </c>
      <c r="T195" s="538" t="str">
        <f t="shared" ca="1" si="9"/>
        <v/>
      </c>
      <c r="U195" s="249"/>
      <c r="V195" s="249"/>
      <c r="W195" s="249"/>
      <c r="X195" s="249"/>
      <c r="Y195" s="249"/>
      <c r="Z195" s="249"/>
      <c r="AA195" s="249"/>
      <c r="AB195" s="249"/>
      <c r="AC195" s="249"/>
      <c r="AD195" s="249"/>
      <c r="AE195" s="249"/>
      <c r="AF195" s="249"/>
      <c r="AG195" s="249"/>
      <c r="AH195" s="249"/>
      <c r="AI195" s="249"/>
      <c r="AJ195" s="249"/>
      <c r="AK195" s="249"/>
      <c r="AL195" s="249"/>
      <c r="AM195" s="249"/>
      <c r="AN195" s="537"/>
      <c r="AO195" s="249" t="str">
        <f>IF(Z195="Yes",COUNTIF($Z$6:Z195,"Yes"),"")</f>
        <v/>
      </c>
      <c r="AP195" s="249" t="str">
        <f>IF(AA195="Yes",COUNTIF($AA$6:AA195,"Yes"),"")</f>
        <v/>
      </c>
      <c r="AQ195" s="249" t="str">
        <f>IF(AC195="Yes",COUNTIF($AC$6:AC195,"Yes"),"")</f>
        <v/>
      </c>
    </row>
    <row r="196" spans="1:43">
      <c r="A196" s="249"/>
      <c r="B196" s="249"/>
      <c r="C196" s="249"/>
      <c r="D196" s="249"/>
      <c r="E196" s="249"/>
      <c r="F196" s="249"/>
      <c r="G196" s="249"/>
      <c r="H196" s="249"/>
      <c r="I196" s="249"/>
      <c r="J196" s="249"/>
      <c r="K196" s="249"/>
      <c r="L196" s="249"/>
      <c r="M196" s="249"/>
      <c r="N196" s="249"/>
      <c r="O196" s="249"/>
      <c r="P196" s="537"/>
      <c r="Q196" s="537"/>
      <c r="R196" s="537"/>
      <c r="S196" s="538" t="str">
        <f t="shared" ca="1" si="8"/>
        <v/>
      </c>
      <c r="T196" s="538" t="str">
        <f t="shared" ca="1" si="9"/>
        <v/>
      </c>
      <c r="U196" s="249"/>
      <c r="V196" s="249"/>
      <c r="W196" s="249"/>
      <c r="X196" s="249"/>
      <c r="Y196" s="249"/>
      <c r="Z196" s="249"/>
      <c r="AA196" s="249"/>
      <c r="AB196" s="249"/>
      <c r="AC196" s="249"/>
      <c r="AD196" s="249"/>
      <c r="AE196" s="249"/>
      <c r="AF196" s="249"/>
      <c r="AG196" s="249"/>
      <c r="AH196" s="249"/>
      <c r="AI196" s="249"/>
      <c r="AJ196" s="249"/>
      <c r="AK196" s="249"/>
      <c r="AL196" s="249"/>
      <c r="AM196" s="249"/>
      <c r="AN196" s="537"/>
      <c r="AO196" s="249" t="str">
        <f>IF(Z196="Yes",COUNTIF($Z$6:Z196,"Yes"),"")</f>
        <v/>
      </c>
      <c r="AP196" s="249" t="str">
        <f>IF(AA196="Yes",COUNTIF($AA$6:AA196,"Yes"),"")</f>
        <v/>
      </c>
      <c r="AQ196" s="249" t="str">
        <f>IF(AC196="Yes",COUNTIF($AC$6:AC196,"Yes"),"")</f>
        <v/>
      </c>
    </row>
    <row r="197" spans="1:43">
      <c r="A197" s="249"/>
      <c r="B197" s="249"/>
      <c r="C197" s="249"/>
      <c r="D197" s="249"/>
      <c r="E197" s="249"/>
      <c r="F197" s="249"/>
      <c r="G197" s="249"/>
      <c r="H197" s="249"/>
      <c r="I197" s="249"/>
      <c r="J197" s="249"/>
      <c r="K197" s="249"/>
      <c r="L197" s="249"/>
      <c r="M197" s="249"/>
      <c r="N197" s="249"/>
      <c r="O197" s="249"/>
      <c r="P197" s="537"/>
      <c r="Q197" s="537"/>
      <c r="R197" s="537"/>
      <c r="S197" s="538" t="str">
        <f t="shared" ca="1" si="8"/>
        <v/>
      </c>
      <c r="T197" s="538" t="str">
        <f t="shared" ca="1" si="9"/>
        <v/>
      </c>
      <c r="U197" s="249"/>
      <c r="V197" s="249"/>
      <c r="W197" s="249"/>
      <c r="X197" s="249"/>
      <c r="Y197" s="249"/>
      <c r="Z197" s="249"/>
      <c r="AA197" s="249"/>
      <c r="AB197" s="249"/>
      <c r="AC197" s="249"/>
      <c r="AD197" s="249"/>
      <c r="AE197" s="249"/>
      <c r="AF197" s="249"/>
      <c r="AG197" s="249"/>
      <c r="AH197" s="249"/>
      <c r="AI197" s="249"/>
      <c r="AJ197" s="249"/>
      <c r="AK197" s="249"/>
      <c r="AL197" s="249"/>
      <c r="AM197" s="249"/>
      <c r="AN197" s="537"/>
      <c r="AO197" s="249" t="str">
        <f>IF(Z197="Yes",COUNTIF($Z$6:Z197,"Yes"),"")</f>
        <v/>
      </c>
      <c r="AP197" s="249" t="str">
        <f>IF(AA197="Yes",COUNTIF($AA$6:AA197,"Yes"),"")</f>
        <v/>
      </c>
      <c r="AQ197" s="249" t="str">
        <f>IF(AC197="Yes",COUNTIF($AC$6:AC197,"Yes"),"")</f>
        <v/>
      </c>
    </row>
    <row r="198" spans="1:43">
      <c r="A198" s="249"/>
      <c r="B198" s="249"/>
      <c r="C198" s="249"/>
      <c r="D198" s="249"/>
      <c r="E198" s="249"/>
      <c r="F198" s="249"/>
      <c r="G198" s="249"/>
      <c r="H198" s="249"/>
      <c r="I198" s="249"/>
      <c r="J198" s="249"/>
      <c r="K198" s="249"/>
      <c r="L198" s="249"/>
      <c r="M198" s="249"/>
      <c r="N198" s="249"/>
      <c r="O198" s="249"/>
      <c r="P198" s="537"/>
      <c r="Q198" s="537"/>
      <c r="R198" s="537"/>
      <c r="S198" s="538" t="str">
        <f t="shared" ref="S198:S261" ca="1" si="10">IF(P198="","",IF(R198&lt;&gt;"",R198-P198,TODAY()-P198))</f>
        <v/>
      </c>
      <c r="T198" s="538" t="str">
        <f t="shared" ref="T198:T261" ca="1" si="11">IF(Q198="","",Q198-TODAY())</f>
        <v/>
      </c>
      <c r="U198" s="249"/>
      <c r="V198" s="249"/>
      <c r="W198" s="249"/>
      <c r="X198" s="249"/>
      <c r="Y198" s="249"/>
      <c r="Z198" s="249"/>
      <c r="AA198" s="249"/>
      <c r="AB198" s="249"/>
      <c r="AC198" s="249"/>
      <c r="AD198" s="249"/>
      <c r="AE198" s="249"/>
      <c r="AF198" s="249"/>
      <c r="AG198" s="249"/>
      <c r="AH198" s="249"/>
      <c r="AI198" s="249"/>
      <c r="AJ198" s="249"/>
      <c r="AK198" s="249"/>
      <c r="AL198" s="249"/>
      <c r="AM198" s="249"/>
      <c r="AN198" s="537"/>
      <c r="AO198" s="249" t="str">
        <f>IF(Z198="Yes",COUNTIF($Z$6:Z198,"Yes"),"")</f>
        <v/>
      </c>
      <c r="AP198" s="249" t="str">
        <f>IF(AA198="Yes",COUNTIF($AA$6:AA198,"Yes"),"")</f>
        <v/>
      </c>
      <c r="AQ198" s="249" t="str">
        <f>IF(AC198="Yes",COUNTIF($AC$6:AC198,"Yes"),"")</f>
        <v/>
      </c>
    </row>
    <row r="199" spans="1:43">
      <c r="A199" s="249"/>
      <c r="B199" s="249"/>
      <c r="C199" s="249"/>
      <c r="D199" s="249"/>
      <c r="E199" s="249"/>
      <c r="F199" s="249"/>
      <c r="G199" s="249"/>
      <c r="H199" s="249"/>
      <c r="I199" s="249"/>
      <c r="J199" s="249"/>
      <c r="K199" s="249"/>
      <c r="L199" s="249"/>
      <c r="M199" s="249"/>
      <c r="N199" s="249"/>
      <c r="O199" s="249"/>
      <c r="P199" s="537"/>
      <c r="Q199" s="537"/>
      <c r="R199" s="537"/>
      <c r="S199" s="538" t="str">
        <f t="shared" ca="1" si="10"/>
        <v/>
      </c>
      <c r="T199" s="538" t="str">
        <f t="shared" ca="1" si="11"/>
        <v/>
      </c>
      <c r="U199" s="249"/>
      <c r="V199" s="249"/>
      <c r="W199" s="249"/>
      <c r="X199" s="249"/>
      <c r="Y199" s="249"/>
      <c r="Z199" s="249"/>
      <c r="AA199" s="249"/>
      <c r="AB199" s="249"/>
      <c r="AC199" s="249"/>
      <c r="AD199" s="249"/>
      <c r="AE199" s="249"/>
      <c r="AF199" s="249"/>
      <c r="AG199" s="249"/>
      <c r="AH199" s="249"/>
      <c r="AI199" s="249"/>
      <c r="AJ199" s="249"/>
      <c r="AK199" s="249"/>
      <c r="AL199" s="249"/>
      <c r="AM199" s="249"/>
      <c r="AN199" s="537"/>
      <c r="AO199" s="249" t="str">
        <f>IF(Z199="Yes",COUNTIF($Z$6:Z199,"Yes"),"")</f>
        <v/>
      </c>
      <c r="AP199" s="249" t="str">
        <f>IF(AA199="Yes",COUNTIF($AA$6:AA199,"Yes"),"")</f>
        <v/>
      </c>
      <c r="AQ199" s="249" t="str">
        <f>IF(AC199="Yes",COUNTIF($AC$6:AC199,"Yes"),"")</f>
        <v/>
      </c>
    </row>
    <row r="200" spans="1:43">
      <c r="A200" s="249"/>
      <c r="B200" s="249"/>
      <c r="C200" s="249"/>
      <c r="D200" s="249"/>
      <c r="E200" s="249"/>
      <c r="F200" s="249"/>
      <c r="G200" s="249"/>
      <c r="H200" s="249"/>
      <c r="I200" s="249"/>
      <c r="J200" s="249"/>
      <c r="K200" s="249"/>
      <c r="L200" s="249"/>
      <c r="M200" s="249"/>
      <c r="N200" s="249"/>
      <c r="O200" s="249"/>
      <c r="P200" s="537"/>
      <c r="Q200" s="537"/>
      <c r="R200" s="537"/>
      <c r="S200" s="538" t="str">
        <f t="shared" ca="1" si="10"/>
        <v/>
      </c>
      <c r="T200" s="538" t="str">
        <f t="shared" ca="1" si="11"/>
        <v/>
      </c>
      <c r="U200" s="249"/>
      <c r="V200" s="249"/>
      <c r="W200" s="249"/>
      <c r="X200" s="249"/>
      <c r="Y200" s="249"/>
      <c r="Z200" s="249"/>
      <c r="AA200" s="249"/>
      <c r="AB200" s="249"/>
      <c r="AC200" s="249"/>
      <c r="AD200" s="249"/>
      <c r="AE200" s="249"/>
      <c r="AF200" s="249"/>
      <c r="AG200" s="249"/>
      <c r="AH200" s="249"/>
      <c r="AI200" s="249"/>
      <c r="AJ200" s="249"/>
      <c r="AK200" s="249"/>
      <c r="AL200" s="249"/>
      <c r="AM200" s="249"/>
      <c r="AN200" s="537"/>
      <c r="AO200" s="249" t="str">
        <f>IF(Z200="Yes",COUNTIF($Z$6:Z200,"Yes"),"")</f>
        <v/>
      </c>
      <c r="AP200" s="249" t="str">
        <f>IF(AA200="Yes",COUNTIF($AA$6:AA200,"Yes"),"")</f>
        <v/>
      </c>
      <c r="AQ200" s="249" t="str">
        <f>IF(AC200="Yes",COUNTIF($AC$6:AC200,"Yes"),"")</f>
        <v/>
      </c>
    </row>
    <row r="201" spans="1:43">
      <c r="A201" s="249"/>
      <c r="B201" s="249"/>
      <c r="C201" s="249"/>
      <c r="D201" s="249"/>
      <c r="E201" s="249"/>
      <c r="F201" s="249"/>
      <c r="G201" s="249"/>
      <c r="H201" s="249"/>
      <c r="I201" s="249"/>
      <c r="J201" s="249"/>
      <c r="K201" s="249"/>
      <c r="L201" s="249"/>
      <c r="M201" s="249"/>
      <c r="N201" s="249"/>
      <c r="O201" s="249"/>
      <c r="P201" s="537"/>
      <c r="Q201" s="537"/>
      <c r="R201" s="537"/>
      <c r="S201" s="538" t="str">
        <f t="shared" ca="1" si="10"/>
        <v/>
      </c>
      <c r="T201" s="538" t="str">
        <f t="shared" ca="1" si="11"/>
        <v/>
      </c>
      <c r="U201" s="249"/>
      <c r="V201" s="249"/>
      <c r="W201" s="249"/>
      <c r="X201" s="249"/>
      <c r="Y201" s="249"/>
      <c r="Z201" s="249"/>
      <c r="AA201" s="249"/>
      <c r="AB201" s="249"/>
      <c r="AC201" s="249"/>
      <c r="AD201" s="249"/>
      <c r="AE201" s="249"/>
      <c r="AF201" s="249"/>
      <c r="AG201" s="249"/>
      <c r="AH201" s="249"/>
      <c r="AI201" s="249"/>
      <c r="AJ201" s="249"/>
      <c r="AK201" s="249"/>
      <c r="AL201" s="249"/>
      <c r="AM201" s="249"/>
      <c r="AN201" s="537"/>
      <c r="AO201" s="249" t="str">
        <f>IF(Z201="Yes",COUNTIF($Z$6:Z201,"Yes"),"")</f>
        <v/>
      </c>
      <c r="AP201" s="249" t="str">
        <f>IF(AA201="Yes",COUNTIF($AA$6:AA201,"Yes"),"")</f>
        <v/>
      </c>
      <c r="AQ201" s="249" t="str">
        <f>IF(AC201="Yes",COUNTIF($AC$6:AC201,"Yes"),"")</f>
        <v/>
      </c>
    </row>
    <row r="202" spans="1:43">
      <c r="A202" s="249"/>
      <c r="B202" s="249"/>
      <c r="C202" s="249"/>
      <c r="D202" s="249"/>
      <c r="E202" s="249"/>
      <c r="F202" s="249"/>
      <c r="G202" s="249"/>
      <c r="H202" s="249"/>
      <c r="I202" s="249"/>
      <c r="J202" s="249"/>
      <c r="K202" s="249"/>
      <c r="L202" s="249"/>
      <c r="M202" s="249"/>
      <c r="N202" s="249"/>
      <c r="O202" s="249"/>
      <c r="P202" s="537"/>
      <c r="Q202" s="537"/>
      <c r="R202" s="537"/>
      <c r="S202" s="538" t="str">
        <f t="shared" ca="1" si="10"/>
        <v/>
      </c>
      <c r="T202" s="538" t="str">
        <f t="shared" ca="1" si="11"/>
        <v/>
      </c>
      <c r="U202" s="249"/>
      <c r="V202" s="249"/>
      <c r="W202" s="249"/>
      <c r="X202" s="249"/>
      <c r="Y202" s="249"/>
      <c r="Z202" s="249"/>
      <c r="AA202" s="249"/>
      <c r="AB202" s="249"/>
      <c r="AC202" s="249"/>
      <c r="AD202" s="249"/>
      <c r="AE202" s="249"/>
      <c r="AF202" s="249"/>
      <c r="AG202" s="249"/>
      <c r="AH202" s="249"/>
      <c r="AI202" s="249"/>
      <c r="AJ202" s="249"/>
      <c r="AK202" s="249"/>
      <c r="AL202" s="249"/>
      <c r="AM202" s="249"/>
      <c r="AN202" s="537"/>
      <c r="AO202" s="249" t="str">
        <f>IF(Z202="Yes",COUNTIF($Z$6:Z202,"Yes"),"")</f>
        <v/>
      </c>
      <c r="AP202" s="249" t="str">
        <f>IF(AA202="Yes",COUNTIF($AA$6:AA202,"Yes"),"")</f>
        <v/>
      </c>
      <c r="AQ202" s="249" t="str">
        <f>IF(AC202="Yes",COUNTIF($AC$6:AC202,"Yes"),"")</f>
        <v/>
      </c>
    </row>
    <row r="203" spans="1:43">
      <c r="A203" s="249"/>
      <c r="B203" s="249"/>
      <c r="C203" s="249"/>
      <c r="D203" s="249"/>
      <c r="E203" s="249"/>
      <c r="F203" s="249"/>
      <c r="G203" s="249"/>
      <c r="H203" s="249"/>
      <c r="I203" s="249"/>
      <c r="J203" s="249"/>
      <c r="K203" s="249"/>
      <c r="L203" s="249"/>
      <c r="M203" s="249"/>
      <c r="N203" s="249"/>
      <c r="O203" s="249"/>
      <c r="P203" s="537"/>
      <c r="Q203" s="537"/>
      <c r="R203" s="537"/>
      <c r="S203" s="538" t="str">
        <f t="shared" ca="1" si="10"/>
        <v/>
      </c>
      <c r="T203" s="538" t="str">
        <f t="shared" ca="1" si="11"/>
        <v/>
      </c>
      <c r="U203" s="249"/>
      <c r="V203" s="249"/>
      <c r="W203" s="249"/>
      <c r="X203" s="249"/>
      <c r="Y203" s="249"/>
      <c r="Z203" s="249"/>
      <c r="AA203" s="249"/>
      <c r="AB203" s="249"/>
      <c r="AC203" s="249"/>
      <c r="AD203" s="249"/>
      <c r="AE203" s="249"/>
      <c r="AF203" s="249"/>
      <c r="AG203" s="249"/>
      <c r="AH203" s="249"/>
      <c r="AI203" s="249"/>
      <c r="AJ203" s="249"/>
      <c r="AK203" s="249"/>
      <c r="AL203" s="249"/>
      <c r="AM203" s="249"/>
      <c r="AN203" s="537"/>
      <c r="AO203" s="249" t="str">
        <f>IF(Z203="Yes",COUNTIF($Z$6:Z203,"Yes"),"")</f>
        <v/>
      </c>
      <c r="AP203" s="249" t="str">
        <f>IF(AA203="Yes",COUNTIF($AA$6:AA203,"Yes"),"")</f>
        <v/>
      </c>
      <c r="AQ203" s="249" t="str">
        <f>IF(AC203="Yes",COUNTIF($AC$6:AC203,"Yes"),"")</f>
        <v/>
      </c>
    </row>
    <row r="204" spans="1:43">
      <c r="A204" s="249"/>
      <c r="B204" s="249"/>
      <c r="C204" s="249"/>
      <c r="D204" s="249"/>
      <c r="E204" s="249"/>
      <c r="F204" s="249"/>
      <c r="G204" s="249"/>
      <c r="H204" s="249"/>
      <c r="I204" s="249"/>
      <c r="J204" s="249"/>
      <c r="K204" s="249"/>
      <c r="L204" s="249"/>
      <c r="M204" s="249"/>
      <c r="N204" s="249"/>
      <c r="O204" s="249"/>
      <c r="P204" s="537"/>
      <c r="Q204" s="537"/>
      <c r="R204" s="537"/>
      <c r="S204" s="538" t="str">
        <f t="shared" ca="1" si="10"/>
        <v/>
      </c>
      <c r="T204" s="538" t="str">
        <f t="shared" ca="1" si="11"/>
        <v/>
      </c>
      <c r="U204" s="249"/>
      <c r="V204" s="249"/>
      <c r="W204" s="249"/>
      <c r="X204" s="249"/>
      <c r="Y204" s="249"/>
      <c r="Z204" s="249"/>
      <c r="AA204" s="249"/>
      <c r="AB204" s="249"/>
      <c r="AC204" s="249"/>
      <c r="AD204" s="249"/>
      <c r="AE204" s="249"/>
      <c r="AF204" s="249"/>
      <c r="AG204" s="249"/>
      <c r="AH204" s="249"/>
      <c r="AI204" s="249"/>
      <c r="AJ204" s="249"/>
      <c r="AK204" s="249"/>
      <c r="AL204" s="249"/>
      <c r="AM204" s="249"/>
      <c r="AN204" s="537"/>
      <c r="AO204" s="249" t="str">
        <f>IF(Z204="Yes",COUNTIF($Z$6:Z204,"Yes"),"")</f>
        <v/>
      </c>
      <c r="AP204" s="249" t="str">
        <f>IF(AA204="Yes",COUNTIF($AA$6:AA204,"Yes"),"")</f>
        <v/>
      </c>
      <c r="AQ204" s="249" t="str">
        <f>IF(AC204="Yes",COUNTIF($AC$6:AC204,"Yes"),"")</f>
        <v/>
      </c>
    </row>
    <row r="205" spans="1:43">
      <c r="A205" s="249"/>
      <c r="B205" s="249"/>
      <c r="C205" s="249"/>
      <c r="D205" s="249"/>
      <c r="E205" s="249"/>
      <c r="F205" s="249"/>
      <c r="G205" s="249"/>
      <c r="H205" s="249"/>
      <c r="I205" s="249"/>
      <c r="J205" s="249"/>
      <c r="K205" s="249"/>
      <c r="L205" s="249"/>
      <c r="M205" s="249"/>
      <c r="N205" s="249"/>
      <c r="O205" s="249"/>
      <c r="P205" s="537"/>
      <c r="Q205" s="537"/>
      <c r="R205" s="537"/>
      <c r="S205" s="538" t="str">
        <f t="shared" ca="1" si="10"/>
        <v/>
      </c>
      <c r="T205" s="538" t="str">
        <f t="shared" ca="1" si="11"/>
        <v/>
      </c>
      <c r="U205" s="249"/>
      <c r="V205" s="249"/>
      <c r="W205" s="249"/>
      <c r="X205" s="249"/>
      <c r="Y205" s="249"/>
      <c r="Z205" s="249"/>
      <c r="AA205" s="249"/>
      <c r="AB205" s="249"/>
      <c r="AC205" s="249"/>
      <c r="AD205" s="249"/>
      <c r="AE205" s="249"/>
      <c r="AF205" s="249"/>
      <c r="AG205" s="249"/>
      <c r="AH205" s="249"/>
      <c r="AI205" s="249"/>
      <c r="AJ205" s="249"/>
      <c r="AK205" s="249"/>
      <c r="AL205" s="249"/>
      <c r="AM205" s="249"/>
      <c r="AN205" s="537"/>
      <c r="AO205" s="249" t="str">
        <f>IF(Z205="Yes",COUNTIF($Z$6:Z205,"Yes"),"")</f>
        <v/>
      </c>
      <c r="AP205" s="249" t="str">
        <f>IF(AA205="Yes",COUNTIF($AA$6:AA205,"Yes"),"")</f>
        <v/>
      </c>
      <c r="AQ205" s="249" t="str">
        <f>IF(AC205="Yes",COUNTIF($AC$6:AC205,"Yes"),"")</f>
        <v/>
      </c>
    </row>
    <row r="206" spans="1:43">
      <c r="A206" s="249"/>
      <c r="B206" s="249"/>
      <c r="C206" s="249"/>
      <c r="D206" s="249"/>
      <c r="E206" s="249"/>
      <c r="F206" s="249"/>
      <c r="G206" s="249"/>
      <c r="H206" s="249"/>
      <c r="I206" s="249"/>
      <c r="J206" s="249"/>
      <c r="K206" s="249"/>
      <c r="L206" s="249"/>
      <c r="M206" s="249"/>
      <c r="N206" s="249"/>
      <c r="O206" s="249"/>
      <c r="P206" s="537"/>
      <c r="Q206" s="537"/>
      <c r="R206" s="537"/>
      <c r="S206" s="538" t="str">
        <f t="shared" ca="1" si="10"/>
        <v/>
      </c>
      <c r="T206" s="538" t="str">
        <f t="shared" ca="1" si="11"/>
        <v/>
      </c>
      <c r="U206" s="249"/>
      <c r="V206" s="249"/>
      <c r="W206" s="249"/>
      <c r="X206" s="249"/>
      <c r="Y206" s="249"/>
      <c r="Z206" s="249"/>
      <c r="AA206" s="249"/>
      <c r="AB206" s="249"/>
      <c r="AC206" s="249"/>
      <c r="AD206" s="249"/>
      <c r="AE206" s="249"/>
      <c r="AF206" s="249"/>
      <c r="AG206" s="249"/>
      <c r="AH206" s="249"/>
      <c r="AI206" s="249"/>
      <c r="AJ206" s="249"/>
      <c r="AK206" s="249"/>
      <c r="AL206" s="249"/>
      <c r="AM206" s="249"/>
      <c r="AN206" s="537"/>
      <c r="AO206" s="249" t="str">
        <f>IF(Z206="Yes",COUNTIF($Z$6:Z206,"Yes"),"")</f>
        <v/>
      </c>
      <c r="AP206" s="249" t="str">
        <f>IF(AA206="Yes",COUNTIF($AA$6:AA206,"Yes"),"")</f>
        <v/>
      </c>
      <c r="AQ206" s="249" t="str">
        <f>IF(AC206="Yes",COUNTIF($AC$6:AC206,"Yes"),"")</f>
        <v/>
      </c>
    </row>
    <row r="207" spans="1:43">
      <c r="A207" s="249"/>
      <c r="B207" s="249"/>
      <c r="C207" s="249"/>
      <c r="D207" s="249"/>
      <c r="E207" s="249"/>
      <c r="F207" s="249"/>
      <c r="G207" s="249"/>
      <c r="H207" s="249"/>
      <c r="I207" s="249"/>
      <c r="J207" s="249"/>
      <c r="K207" s="249"/>
      <c r="L207" s="249"/>
      <c r="M207" s="249"/>
      <c r="N207" s="249"/>
      <c r="O207" s="249"/>
      <c r="P207" s="537"/>
      <c r="Q207" s="537"/>
      <c r="R207" s="537"/>
      <c r="S207" s="538" t="str">
        <f t="shared" ca="1" si="10"/>
        <v/>
      </c>
      <c r="T207" s="538" t="str">
        <f t="shared" ca="1" si="11"/>
        <v/>
      </c>
      <c r="U207" s="249"/>
      <c r="V207" s="249"/>
      <c r="W207" s="249"/>
      <c r="X207" s="249"/>
      <c r="Y207" s="249"/>
      <c r="Z207" s="249"/>
      <c r="AA207" s="249"/>
      <c r="AB207" s="249"/>
      <c r="AC207" s="249"/>
      <c r="AD207" s="249"/>
      <c r="AE207" s="249"/>
      <c r="AF207" s="249"/>
      <c r="AG207" s="249"/>
      <c r="AH207" s="249"/>
      <c r="AI207" s="249"/>
      <c r="AJ207" s="249"/>
      <c r="AK207" s="249"/>
      <c r="AL207" s="249"/>
      <c r="AM207" s="249"/>
      <c r="AN207" s="537"/>
      <c r="AO207" s="249" t="str">
        <f>IF(Z207="Yes",COUNTIF($Z$6:Z207,"Yes"),"")</f>
        <v/>
      </c>
      <c r="AP207" s="249" t="str">
        <f>IF(AA207="Yes",COUNTIF($AA$6:AA207,"Yes"),"")</f>
        <v/>
      </c>
      <c r="AQ207" s="249" t="str">
        <f>IF(AC207="Yes",COUNTIF($AC$6:AC207,"Yes"),"")</f>
        <v/>
      </c>
    </row>
    <row r="208" spans="1:43">
      <c r="A208" s="249"/>
      <c r="B208" s="249"/>
      <c r="C208" s="249"/>
      <c r="D208" s="249"/>
      <c r="E208" s="249"/>
      <c r="F208" s="249"/>
      <c r="G208" s="249"/>
      <c r="H208" s="249"/>
      <c r="I208" s="249"/>
      <c r="J208" s="249"/>
      <c r="K208" s="249"/>
      <c r="L208" s="249"/>
      <c r="M208" s="249"/>
      <c r="N208" s="249"/>
      <c r="O208" s="249"/>
      <c r="P208" s="537"/>
      <c r="Q208" s="537"/>
      <c r="R208" s="537"/>
      <c r="S208" s="538" t="str">
        <f t="shared" ca="1" si="10"/>
        <v/>
      </c>
      <c r="T208" s="538" t="str">
        <f t="shared" ca="1" si="11"/>
        <v/>
      </c>
      <c r="U208" s="249"/>
      <c r="V208" s="249"/>
      <c r="W208" s="249"/>
      <c r="X208" s="249"/>
      <c r="Y208" s="249"/>
      <c r="Z208" s="249"/>
      <c r="AA208" s="249"/>
      <c r="AB208" s="249"/>
      <c r="AC208" s="249"/>
      <c r="AD208" s="249"/>
      <c r="AE208" s="249"/>
      <c r="AF208" s="249"/>
      <c r="AG208" s="249"/>
      <c r="AH208" s="249"/>
      <c r="AI208" s="249"/>
      <c r="AJ208" s="249"/>
      <c r="AK208" s="249"/>
      <c r="AL208" s="249"/>
      <c r="AM208" s="249"/>
      <c r="AN208" s="537"/>
      <c r="AO208" s="249" t="str">
        <f>IF(Z208="Yes",COUNTIF($Z$6:Z208,"Yes"),"")</f>
        <v/>
      </c>
      <c r="AP208" s="249" t="str">
        <f>IF(AA208="Yes",COUNTIF($AA$6:AA208,"Yes"),"")</f>
        <v/>
      </c>
      <c r="AQ208" s="249" t="str">
        <f>IF(AC208="Yes",COUNTIF($AC$6:AC208,"Yes"),"")</f>
        <v/>
      </c>
    </row>
    <row r="209" spans="1:43">
      <c r="A209" s="249"/>
      <c r="B209" s="249"/>
      <c r="C209" s="249"/>
      <c r="D209" s="249"/>
      <c r="E209" s="249"/>
      <c r="F209" s="249"/>
      <c r="G209" s="249"/>
      <c r="H209" s="249"/>
      <c r="I209" s="249"/>
      <c r="J209" s="249"/>
      <c r="K209" s="249"/>
      <c r="L209" s="249"/>
      <c r="M209" s="249"/>
      <c r="N209" s="249"/>
      <c r="O209" s="249"/>
      <c r="P209" s="537"/>
      <c r="Q209" s="537"/>
      <c r="R209" s="537"/>
      <c r="S209" s="538" t="str">
        <f t="shared" ca="1" si="10"/>
        <v/>
      </c>
      <c r="T209" s="538" t="str">
        <f t="shared" ca="1" si="11"/>
        <v/>
      </c>
      <c r="U209" s="249"/>
      <c r="V209" s="249"/>
      <c r="W209" s="249"/>
      <c r="X209" s="249"/>
      <c r="Y209" s="249"/>
      <c r="Z209" s="249"/>
      <c r="AA209" s="249"/>
      <c r="AB209" s="249"/>
      <c r="AC209" s="249"/>
      <c r="AD209" s="249"/>
      <c r="AE209" s="249"/>
      <c r="AF209" s="249"/>
      <c r="AG209" s="249"/>
      <c r="AH209" s="249"/>
      <c r="AI209" s="249"/>
      <c r="AJ209" s="249"/>
      <c r="AK209" s="249"/>
      <c r="AL209" s="249"/>
      <c r="AM209" s="249"/>
      <c r="AN209" s="537"/>
      <c r="AO209" s="249" t="str">
        <f>IF(Z209="Yes",COUNTIF($Z$6:Z209,"Yes"),"")</f>
        <v/>
      </c>
      <c r="AP209" s="249" t="str">
        <f>IF(AA209="Yes",COUNTIF($AA$6:AA209,"Yes"),"")</f>
        <v/>
      </c>
      <c r="AQ209" s="249" t="str">
        <f>IF(AC209="Yes",COUNTIF($AC$6:AC209,"Yes"),"")</f>
        <v/>
      </c>
    </row>
    <row r="210" spans="1:43">
      <c r="A210" s="249"/>
      <c r="B210" s="249"/>
      <c r="C210" s="249"/>
      <c r="D210" s="249"/>
      <c r="E210" s="249"/>
      <c r="F210" s="249"/>
      <c r="G210" s="249"/>
      <c r="H210" s="249"/>
      <c r="I210" s="249"/>
      <c r="J210" s="249"/>
      <c r="K210" s="249"/>
      <c r="L210" s="249"/>
      <c r="M210" s="249"/>
      <c r="N210" s="249"/>
      <c r="O210" s="249"/>
      <c r="P210" s="537"/>
      <c r="Q210" s="537"/>
      <c r="R210" s="537"/>
      <c r="S210" s="538" t="str">
        <f t="shared" ca="1" si="10"/>
        <v/>
      </c>
      <c r="T210" s="538" t="str">
        <f t="shared" ca="1" si="11"/>
        <v/>
      </c>
      <c r="U210" s="249"/>
      <c r="V210" s="249"/>
      <c r="W210" s="249"/>
      <c r="X210" s="249"/>
      <c r="Y210" s="249"/>
      <c r="Z210" s="249"/>
      <c r="AA210" s="249"/>
      <c r="AB210" s="249"/>
      <c r="AC210" s="249"/>
      <c r="AD210" s="249"/>
      <c r="AE210" s="249"/>
      <c r="AF210" s="249"/>
      <c r="AG210" s="249"/>
      <c r="AH210" s="249"/>
      <c r="AI210" s="249"/>
      <c r="AJ210" s="249"/>
      <c r="AK210" s="249"/>
      <c r="AL210" s="249"/>
      <c r="AM210" s="249"/>
      <c r="AN210" s="537"/>
      <c r="AO210" s="249" t="str">
        <f>IF(Z210="Yes",COUNTIF($Z$6:Z210,"Yes"),"")</f>
        <v/>
      </c>
      <c r="AP210" s="249" t="str">
        <f>IF(AA210="Yes",COUNTIF($AA$6:AA210,"Yes"),"")</f>
        <v/>
      </c>
      <c r="AQ210" s="249" t="str">
        <f>IF(AC210="Yes",COUNTIF($AC$6:AC210,"Yes"),"")</f>
        <v/>
      </c>
    </row>
    <row r="211" spans="1:43">
      <c r="A211" s="249"/>
      <c r="B211" s="249"/>
      <c r="C211" s="249"/>
      <c r="D211" s="249"/>
      <c r="E211" s="249"/>
      <c r="F211" s="249"/>
      <c r="G211" s="249"/>
      <c r="H211" s="249"/>
      <c r="I211" s="249"/>
      <c r="J211" s="249"/>
      <c r="K211" s="249"/>
      <c r="L211" s="249"/>
      <c r="M211" s="249"/>
      <c r="N211" s="249"/>
      <c r="O211" s="249"/>
      <c r="P211" s="537"/>
      <c r="Q211" s="537"/>
      <c r="R211" s="537"/>
      <c r="S211" s="538" t="str">
        <f t="shared" ca="1" si="10"/>
        <v/>
      </c>
      <c r="T211" s="538" t="str">
        <f t="shared" ca="1" si="11"/>
        <v/>
      </c>
      <c r="U211" s="249"/>
      <c r="V211" s="249"/>
      <c r="W211" s="249"/>
      <c r="X211" s="249"/>
      <c r="Y211" s="249"/>
      <c r="Z211" s="249"/>
      <c r="AA211" s="249"/>
      <c r="AB211" s="249"/>
      <c r="AC211" s="249"/>
      <c r="AD211" s="249"/>
      <c r="AE211" s="249"/>
      <c r="AF211" s="249"/>
      <c r="AG211" s="249"/>
      <c r="AH211" s="249"/>
      <c r="AI211" s="249"/>
      <c r="AJ211" s="249"/>
      <c r="AK211" s="249"/>
      <c r="AL211" s="249"/>
      <c r="AM211" s="249"/>
      <c r="AN211" s="537"/>
      <c r="AO211" s="249" t="str">
        <f>IF(Z211="Yes",COUNTIF($Z$6:Z211,"Yes"),"")</f>
        <v/>
      </c>
      <c r="AP211" s="249" t="str">
        <f>IF(AA211="Yes",COUNTIF($AA$6:AA211,"Yes"),"")</f>
        <v/>
      </c>
      <c r="AQ211" s="249" t="str">
        <f>IF(AC211="Yes",COUNTIF($AC$6:AC211,"Yes"),"")</f>
        <v/>
      </c>
    </row>
    <row r="212" spans="1:43">
      <c r="A212" s="249"/>
      <c r="B212" s="249"/>
      <c r="C212" s="249"/>
      <c r="D212" s="249"/>
      <c r="E212" s="249"/>
      <c r="F212" s="249"/>
      <c r="G212" s="249"/>
      <c r="H212" s="249"/>
      <c r="I212" s="249"/>
      <c r="J212" s="249"/>
      <c r="K212" s="249"/>
      <c r="L212" s="249"/>
      <c r="M212" s="249"/>
      <c r="N212" s="249"/>
      <c r="O212" s="249"/>
      <c r="P212" s="537"/>
      <c r="Q212" s="537"/>
      <c r="R212" s="537"/>
      <c r="S212" s="538" t="str">
        <f t="shared" ca="1" si="10"/>
        <v/>
      </c>
      <c r="T212" s="538" t="str">
        <f t="shared" ca="1" si="11"/>
        <v/>
      </c>
      <c r="U212" s="249"/>
      <c r="V212" s="249"/>
      <c r="W212" s="249"/>
      <c r="X212" s="249"/>
      <c r="Y212" s="249"/>
      <c r="Z212" s="249"/>
      <c r="AA212" s="249"/>
      <c r="AB212" s="249"/>
      <c r="AC212" s="249"/>
      <c r="AD212" s="249"/>
      <c r="AE212" s="249"/>
      <c r="AF212" s="249"/>
      <c r="AG212" s="249"/>
      <c r="AH212" s="249"/>
      <c r="AI212" s="249"/>
      <c r="AJ212" s="249"/>
      <c r="AK212" s="249"/>
      <c r="AL212" s="249"/>
      <c r="AM212" s="249"/>
      <c r="AN212" s="537"/>
      <c r="AO212" s="249" t="str">
        <f>IF(Z212="Yes",COUNTIF($Z$6:Z212,"Yes"),"")</f>
        <v/>
      </c>
      <c r="AP212" s="249" t="str">
        <f>IF(AA212="Yes",COUNTIF($AA$6:AA212,"Yes"),"")</f>
        <v/>
      </c>
      <c r="AQ212" s="249" t="str">
        <f>IF(AC212="Yes",COUNTIF($AC$6:AC212,"Yes"),"")</f>
        <v/>
      </c>
    </row>
    <row r="213" spans="1:43">
      <c r="A213" s="249"/>
      <c r="B213" s="249"/>
      <c r="C213" s="249"/>
      <c r="D213" s="249"/>
      <c r="E213" s="249"/>
      <c r="F213" s="249"/>
      <c r="G213" s="249"/>
      <c r="H213" s="249"/>
      <c r="I213" s="249"/>
      <c r="J213" s="249"/>
      <c r="K213" s="249"/>
      <c r="L213" s="249"/>
      <c r="M213" s="249"/>
      <c r="N213" s="249"/>
      <c r="O213" s="249"/>
      <c r="P213" s="537"/>
      <c r="Q213" s="537"/>
      <c r="R213" s="537"/>
      <c r="S213" s="538" t="str">
        <f t="shared" ca="1" si="10"/>
        <v/>
      </c>
      <c r="T213" s="538" t="str">
        <f t="shared" ca="1" si="11"/>
        <v/>
      </c>
      <c r="U213" s="249"/>
      <c r="V213" s="249"/>
      <c r="W213" s="249"/>
      <c r="X213" s="249"/>
      <c r="Y213" s="249"/>
      <c r="Z213" s="249"/>
      <c r="AA213" s="249"/>
      <c r="AB213" s="249"/>
      <c r="AC213" s="249"/>
      <c r="AD213" s="249"/>
      <c r="AE213" s="249"/>
      <c r="AF213" s="249"/>
      <c r="AG213" s="249"/>
      <c r="AH213" s="249"/>
      <c r="AI213" s="249"/>
      <c r="AJ213" s="249"/>
      <c r="AK213" s="249"/>
      <c r="AL213" s="249"/>
      <c r="AM213" s="249"/>
      <c r="AN213" s="537"/>
      <c r="AO213" s="249" t="str">
        <f>IF(Z213="Yes",COUNTIF($Z$6:Z213,"Yes"),"")</f>
        <v/>
      </c>
      <c r="AP213" s="249" t="str">
        <f>IF(AA213="Yes",COUNTIF($AA$6:AA213,"Yes"),"")</f>
        <v/>
      </c>
      <c r="AQ213" s="249" t="str">
        <f>IF(AC213="Yes",COUNTIF($AC$6:AC213,"Yes"),"")</f>
        <v/>
      </c>
    </row>
    <row r="214" spans="1:43">
      <c r="A214" s="249"/>
      <c r="B214" s="249"/>
      <c r="C214" s="249"/>
      <c r="D214" s="249"/>
      <c r="E214" s="249"/>
      <c r="F214" s="249"/>
      <c r="G214" s="249"/>
      <c r="H214" s="249"/>
      <c r="I214" s="249"/>
      <c r="J214" s="249"/>
      <c r="K214" s="249"/>
      <c r="L214" s="249"/>
      <c r="M214" s="249"/>
      <c r="N214" s="249"/>
      <c r="O214" s="249"/>
      <c r="P214" s="537"/>
      <c r="Q214" s="537"/>
      <c r="R214" s="537"/>
      <c r="S214" s="538" t="str">
        <f t="shared" ca="1" si="10"/>
        <v/>
      </c>
      <c r="T214" s="538" t="str">
        <f t="shared" ca="1" si="11"/>
        <v/>
      </c>
      <c r="U214" s="249"/>
      <c r="V214" s="249"/>
      <c r="W214" s="249"/>
      <c r="X214" s="249"/>
      <c r="Y214" s="249"/>
      <c r="Z214" s="249"/>
      <c r="AA214" s="249"/>
      <c r="AB214" s="249"/>
      <c r="AC214" s="249"/>
      <c r="AD214" s="249"/>
      <c r="AE214" s="249"/>
      <c r="AF214" s="249"/>
      <c r="AG214" s="249"/>
      <c r="AH214" s="249"/>
      <c r="AI214" s="249"/>
      <c r="AJ214" s="249"/>
      <c r="AK214" s="249"/>
      <c r="AL214" s="249"/>
      <c r="AM214" s="249"/>
      <c r="AN214" s="537"/>
      <c r="AO214" s="249" t="str">
        <f>IF(Z214="Yes",COUNTIF($Z$6:Z214,"Yes"),"")</f>
        <v/>
      </c>
      <c r="AP214" s="249" t="str">
        <f>IF(AA214="Yes",COUNTIF($AA$6:AA214,"Yes"),"")</f>
        <v/>
      </c>
      <c r="AQ214" s="249" t="str">
        <f>IF(AC214="Yes",COUNTIF($AC$6:AC214,"Yes"),"")</f>
        <v/>
      </c>
    </row>
    <row r="215" spans="1:43">
      <c r="A215" s="249"/>
      <c r="B215" s="249"/>
      <c r="C215" s="249"/>
      <c r="D215" s="249"/>
      <c r="E215" s="249"/>
      <c r="F215" s="249"/>
      <c r="G215" s="249"/>
      <c r="H215" s="249"/>
      <c r="I215" s="249"/>
      <c r="J215" s="249"/>
      <c r="K215" s="249"/>
      <c r="L215" s="249"/>
      <c r="M215" s="249"/>
      <c r="N215" s="249"/>
      <c r="O215" s="249"/>
      <c r="P215" s="537"/>
      <c r="Q215" s="537"/>
      <c r="R215" s="537"/>
      <c r="S215" s="538" t="str">
        <f t="shared" ca="1" si="10"/>
        <v/>
      </c>
      <c r="T215" s="538" t="str">
        <f t="shared" ca="1" si="11"/>
        <v/>
      </c>
      <c r="U215" s="249"/>
      <c r="V215" s="249"/>
      <c r="W215" s="249"/>
      <c r="X215" s="249"/>
      <c r="Y215" s="249"/>
      <c r="Z215" s="249"/>
      <c r="AA215" s="249"/>
      <c r="AB215" s="249"/>
      <c r="AC215" s="249"/>
      <c r="AD215" s="249"/>
      <c r="AE215" s="249"/>
      <c r="AF215" s="249"/>
      <c r="AG215" s="249"/>
      <c r="AH215" s="249"/>
      <c r="AI215" s="249"/>
      <c r="AJ215" s="249"/>
      <c r="AK215" s="249"/>
      <c r="AL215" s="249"/>
      <c r="AM215" s="249"/>
      <c r="AN215" s="537"/>
      <c r="AO215" s="249" t="str">
        <f>IF(Z215="Yes",COUNTIF($Z$6:Z215,"Yes"),"")</f>
        <v/>
      </c>
      <c r="AP215" s="249" t="str">
        <f>IF(AA215="Yes",COUNTIF($AA$6:AA215,"Yes"),"")</f>
        <v/>
      </c>
      <c r="AQ215" s="249" t="str">
        <f>IF(AC215="Yes",COUNTIF($AC$6:AC215,"Yes"),"")</f>
        <v/>
      </c>
    </row>
    <row r="216" spans="1:43">
      <c r="A216" s="249"/>
      <c r="B216" s="249"/>
      <c r="C216" s="249"/>
      <c r="D216" s="249"/>
      <c r="E216" s="249"/>
      <c r="F216" s="249"/>
      <c r="G216" s="249"/>
      <c r="H216" s="249"/>
      <c r="I216" s="249"/>
      <c r="J216" s="249"/>
      <c r="K216" s="249"/>
      <c r="L216" s="249"/>
      <c r="M216" s="249"/>
      <c r="N216" s="249"/>
      <c r="O216" s="249"/>
      <c r="P216" s="537"/>
      <c r="Q216" s="537"/>
      <c r="R216" s="537"/>
      <c r="S216" s="538" t="str">
        <f t="shared" ca="1" si="10"/>
        <v/>
      </c>
      <c r="T216" s="538" t="str">
        <f t="shared" ca="1" si="11"/>
        <v/>
      </c>
      <c r="U216" s="249"/>
      <c r="V216" s="249"/>
      <c r="W216" s="249"/>
      <c r="X216" s="249"/>
      <c r="Y216" s="249"/>
      <c r="Z216" s="249"/>
      <c r="AA216" s="249"/>
      <c r="AB216" s="249"/>
      <c r="AC216" s="249"/>
      <c r="AD216" s="249"/>
      <c r="AE216" s="249"/>
      <c r="AF216" s="249"/>
      <c r="AG216" s="249"/>
      <c r="AH216" s="249"/>
      <c r="AI216" s="249"/>
      <c r="AJ216" s="249"/>
      <c r="AK216" s="249"/>
      <c r="AL216" s="249"/>
      <c r="AM216" s="249"/>
      <c r="AN216" s="537"/>
      <c r="AO216" s="249" t="str">
        <f>IF(Z216="Yes",COUNTIF($Z$6:Z216,"Yes"),"")</f>
        <v/>
      </c>
      <c r="AP216" s="249" t="str">
        <f>IF(AA216="Yes",COUNTIF($AA$6:AA216,"Yes"),"")</f>
        <v/>
      </c>
      <c r="AQ216" s="249" t="str">
        <f>IF(AC216="Yes",COUNTIF($AC$6:AC216,"Yes"),"")</f>
        <v/>
      </c>
    </row>
    <row r="217" spans="1:43">
      <c r="A217" s="249"/>
      <c r="B217" s="249"/>
      <c r="C217" s="249"/>
      <c r="D217" s="249"/>
      <c r="E217" s="249"/>
      <c r="F217" s="249"/>
      <c r="G217" s="249"/>
      <c r="H217" s="249"/>
      <c r="I217" s="249"/>
      <c r="J217" s="249"/>
      <c r="K217" s="249"/>
      <c r="L217" s="249"/>
      <c r="M217" s="249"/>
      <c r="N217" s="249"/>
      <c r="O217" s="249"/>
      <c r="P217" s="537"/>
      <c r="Q217" s="537"/>
      <c r="R217" s="537"/>
      <c r="S217" s="538" t="str">
        <f t="shared" ca="1" si="10"/>
        <v/>
      </c>
      <c r="T217" s="538" t="str">
        <f t="shared" ca="1" si="11"/>
        <v/>
      </c>
      <c r="U217" s="249"/>
      <c r="V217" s="249"/>
      <c r="W217" s="249"/>
      <c r="X217" s="249"/>
      <c r="Y217" s="249"/>
      <c r="Z217" s="249"/>
      <c r="AA217" s="249"/>
      <c r="AB217" s="249"/>
      <c r="AC217" s="249"/>
      <c r="AD217" s="249"/>
      <c r="AE217" s="249"/>
      <c r="AF217" s="249"/>
      <c r="AG217" s="249"/>
      <c r="AH217" s="249"/>
      <c r="AI217" s="249"/>
      <c r="AJ217" s="249"/>
      <c r="AK217" s="249"/>
      <c r="AL217" s="249"/>
      <c r="AM217" s="249"/>
      <c r="AN217" s="537"/>
      <c r="AO217" s="249" t="str">
        <f>IF(Z217="Yes",COUNTIF($Z$6:Z217,"Yes"),"")</f>
        <v/>
      </c>
      <c r="AP217" s="249" t="str">
        <f>IF(AA217="Yes",COUNTIF($AA$6:AA217,"Yes"),"")</f>
        <v/>
      </c>
      <c r="AQ217" s="249" t="str">
        <f>IF(AC217="Yes",COUNTIF($AC$6:AC217,"Yes"),"")</f>
        <v/>
      </c>
    </row>
    <row r="218" spans="1:43">
      <c r="A218" s="249"/>
      <c r="B218" s="249"/>
      <c r="C218" s="249"/>
      <c r="D218" s="249"/>
      <c r="E218" s="249"/>
      <c r="F218" s="249"/>
      <c r="G218" s="249"/>
      <c r="H218" s="249"/>
      <c r="I218" s="249"/>
      <c r="J218" s="249"/>
      <c r="K218" s="249"/>
      <c r="L218" s="249"/>
      <c r="M218" s="249"/>
      <c r="N218" s="249"/>
      <c r="O218" s="249"/>
      <c r="P218" s="537"/>
      <c r="Q218" s="537"/>
      <c r="R218" s="537"/>
      <c r="S218" s="538" t="str">
        <f t="shared" ca="1" si="10"/>
        <v/>
      </c>
      <c r="T218" s="538" t="str">
        <f t="shared" ca="1" si="11"/>
        <v/>
      </c>
      <c r="U218" s="249"/>
      <c r="V218" s="249"/>
      <c r="W218" s="249"/>
      <c r="X218" s="249"/>
      <c r="Y218" s="249"/>
      <c r="Z218" s="249"/>
      <c r="AA218" s="249"/>
      <c r="AB218" s="249"/>
      <c r="AC218" s="249"/>
      <c r="AD218" s="249"/>
      <c r="AE218" s="249"/>
      <c r="AF218" s="249"/>
      <c r="AG218" s="249"/>
      <c r="AH218" s="249"/>
      <c r="AI218" s="249"/>
      <c r="AJ218" s="249"/>
      <c r="AK218" s="249"/>
      <c r="AL218" s="249"/>
      <c r="AM218" s="249"/>
      <c r="AN218" s="537"/>
      <c r="AO218" s="249" t="str">
        <f>IF(Z218="Yes",COUNTIF($Z$6:Z218,"Yes"),"")</f>
        <v/>
      </c>
      <c r="AP218" s="249" t="str">
        <f>IF(AA218="Yes",COUNTIF($AA$6:AA218,"Yes"),"")</f>
        <v/>
      </c>
      <c r="AQ218" s="249" t="str">
        <f>IF(AC218="Yes",COUNTIF($AC$6:AC218,"Yes"),"")</f>
        <v/>
      </c>
    </row>
    <row r="219" spans="1:43">
      <c r="A219" s="249"/>
      <c r="B219" s="249"/>
      <c r="C219" s="249"/>
      <c r="D219" s="249"/>
      <c r="E219" s="249"/>
      <c r="F219" s="249"/>
      <c r="G219" s="249"/>
      <c r="H219" s="249"/>
      <c r="I219" s="249"/>
      <c r="J219" s="249"/>
      <c r="K219" s="249"/>
      <c r="L219" s="249"/>
      <c r="M219" s="249"/>
      <c r="N219" s="249"/>
      <c r="O219" s="249"/>
      <c r="P219" s="537"/>
      <c r="Q219" s="537"/>
      <c r="R219" s="537"/>
      <c r="S219" s="538" t="str">
        <f t="shared" ca="1" si="10"/>
        <v/>
      </c>
      <c r="T219" s="538" t="str">
        <f t="shared" ca="1" si="11"/>
        <v/>
      </c>
      <c r="U219" s="249"/>
      <c r="V219" s="249"/>
      <c r="W219" s="249"/>
      <c r="X219" s="249"/>
      <c r="Y219" s="249"/>
      <c r="Z219" s="249"/>
      <c r="AA219" s="249"/>
      <c r="AB219" s="249"/>
      <c r="AC219" s="249"/>
      <c r="AD219" s="249"/>
      <c r="AE219" s="249"/>
      <c r="AF219" s="249"/>
      <c r="AG219" s="249"/>
      <c r="AH219" s="249"/>
      <c r="AI219" s="249"/>
      <c r="AJ219" s="249"/>
      <c r="AK219" s="249"/>
      <c r="AL219" s="249"/>
      <c r="AM219" s="249"/>
      <c r="AN219" s="537"/>
      <c r="AO219" s="249" t="str">
        <f>IF(Z219="Yes",COUNTIF($Z$6:Z219,"Yes"),"")</f>
        <v/>
      </c>
      <c r="AP219" s="249" t="str">
        <f>IF(AA219="Yes",COUNTIF($AA$6:AA219,"Yes"),"")</f>
        <v/>
      </c>
      <c r="AQ219" s="249" t="str">
        <f>IF(AC219="Yes",COUNTIF($AC$6:AC219,"Yes"),"")</f>
        <v/>
      </c>
    </row>
    <row r="220" spans="1:43">
      <c r="A220" s="249"/>
      <c r="B220" s="249"/>
      <c r="C220" s="249"/>
      <c r="D220" s="249"/>
      <c r="E220" s="249"/>
      <c r="F220" s="249"/>
      <c r="G220" s="249"/>
      <c r="H220" s="249"/>
      <c r="I220" s="249"/>
      <c r="J220" s="249"/>
      <c r="K220" s="249"/>
      <c r="L220" s="249"/>
      <c r="M220" s="249"/>
      <c r="N220" s="249"/>
      <c r="O220" s="249"/>
      <c r="P220" s="537"/>
      <c r="Q220" s="537"/>
      <c r="R220" s="537"/>
      <c r="S220" s="538" t="str">
        <f t="shared" ca="1" si="10"/>
        <v/>
      </c>
      <c r="T220" s="538" t="str">
        <f t="shared" ca="1" si="11"/>
        <v/>
      </c>
      <c r="U220" s="249"/>
      <c r="V220" s="249"/>
      <c r="W220" s="249"/>
      <c r="X220" s="249"/>
      <c r="Y220" s="249"/>
      <c r="Z220" s="249"/>
      <c r="AA220" s="249"/>
      <c r="AB220" s="249"/>
      <c r="AC220" s="249"/>
      <c r="AD220" s="249"/>
      <c r="AE220" s="249"/>
      <c r="AF220" s="249"/>
      <c r="AG220" s="249"/>
      <c r="AH220" s="249"/>
      <c r="AI220" s="249"/>
      <c r="AJ220" s="249"/>
      <c r="AK220" s="249"/>
      <c r="AL220" s="249"/>
      <c r="AM220" s="249"/>
      <c r="AN220" s="537"/>
      <c r="AO220" s="249" t="str">
        <f>IF(Z220="Yes",COUNTIF($Z$6:Z220,"Yes"),"")</f>
        <v/>
      </c>
      <c r="AP220" s="249" t="str">
        <f>IF(AA220="Yes",COUNTIF($AA$6:AA220,"Yes"),"")</f>
        <v/>
      </c>
      <c r="AQ220" s="249" t="str">
        <f>IF(AC220="Yes",COUNTIF($AC$6:AC220,"Yes"),"")</f>
        <v/>
      </c>
    </row>
    <row r="221" spans="1:43">
      <c r="A221" s="249"/>
      <c r="B221" s="249"/>
      <c r="C221" s="249"/>
      <c r="D221" s="249"/>
      <c r="E221" s="249"/>
      <c r="F221" s="249"/>
      <c r="G221" s="249"/>
      <c r="H221" s="249"/>
      <c r="I221" s="249"/>
      <c r="J221" s="249"/>
      <c r="K221" s="249"/>
      <c r="L221" s="249"/>
      <c r="M221" s="249"/>
      <c r="N221" s="249"/>
      <c r="O221" s="249"/>
      <c r="P221" s="537"/>
      <c r="Q221" s="537"/>
      <c r="R221" s="537"/>
      <c r="S221" s="538" t="str">
        <f t="shared" ca="1" si="10"/>
        <v/>
      </c>
      <c r="T221" s="538" t="str">
        <f t="shared" ca="1" si="11"/>
        <v/>
      </c>
      <c r="U221" s="249"/>
      <c r="V221" s="249"/>
      <c r="W221" s="249"/>
      <c r="X221" s="249"/>
      <c r="Y221" s="249"/>
      <c r="Z221" s="249"/>
      <c r="AA221" s="249"/>
      <c r="AB221" s="249"/>
      <c r="AC221" s="249"/>
      <c r="AD221" s="249"/>
      <c r="AE221" s="249"/>
      <c r="AF221" s="249"/>
      <c r="AG221" s="249"/>
      <c r="AH221" s="249"/>
      <c r="AI221" s="249"/>
      <c r="AJ221" s="249"/>
      <c r="AK221" s="249"/>
      <c r="AL221" s="249"/>
      <c r="AM221" s="249"/>
      <c r="AN221" s="537"/>
      <c r="AO221" s="249" t="str">
        <f>IF(Z221="Yes",COUNTIF($Z$6:Z221,"Yes"),"")</f>
        <v/>
      </c>
      <c r="AP221" s="249" t="str">
        <f>IF(AA221="Yes",COUNTIF($AA$6:AA221,"Yes"),"")</f>
        <v/>
      </c>
      <c r="AQ221" s="249" t="str">
        <f>IF(AC221="Yes",COUNTIF($AC$6:AC221,"Yes"),"")</f>
        <v/>
      </c>
    </row>
    <row r="222" spans="1:43">
      <c r="A222" s="249"/>
      <c r="B222" s="249"/>
      <c r="C222" s="249"/>
      <c r="D222" s="249"/>
      <c r="E222" s="249"/>
      <c r="F222" s="249"/>
      <c r="G222" s="249"/>
      <c r="H222" s="249"/>
      <c r="I222" s="249"/>
      <c r="J222" s="249"/>
      <c r="K222" s="249"/>
      <c r="L222" s="249"/>
      <c r="M222" s="249"/>
      <c r="N222" s="249"/>
      <c r="O222" s="249"/>
      <c r="P222" s="537"/>
      <c r="Q222" s="537"/>
      <c r="R222" s="537"/>
      <c r="S222" s="538" t="str">
        <f t="shared" ca="1" si="10"/>
        <v/>
      </c>
      <c r="T222" s="538" t="str">
        <f t="shared" ca="1" si="11"/>
        <v/>
      </c>
      <c r="U222" s="249"/>
      <c r="V222" s="249"/>
      <c r="W222" s="249"/>
      <c r="X222" s="249"/>
      <c r="Y222" s="249"/>
      <c r="Z222" s="249"/>
      <c r="AA222" s="249"/>
      <c r="AB222" s="249"/>
      <c r="AC222" s="249"/>
      <c r="AD222" s="249"/>
      <c r="AE222" s="249"/>
      <c r="AF222" s="249"/>
      <c r="AG222" s="249"/>
      <c r="AH222" s="249"/>
      <c r="AI222" s="249"/>
      <c r="AJ222" s="249"/>
      <c r="AK222" s="249"/>
      <c r="AL222" s="249"/>
      <c r="AM222" s="249"/>
      <c r="AN222" s="537"/>
      <c r="AO222" s="249" t="str">
        <f>IF(Z222="Yes",COUNTIF($Z$6:Z222,"Yes"),"")</f>
        <v/>
      </c>
      <c r="AP222" s="249" t="str">
        <f>IF(AA222="Yes",COUNTIF($AA$6:AA222,"Yes"),"")</f>
        <v/>
      </c>
      <c r="AQ222" s="249" t="str">
        <f>IF(AC222="Yes",COUNTIF($AC$6:AC222,"Yes"),"")</f>
        <v/>
      </c>
    </row>
    <row r="223" spans="1:43">
      <c r="A223" s="249"/>
      <c r="B223" s="249"/>
      <c r="C223" s="249"/>
      <c r="D223" s="249"/>
      <c r="E223" s="249"/>
      <c r="F223" s="249"/>
      <c r="G223" s="249"/>
      <c r="H223" s="249"/>
      <c r="I223" s="249"/>
      <c r="J223" s="249"/>
      <c r="K223" s="249"/>
      <c r="L223" s="249"/>
      <c r="M223" s="249"/>
      <c r="N223" s="249"/>
      <c r="O223" s="249"/>
      <c r="P223" s="537"/>
      <c r="Q223" s="537"/>
      <c r="R223" s="537"/>
      <c r="S223" s="538" t="str">
        <f t="shared" ca="1" si="10"/>
        <v/>
      </c>
      <c r="T223" s="538" t="str">
        <f t="shared" ca="1" si="11"/>
        <v/>
      </c>
      <c r="U223" s="249"/>
      <c r="V223" s="249"/>
      <c r="W223" s="249"/>
      <c r="X223" s="249"/>
      <c r="Y223" s="249"/>
      <c r="Z223" s="249"/>
      <c r="AA223" s="249"/>
      <c r="AB223" s="249"/>
      <c r="AC223" s="249"/>
      <c r="AD223" s="249"/>
      <c r="AE223" s="249"/>
      <c r="AF223" s="249"/>
      <c r="AG223" s="249"/>
      <c r="AH223" s="249"/>
      <c r="AI223" s="249"/>
      <c r="AJ223" s="249"/>
      <c r="AK223" s="249"/>
      <c r="AL223" s="249"/>
      <c r="AM223" s="249"/>
      <c r="AN223" s="537"/>
      <c r="AO223" s="249" t="str">
        <f>IF(Z223="Yes",COUNTIF($Z$6:Z223,"Yes"),"")</f>
        <v/>
      </c>
      <c r="AP223" s="249" t="str">
        <f>IF(AA223="Yes",COUNTIF($AA$6:AA223,"Yes"),"")</f>
        <v/>
      </c>
      <c r="AQ223" s="249" t="str">
        <f>IF(AC223="Yes",COUNTIF($AC$6:AC223,"Yes"),"")</f>
        <v/>
      </c>
    </row>
    <row r="224" spans="1:43">
      <c r="A224" s="249"/>
      <c r="B224" s="249"/>
      <c r="C224" s="249"/>
      <c r="D224" s="249"/>
      <c r="E224" s="249"/>
      <c r="F224" s="249"/>
      <c r="G224" s="249"/>
      <c r="H224" s="249"/>
      <c r="I224" s="249"/>
      <c r="J224" s="249"/>
      <c r="K224" s="249"/>
      <c r="L224" s="249"/>
      <c r="M224" s="249"/>
      <c r="N224" s="249"/>
      <c r="O224" s="249"/>
      <c r="P224" s="537"/>
      <c r="Q224" s="537"/>
      <c r="R224" s="537"/>
      <c r="S224" s="538" t="str">
        <f t="shared" ca="1" si="10"/>
        <v/>
      </c>
      <c r="T224" s="538" t="str">
        <f t="shared" ca="1" si="11"/>
        <v/>
      </c>
      <c r="U224" s="249"/>
      <c r="V224" s="249"/>
      <c r="W224" s="249"/>
      <c r="X224" s="249"/>
      <c r="Y224" s="249"/>
      <c r="Z224" s="249"/>
      <c r="AA224" s="249"/>
      <c r="AB224" s="249"/>
      <c r="AC224" s="249"/>
      <c r="AD224" s="249"/>
      <c r="AE224" s="249"/>
      <c r="AF224" s="249"/>
      <c r="AG224" s="249"/>
      <c r="AH224" s="249"/>
      <c r="AI224" s="249"/>
      <c r="AJ224" s="249"/>
      <c r="AK224" s="249"/>
      <c r="AL224" s="249"/>
      <c r="AM224" s="249"/>
      <c r="AN224" s="537"/>
      <c r="AO224" s="249" t="str">
        <f>IF(Z224="Yes",COUNTIF($Z$6:Z224,"Yes"),"")</f>
        <v/>
      </c>
      <c r="AP224" s="249" t="str">
        <f>IF(AA224="Yes",COUNTIF($AA$6:AA224,"Yes"),"")</f>
        <v/>
      </c>
      <c r="AQ224" s="249" t="str">
        <f>IF(AC224="Yes",COUNTIF($AC$6:AC224,"Yes"),"")</f>
        <v/>
      </c>
    </row>
    <row r="225" spans="1:43">
      <c r="A225" s="249"/>
      <c r="B225" s="249"/>
      <c r="C225" s="249"/>
      <c r="D225" s="249"/>
      <c r="E225" s="249"/>
      <c r="F225" s="249"/>
      <c r="G225" s="249"/>
      <c r="H225" s="249"/>
      <c r="I225" s="249"/>
      <c r="J225" s="249"/>
      <c r="K225" s="249"/>
      <c r="L225" s="249"/>
      <c r="M225" s="249"/>
      <c r="N225" s="249"/>
      <c r="O225" s="249"/>
      <c r="P225" s="537"/>
      <c r="Q225" s="537"/>
      <c r="R225" s="537"/>
      <c r="S225" s="538" t="str">
        <f t="shared" ca="1" si="10"/>
        <v/>
      </c>
      <c r="T225" s="538" t="str">
        <f t="shared" ca="1" si="11"/>
        <v/>
      </c>
      <c r="U225" s="249"/>
      <c r="V225" s="249"/>
      <c r="W225" s="249"/>
      <c r="X225" s="249"/>
      <c r="Y225" s="249"/>
      <c r="Z225" s="249"/>
      <c r="AA225" s="249"/>
      <c r="AB225" s="249"/>
      <c r="AC225" s="249"/>
      <c r="AD225" s="249"/>
      <c r="AE225" s="249"/>
      <c r="AF225" s="249"/>
      <c r="AG225" s="249"/>
      <c r="AH225" s="249"/>
      <c r="AI225" s="249"/>
      <c r="AJ225" s="249"/>
      <c r="AK225" s="249"/>
      <c r="AL225" s="249"/>
      <c r="AM225" s="249"/>
      <c r="AN225" s="537"/>
      <c r="AO225" s="249" t="str">
        <f>IF(Z225="Yes",COUNTIF($Z$6:Z225,"Yes"),"")</f>
        <v/>
      </c>
      <c r="AP225" s="249" t="str">
        <f>IF(AA225="Yes",COUNTIF($AA$6:AA225,"Yes"),"")</f>
        <v/>
      </c>
      <c r="AQ225" s="249" t="str">
        <f>IF(AC225="Yes",COUNTIF($AC$6:AC225,"Yes"),"")</f>
        <v/>
      </c>
    </row>
    <row r="226" spans="1:43">
      <c r="A226" s="249"/>
      <c r="B226" s="249"/>
      <c r="C226" s="249"/>
      <c r="D226" s="249"/>
      <c r="E226" s="249"/>
      <c r="F226" s="249"/>
      <c r="G226" s="249"/>
      <c r="H226" s="249"/>
      <c r="I226" s="249"/>
      <c r="J226" s="249"/>
      <c r="K226" s="249"/>
      <c r="L226" s="249"/>
      <c r="M226" s="249"/>
      <c r="N226" s="249"/>
      <c r="O226" s="249"/>
      <c r="P226" s="537"/>
      <c r="Q226" s="537"/>
      <c r="R226" s="537"/>
      <c r="S226" s="538" t="str">
        <f t="shared" ca="1" si="10"/>
        <v/>
      </c>
      <c r="T226" s="538" t="str">
        <f t="shared" ca="1" si="11"/>
        <v/>
      </c>
      <c r="U226" s="249"/>
      <c r="V226" s="249"/>
      <c r="W226" s="249"/>
      <c r="X226" s="249"/>
      <c r="Y226" s="249"/>
      <c r="Z226" s="249"/>
      <c r="AA226" s="249"/>
      <c r="AB226" s="249"/>
      <c r="AC226" s="249"/>
      <c r="AD226" s="249"/>
      <c r="AE226" s="249"/>
      <c r="AF226" s="249"/>
      <c r="AG226" s="249"/>
      <c r="AH226" s="249"/>
      <c r="AI226" s="249"/>
      <c r="AJ226" s="249"/>
      <c r="AK226" s="249"/>
      <c r="AL226" s="249"/>
      <c r="AM226" s="249"/>
      <c r="AN226" s="537"/>
      <c r="AO226" s="249" t="str">
        <f>IF(Z226="Yes",COUNTIF($Z$6:Z226,"Yes"),"")</f>
        <v/>
      </c>
      <c r="AP226" s="249" t="str">
        <f>IF(AA226="Yes",COUNTIF($AA$6:AA226,"Yes"),"")</f>
        <v/>
      </c>
      <c r="AQ226" s="249" t="str">
        <f>IF(AC226="Yes",COUNTIF($AC$6:AC226,"Yes"),"")</f>
        <v/>
      </c>
    </row>
    <row r="227" spans="1:43">
      <c r="A227" s="249"/>
      <c r="B227" s="249"/>
      <c r="C227" s="249"/>
      <c r="D227" s="249"/>
      <c r="E227" s="249"/>
      <c r="F227" s="249"/>
      <c r="G227" s="249"/>
      <c r="H227" s="249"/>
      <c r="I227" s="249"/>
      <c r="J227" s="249"/>
      <c r="K227" s="249"/>
      <c r="L227" s="249"/>
      <c r="M227" s="249"/>
      <c r="N227" s="249"/>
      <c r="O227" s="249"/>
      <c r="P227" s="537"/>
      <c r="Q227" s="537"/>
      <c r="R227" s="537"/>
      <c r="S227" s="538" t="str">
        <f t="shared" ca="1" si="10"/>
        <v/>
      </c>
      <c r="T227" s="538" t="str">
        <f t="shared" ca="1" si="11"/>
        <v/>
      </c>
      <c r="U227" s="249"/>
      <c r="V227" s="249"/>
      <c r="W227" s="249"/>
      <c r="X227" s="249"/>
      <c r="Y227" s="249"/>
      <c r="Z227" s="249"/>
      <c r="AA227" s="249"/>
      <c r="AB227" s="249"/>
      <c r="AC227" s="249"/>
      <c r="AD227" s="249"/>
      <c r="AE227" s="249"/>
      <c r="AF227" s="249"/>
      <c r="AG227" s="249"/>
      <c r="AH227" s="249"/>
      <c r="AI227" s="249"/>
      <c r="AJ227" s="249"/>
      <c r="AK227" s="249"/>
      <c r="AL227" s="249"/>
      <c r="AM227" s="249"/>
      <c r="AN227" s="537"/>
      <c r="AO227" s="249" t="str">
        <f>IF(Z227="Yes",COUNTIF($Z$6:Z227,"Yes"),"")</f>
        <v/>
      </c>
      <c r="AP227" s="249" t="str">
        <f>IF(AA227="Yes",COUNTIF($AA$6:AA227,"Yes"),"")</f>
        <v/>
      </c>
      <c r="AQ227" s="249" t="str">
        <f>IF(AC227="Yes",COUNTIF($AC$6:AC227,"Yes"),"")</f>
        <v/>
      </c>
    </row>
    <row r="228" spans="1:43">
      <c r="A228" s="249"/>
      <c r="B228" s="249"/>
      <c r="C228" s="249"/>
      <c r="D228" s="249"/>
      <c r="E228" s="249"/>
      <c r="F228" s="249"/>
      <c r="G228" s="249"/>
      <c r="H228" s="249"/>
      <c r="I228" s="249"/>
      <c r="J228" s="249"/>
      <c r="K228" s="249"/>
      <c r="L228" s="249"/>
      <c r="M228" s="249"/>
      <c r="N228" s="249"/>
      <c r="O228" s="249"/>
      <c r="P228" s="537"/>
      <c r="Q228" s="537"/>
      <c r="R228" s="537"/>
      <c r="S228" s="538" t="str">
        <f t="shared" ca="1" si="10"/>
        <v/>
      </c>
      <c r="T228" s="538" t="str">
        <f t="shared" ca="1" si="11"/>
        <v/>
      </c>
      <c r="U228" s="249"/>
      <c r="V228" s="249"/>
      <c r="W228" s="249"/>
      <c r="X228" s="249"/>
      <c r="Y228" s="249"/>
      <c r="Z228" s="249"/>
      <c r="AA228" s="249"/>
      <c r="AB228" s="249"/>
      <c r="AC228" s="249"/>
      <c r="AD228" s="249"/>
      <c r="AE228" s="249"/>
      <c r="AF228" s="249"/>
      <c r="AG228" s="249"/>
      <c r="AH228" s="249"/>
      <c r="AI228" s="249"/>
      <c r="AJ228" s="249"/>
      <c r="AK228" s="249"/>
      <c r="AL228" s="249"/>
      <c r="AM228" s="249"/>
      <c r="AN228" s="537"/>
      <c r="AO228" s="249" t="str">
        <f>IF(Z228="Yes",COUNTIF($Z$6:Z228,"Yes"),"")</f>
        <v/>
      </c>
      <c r="AP228" s="249" t="str">
        <f>IF(AA228="Yes",COUNTIF($AA$6:AA228,"Yes"),"")</f>
        <v/>
      </c>
      <c r="AQ228" s="249" t="str">
        <f>IF(AC228="Yes",COUNTIF($AC$6:AC228,"Yes"),"")</f>
        <v/>
      </c>
    </row>
    <row r="229" spans="1:43">
      <c r="A229" s="249"/>
      <c r="B229" s="249"/>
      <c r="C229" s="249"/>
      <c r="D229" s="249"/>
      <c r="E229" s="249"/>
      <c r="F229" s="249"/>
      <c r="G229" s="249"/>
      <c r="H229" s="249"/>
      <c r="I229" s="249"/>
      <c r="J229" s="249"/>
      <c r="K229" s="249"/>
      <c r="L229" s="249"/>
      <c r="M229" s="249"/>
      <c r="N229" s="249"/>
      <c r="O229" s="249"/>
      <c r="P229" s="537"/>
      <c r="Q229" s="537"/>
      <c r="R229" s="537"/>
      <c r="S229" s="538" t="str">
        <f t="shared" ca="1" si="10"/>
        <v/>
      </c>
      <c r="T229" s="538" t="str">
        <f t="shared" ca="1" si="11"/>
        <v/>
      </c>
      <c r="U229" s="249"/>
      <c r="V229" s="249"/>
      <c r="W229" s="249"/>
      <c r="X229" s="249"/>
      <c r="Y229" s="249"/>
      <c r="Z229" s="249"/>
      <c r="AA229" s="249"/>
      <c r="AB229" s="249"/>
      <c r="AC229" s="249"/>
      <c r="AD229" s="249"/>
      <c r="AE229" s="249"/>
      <c r="AF229" s="249"/>
      <c r="AG229" s="249"/>
      <c r="AH229" s="249"/>
      <c r="AI229" s="249"/>
      <c r="AJ229" s="249"/>
      <c r="AK229" s="249"/>
      <c r="AL229" s="249"/>
      <c r="AM229" s="249"/>
      <c r="AN229" s="537"/>
      <c r="AO229" s="249" t="str">
        <f>IF(Z229="Yes",COUNTIF($Z$6:Z229,"Yes"),"")</f>
        <v/>
      </c>
      <c r="AP229" s="249" t="str">
        <f>IF(AA229="Yes",COUNTIF($AA$6:AA229,"Yes"),"")</f>
        <v/>
      </c>
      <c r="AQ229" s="249" t="str">
        <f>IF(AC229="Yes",COUNTIF($AC$6:AC229,"Yes"),"")</f>
        <v/>
      </c>
    </row>
    <row r="230" spans="1:43">
      <c r="A230" s="249"/>
      <c r="B230" s="249"/>
      <c r="C230" s="249"/>
      <c r="D230" s="249"/>
      <c r="E230" s="249"/>
      <c r="F230" s="249"/>
      <c r="G230" s="249"/>
      <c r="H230" s="249"/>
      <c r="I230" s="249"/>
      <c r="J230" s="249"/>
      <c r="K230" s="249"/>
      <c r="L230" s="249"/>
      <c r="M230" s="249"/>
      <c r="N230" s="249"/>
      <c r="O230" s="249"/>
      <c r="P230" s="537"/>
      <c r="Q230" s="537"/>
      <c r="R230" s="537"/>
      <c r="S230" s="538" t="str">
        <f t="shared" ca="1" si="10"/>
        <v/>
      </c>
      <c r="T230" s="538" t="str">
        <f t="shared" ca="1" si="11"/>
        <v/>
      </c>
      <c r="U230" s="249"/>
      <c r="V230" s="249"/>
      <c r="W230" s="249"/>
      <c r="X230" s="249"/>
      <c r="Y230" s="249"/>
      <c r="Z230" s="249"/>
      <c r="AA230" s="249"/>
      <c r="AB230" s="249"/>
      <c r="AC230" s="249"/>
      <c r="AD230" s="249"/>
      <c r="AE230" s="249"/>
      <c r="AF230" s="249"/>
      <c r="AG230" s="249"/>
      <c r="AH230" s="249"/>
      <c r="AI230" s="249"/>
      <c r="AJ230" s="249"/>
      <c r="AK230" s="249"/>
      <c r="AL230" s="249"/>
      <c r="AM230" s="249"/>
      <c r="AN230" s="537"/>
      <c r="AO230" s="249" t="str">
        <f>IF(Z230="Yes",COUNTIF($Z$6:Z230,"Yes"),"")</f>
        <v/>
      </c>
      <c r="AP230" s="249" t="str">
        <f>IF(AA230="Yes",COUNTIF($AA$6:AA230,"Yes"),"")</f>
        <v/>
      </c>
      <c r="AQ230" s="249" t="str">
        <f>IF(AC230="Yes",COUNTIF($AC$6:AC230,"Yes"),"")</f>
        <v/>
      </c>
    </row>
    <row r="231" spans="1:43">
      <c r="A231" s="249"/>
      <c r="B231" s="249"/>
      <c r="C231" s="249"/>
      <c r="D231" s="249"/>
      <c r="E231" s="249"/>
      <c r="F231" s="249"/>
      <c r="G231" s="249"/>
      <c r="H231" s="249"/>
      <c r="I231" s="249"/>
      <c r="J231" s="249"/>
      <c r="K231" s="249"/>
      <c r="L231" s="249"/>
      <c r="M231" s="249"/>
      <c r="N231" s="249"/>
      <c r="O231" s="249"/>
      <c r="P231" s="537"/>
      <c r="Q231" s="537"/>
      <c r="R231" s="537"/>
      <c r="S231" s="538" t="str">
        <f t="shared" ca="1" si="10"/>
        <v/>
      </c>
      <c r="T231" s="538" t="str">
        <f t="shared" ca="1" si="11"/>
        <v/>
      </c>
      <c r="U231" s="249"/>
      <c r="V231" s="249"/>
      <c r="W231" s="249"/>
      <c r="X231" s="249"/>
      <c r="Y231" s="249"/>
      <c r="Z231" s="249"/>
      <c r="AA231" s="249"/>
      <c r="AB231" s="249"/>
      <c r="AC231" s="249"/>
      <c r="AD231" s="249"/>
      <c r="AE231" s="249"/>
      <c r="AF231" s="249"/>
      <c r="AG231" s="249"/>
      <c r="AH231" s="249"/>
      <c r="AI231" s="249"/>
      <c r="AJ231" s="249"/>
      <c r="AK231" s="249"/>
      <c r="AL231" s="249"/>
      <c r="AM231" s="249"/>
      <c r="AN231" s="537"/>
      <c r="AO231" s="249" t="str">
        <f>IF(Z231="Yes",COUNTIF($Z$6:Z231,"Yes"),"")</f>
        <v/>
      </c>
      <c r="AP231" s="249" t="str">
        <f>IF(AA231="Yes",COUNTIF($AA$6:AA231,"Yes"),"")</f>
        <v/>
      </c>
      <c r="AQ231" s="249" t="str">
        <f>IF(AC231="Yes",COUNTIF($AC$6:AC231,"Yes"),"")</f>
        <v/>
      </c>
    </row>
    <row r="232" spans="1:43">
      <c r="A232" s="249"/>
      <c r="B232" s="249"/>
      <c r="C232" s="249"/>
      <c r="D232" s="249"/>
      <c r="E232" s="249"/>
      <c r="F232" s="249"/>
      <c r="G232" s="249"/>
      <c r="H232" s="249"/>
      <c r="I232" s="249"/>
      <c r="J232" s="249"/>
      <c r="K232" s="249"/>
      <c r="L232" s="249"/>
      <c r="M232" s="249"/>
      <c r="N232" s="249"/>
      <c r="O232" s="249"/>
      <c r="P232" s="537"/>
      <c r="Q232" s="537"/>
      <c r="R232" s="537"/>
      <c r="S232" s="538" t="str">
        <f t="shared" ca="1" si="10"/>
        <v/>
      </c>
      <c r="T232" s="538" t="str">
        <f t="shared" ca="1" si="11"/>
        <v/>
      </c>
      <c r="U232" s="249"/>
      <c r="V232" s="249"/>
      <c r="W232" s="249"/>
      <c r="X232" s="249"/>
      <c r="Y232" s="249"/>
      <c r="Z232" s="249"/>
      <c r="AA232" s="249"/>
      <c r="AB232" s="249"/>
      <c r="AC232" s="249"/>
      <c r="AD232" s="249"/>
      <c r="AE232" s="249"/>
      <c r="AF232" s="249"/>
      <c r="AG232" s="249"/>
      <c r="AH232" s="249"/>
      <c r="AI232" s="249"/>
      <c r="AJ232" s="249"/>
      <c r="AK232" s="249"/>
      <c r="AL232" s="249"/>
      <c r="AM232" s="249"/>
      <c r="AN232" s="537"/>
      <c r="AO232" s="249" t="str">
        <f>IF(Z232="Yes",COUNTIF($Z$6:Z232,"Yes"),"")</f>
        <v/>
      </c>
      <c r="AP232" s="249" t="str">
        <f>IF(AA232="Yes",COUNTIF($AA$6:AA232,"Yes"),"")</f>
        <v/>
      </c>
      <c r="AQ232" s="249" t="str">
        <f>IF(AC232="Yes",COUNTIF($AC$6:AC232,"Yes"),"")</f>
        <v/>
      </c>
    </row>
    <row r="233" spans="1:43">
      <c r="A233" s="249"/>
      <c r="B233" s="249"/>
      <c r="C233" s="249"/>
      <c r="D233" s="249"/>
      <c r="E233" s="249"/>
      <c r="F233" s="249"/>
      <c r="G233" s="249"/>
      <c r="H233" s="249"/>
      <c r="I233" s="249"/>
      <c r="J233" s="249"/>
      <c r="K233" s="249"/>
      <c r="L233" s="249"/>
      <c r="M233" s="249"/>
      <c r="N233" s="249"/>
      <c r="O233" s="249"/>
      <c r="P233" s="537"/>
      <c r="Q233" s="537"/>
      <c r="R233" s="537"/>
      <c r="S233" s="538" t="str">
        <f t="shared" ca="1" si="10"/>
        <v/>
      </c>
      <c r="T233" s="538" t="str">
        <f t="shared" ca="1" si="11"/>
        <v/>
      </c>
      <c r="U233" s="249"/>
      <c r="V233" s="249"/>
      <c r="W233" s="249"/>
      <c r="X233" s="249"/>
      <c r="Y233" s="249"/>
      <c r="Z233" s="249"/>
      <c r="AA233" s="249"/>
      <c r="AB233" s="249"/>
      <c r="AC233" s="249"/>
      <c r="AD233" s="249"/>
      <c r="AE233" s="249"/>
      <c r="AF233" s="249"/>
      <c r="AG233" s="249"/>
      <c r="AH233" s="249"/>
      <c r="AI233" s="249"/>
      <c r="AJ233" s="249"/>
      <c r="AK233" s="249"/>
      <c r="AL233" s="249"/>
      <c r="AM233" s="249"/>
      <c r="AN233" s="537"/>
      <c r="AO233" s="249" t="str">
        <f>IF(Z233="Yes",COUNTIF($Z$6:Z233,"Yes"),"")</f>
        <v/>
      </c>
      <c r="AP233" s="249" t="str">
        <f>IF(AA233="Yes",COUNTIF($AA$6:AA233,"Yes"),"")</f>
        <v/>
      </c>
      <c r="AQ233" s="249" t="str">
        <f>IF(AC233="Yes",COUNTIF($AC$6:AC233,"Yes"),"")</f>
        <v/>
      </c>
    </row>
    <row r="234" spans="1:43">
      <c r="A234" s="249"/>
      <c r="B234" s="249"/>
      <c r="C234" s="249"/>
      <c r="D234" s="249"/>
      <c r="E234" s="249"/>
      <c r="F234" s="249"/>
      <c r="G234" s="249"/>
      <c r="H234" s="249"/>
      <c r="I234" s="249"/>
      <c r="J234" s="249"/>
      <c r="K234" s="249"/>
      <c r="L234" s="249"/>
      <c r="M234" s="249"/>
      <c r="N234" s="249"/>
      <c r="O234" s="249"/>
      <c r="P234" s="537"/>
      <c r="Q234" s="537"/>
      <c r="R234" s="537"/>
      <c r="S234" s="538" t="str">
        <f t="shared" ca="1" si="10"/>
        <v/>
      </c>
      <c r="T234" s="538" t="str">
        <f t="shared" ca="1" si="11"/>
        <v/>
      </c>
      <c r="U234" s="249"/>
      <c r="V234" s="249"/>
      <c r="W234" s="249"/>
      <c r="X234" s="249"/>
      <c r="Y234" s="249"/>
      <c r="Z234" s="249"/>
      <c r="AA234" s="249"/>
      <c r="AB234" s="249"/>
      <c r="AC234" s="249"/>
      <c r="AD234" s="249"/>
      <c r="AE234" s="249"/>
      <c r="AF234" s="249"/>
      <c r="AG234" s="249"/>
      <c r="AH234" s="249"/>
      <c r="AI234" s="249"/>
      <c r="AJ234" s="249"/>
      <c r="AK234" s="249"/>
      <c r="AL234" s="249"/>
      <c r="AM234" s="249"/>
      <c r="AN234" s="537"/>
      <c r="AO234" s="249" t="str">
        <f>IF(Z234="Yes",COUNTIF($Z$6:Z234,"Yes"),"")</f>
        <v/>
      </c>
      <c r="AP234" s="249" t="str">
        <f>IF(AA234="Yes",COUNTIF($AA$6:AA234,"Yes"),"")</f>
        <v/>
      </c>
      <c r="AQ234" s="249" t="str">
        <f>IF(AC234="Yes",COUNTIF($AC$6:AC234,"Yes"),"")</f>
        <v/>
      </c>
    </row>
    <row r="235" spans="1:43">
      <c r="A235" s="249"/>
      <c r="B235" s="249"/>
      <c r="C235" s="249"/>
      <c r="D235" s="249"/>
      <c r="E235" s="249"/>
      <c r="F235" s="249"/>
      <c r="G235" s="249"/>
      <c r="H235" s="249"/>
      <c r="I235" s="249"/>
      <c r="J235" s="249"/>
      <c r="K235" s="249"/>
      <c r="L235" s="249"/>
      <c r="M235" s="249"/>
      <c r="N235" s="249"/>
      <c r="O235" s="249"/>
      <c r="P235" s="537"/>
      <c r="Q235" s="537"/>
      <c r="R235" s="537"/>
      <c r="S235" s="538" t="str">
        <f t="shared" ca="1" si="10"/>
        <v/>
      </c>
      <c r="T235" s="538" t="str">
        <f t="shared" ca="1" si="11"/>
        <v/>
      </c>
      <c r="U235" s="249"/>
      <c r="V235" s="249"/>
      <c r="W235" s="249"/>
      <c r="X235" s="249"/>
      <c r="Y235" s="249"/>
      <c r="Z235" s="249"/>
      <c r="AA235" s="249"/>
      <c r="AB235" s="249"/>
      <c r="AC235" s="249"/>
      <c r="AD235" s="249"/>
      <c r="AE235" s="249"/>
      <c r="AF235" s="249"/>
      <c r="AG235" s="249"/>
      <c r="AH235" s="249"/>
      <c r="AI235" s="249"/>
      <c r="AJ235" s="249"/>
      <c r="AK235" s="249"/>
      <c r="AL235" s="249"/>
      <c r="AM235" s="249"/>
      <c r="AN235" s="537"/>
      <c r="AO235" s="249" t="str">
        <f>IF(Z235="Yes",COUNTIF($Z$6:Z235,"Yes"),"")</f>
        <v/>
      </c>
      <c r="AP235" s="249" t="str">
        <f>IF(AA235="Yes",COUNTIF($AA$6:AA235,"Yes"),"")</f>
        <v/>
      </c>
      <c r="AQ235" s="249" t="str">
        <f>IF(AC235="Yes",COUNTIF($AC$6:AC235,"Yes"),"")</f>
        <v/>
      </c>
    </row>
    <row r="236" spans="1:43">
      <c r="A236" s="249"/>
      <c r="B236" s="249"/>
      <c r="C236" s="249"/>
      <c r="D236" s="249"/>
      <c r="E236" s="249"/>
      <c r="F236" s="249"/>
      <c r="G236" s="249"/>
      <c r="H236" s="249"/>
      <c r="I236" s="249"/>
      <c r="J236" s="249"/>
      <c r="K236" s="249"/>
      <c r="L236" s="249"/>
      <c r="M236" s="249"/>
      <c r="N236" s="249"/>
      <c r="O236" s="249"/>
      <c r="P236" s="537"/>
      <c r="Q236" s="537"/>
      <c r="R236" s="537"/>
      <c r="S236" s="538" t="str">
        <f t="shared" ca="1" si="10"/>
        <v/>
      </c>
      <c r="T236" s="538" t="str">
        <f t="shared" ca="1" si="11"/>
        <v/>
      </c>
      <c r="U236" s="249"/>
      <c r="V236" s="249"/>
      <c r="W236" s="249"/>
      <c r="X236" s="249"/>
      <c r="Y236" s="249"/>
      <c r="Z236" s="249"/>
      <c r="AA236" s="249"/>
      <c r="AB236" s="249"/>
      <c r="AC236" s="249"/>
      <c r="AD236" s="249"/>
      <c r="AE236" s="249"/>
      <c r="AF236" s="249"/>
      <c r="AG236" s="249"/>
      <c r="AH236" s="249"/>
      <c r="AI236" s="249"/>
      <c r="AJ236" s="249"/>
      <c r="AK236" s="249"/>
      <c r="AL236" s="249"/>
      <c r="AM236" s="249"/>
      <c r="AN236" s="537"/>
      <c r="AO236" s="249" t="str">
        <f>IF(Z236="Yes",COUNTIF($Z$6:Z236,"Yes"),"")</f>
        <v/>
      </c>
      <c r="AP236" s="249" t="str">
        <f>IF(AA236="Yes",COUNTIF($AA$6:AA236,"Yes"),"")</f>
        <v/>
      </c>
      <c r="AQ236" s="249" t="str">
        <f>IF(AC236="Yes",COUNTIF($AC$6:AC236,"Yes"),"")</f>
        <v/>
      </c>
    </row>
    <row r="237" spans="1:43">
      <c r="A237" s="249"/>
      <c r="B237" s="249"/>
      <c r="C237" s="249"/>
      <c r="D237" s="249"/>
      <c r="E237" s="249"/>
      <c r="F237" s="249"/>
      <c r="G237" s="249"/>
      <c r="H237" s="249"/>
      <c r="I237" s="249"/>
      <c r="J237" s="249"/>
      <c r="K237" s="249"/>
      <c r="L237" s="249"/>
      <c r="M237" s="249"/>
      <c r="N237" s="249"/>
      <c r="O237" s="249"/>
      <c r="P237" s="537"/>
      <c r="Q237" s="537"/>
      <c r="R237" s="537"/>
      <c r="S237" s="538" t="str">
        <f t="shared" ca="1" si="10"/>
        <v/>
      </c>
      <c r="T237" s="538" t="str">
        <f t="shared" ca="1" si="11"/>
        <v/>
      </c>
      <c r="U237" s="249"/>
      <c r="V237" s="249"/>
      <c r="W237" s="249"/>
      <c r="X237" s="249"/>
      <c r="Y237" s="249"/>
      <c r="Z237" s="249"/>
      <c r="AA237" s="249"/>
      <c r="AB237" s="249"/>
      <c r="AC237" s="249"/>
      <c r="AD237" s="249"/>
      <c r="AE237" s="249"/>
      <c r="AF237" s="249"/>
      <c r="AG237" s="249"/>
      <c r="AH237" s="249"/>
      <c r="AI237" s="249"/>
      <c r="AJ237" s="249"/>
      <c r="AK237" s="249"/>
      <c r="AL237" s="249"/>
      <c r="AM237" s="249"/>
      <c r="AN237" s="537"/>
      <c r="AO237" s="249" t="str">
        <f>IF(Z237="Yes",COUNTIF($Z$6:Z237,"Yes"),"")</f>
        <v/>
      </c>
      <c r="AP237" s="249" t="str">
        <f>IF(AA237="Yes",COUNTIF($AA$6:AA237,"Yes"),"")</f>
        <v/>
      </c>
      <c r="AQ237" s="249" t="str">
        <f>IF(AC237="Yes",COUNTIF($AC$6:AC237,"Yes"),"")</f>
        <v/>
      </c>
    </row>
    <row r="238" spans="1:43">
      <c r="A238" s="249"/>
      <c r="B238" s="249"/>
      <c r="C238" s="249"/>
      <c r="D238" s="249"/>
      <c r="E238" s="249"/>
      <c r="F238" s="249"/>
      <c r="G238" s="249"/>
      <c r="H238" s="249"/>
      <c r="I238" s="249"/>
      <c r="J238" s="249"/>
      <c r="K238" s="249"/>
      <c r="L238" s="249"/>
      <c r="M238" s="249"/>
      <c r="N238" s="249"/>
      <c r="O238" s="249"/>
      <c r="P238" s="537"/>
      <c r="Q238" s="537"/>
      <c r="R238" s="537"/>
      <c r="S238" s="538" t="str">
        <f t="shared" ca="1" si="10"/>
        <v/>
      </c>
      <c r="T238" s="538" t="str">
        <f t="shared" ca="1" si="11"/>
        <v/>
      </c>
      <c r="U238" s="249"/>
      <c r="V238" s="249"/>
      <c r="W238" s="249"/>
      <c r="X238" s="249"/>
      <c r="Y238" s="249"/>
      <c r="Z238" s="249"/>
      <c r="AA238" s="249"/>
      <c r="AB238" s="249"/>
      <c r="AC238" s="249"/>
      <c r="AD238" s="249"/>
      <c r="AE238" s="249"/>
      <c r="AF238" s="249"/>
      <c r="AG238" s="249"/>
      <c r="AH238" s="249"/>
      <c r="AI238" s="249"/>
      <c r="AJ238" s="249"/>
      <c r="AK238" s="249"/>
      <c r="AL238" s="249"/>
      <c r="AM238" s="249"/>
      <c r="AN238" s="537"/>
      <c r="AO238" s="249" t="str">
        <f>IF(Z238="Yes",COUNTIF($Z$6:Z238,"Yes"),"")</f>
        <v/>
      </c>
      <c r="AP238" s="249" t="str">
        <f>IF(AA238="Yes",COUNTIF($AA$6:AA238,"Yes"),"")</f>
        <v/>
      </c>
      <c r="AQ238" s="249" t="str">
        <f>IF(AC238="Yes",COUNTIF($AC$6:AC238,"Yes"),"")</f>
        <v/>
      </c>
    </row>
    <row r="239" spans="1:43">
      <c r="A239" s="249"/>
      <c r="B239" s="249"/>
      <c r="C239" s="249"/>
      <c r="D239" s="249"/>
      <c r="E239" s="249"/>
      <c r="F239" s="249"/>
      <c r="G239" s="249"/>
      <c r="H239" s="249"/>
      <c r="I239" s="249"/>
      <c r="J239" s="249"/>
      <c r="K239" s="249"/>
      <c r="L239" s="249"/>
      <c r="M239" s="249"/>
      <c r="N239" s="249"/>
      <c r="O239" s="249"/>
      <c r="P239" s="537"/>
      <c r="Q239" s="537"/>
      <c r="R239" s="537"/>
      <c r="S239" s="538" t="str">
        <f t="shared" ca="1" si="10"/>
        <v/>
      </c>
      <c r="T239" s="538" t="str">
        <f t="shared" ca="1" si="11"/>
        <v/>
      </c>
      <c r="U239" s="249"/>
      <c r="V239" s="249"/>
      <c r="W239" s="249"/>
      <c r="X239" s="249"/>
      <c r="Y239" s="249"/>
      <c r="Z239" s="249"/>
      <c r="AA239" s="249"/>
      <c r="AB239" s="249"/>
      <c r="AC239" s="249"/>
      <c r="AD239" s="249"/>
      <c r="AE239" s="249"/>
      <c r="AF239" s="249"/>
      <c r="AG239" s="249"/>
      <c r="AH239" s="249"/>
      <c r="AI239" s="249"/>
      <c r="AJ239" s="249"/>
      <c r="AK239" s="249"/>
      <c r="AL239" s="249"/>
      <c r="AM239" s="249"/>
      <c r="AN239" s="537"/>
      <c r="AO239" s="249" t="str">
        <f>IF(Z239="Yes",COUNTIF($Z$6:Z239,"Yes"),"")</f>
        <v/>
      </c>
      <c r="AP239" s="249" t="str">
        <f>IF(AA239="Yes",COUNTIF($AA$6:AA239,"Yes"),"")</f>
        <v/>
      </c>
      <c r="AQ239" s="249" t="str">
        <f>IF(AC239="Yes",COUNTIF($AC$6:AC239,"Yes"),"")</f>
        <v/>
      </c>
    </row>
    <row r="240" spans="1:43">
      <c r="A240" s="249"/>
      <c r="B240" s="249"/>
      <c r="C240" s="249"/>
      <c r="D240" s="249"/>
      <c r="E240" s="249"/>
      <c r="F240" s="249"/>
      <c r="G240" s="249"/>
      <c r="H240" s="249"/>
      <c r="I240" s="249"/>
      <c r="J240" s="249"/>
      <c r="K240" s="249"/>
      <c r="L240" s="249"/>
      <c r="M240" s="249"/>
      <c r="N240" s="249"/>
      <c r="O240" s="249"/>
      <c r="P240" s="537"/>
      <c r="Q240" s="537"/>
      <c r="R240" s="537"/>
      <c r="S240" s="538" t="str">
        <f t="shared" ca="1" si="10"/>
        <v/>
      </c>
      <c r="T240" s="538" t="str">
        <f t="shared" ca="1" si="11"/>
        <v/>
      </c>
      <c r="U240" s="249"/>
      <c r="V240" s="249"/>
      <c r="W240" s="249"/>
      <c r="X240" s="249"/>
      <c r="Y240" s="249"/>
      <c r="Z240" s="249"/>
      <c r="AA240" s="249"/>
      <c r="AB240" s="249"/>
      <c r="AC240" s="249"/>
      <c r="AD240" s="249"/>
      <c r="AE240" s="249"/>
      <c r="AF240" s="249"/>
      <c r="AG240" s="249"/>
      <c r="AH240" s="249"/>
      <c r="AI240" s="249"/>
      <c r="AJ240" s="249"/>
      <c r="AK240" s="249"/>
      <c r="AL240" s="249"/>
      <c r="AM240" s="249"/>
      <c r="AN240" s="537"/>
      <c r="AO240" s="249" t="str">
        <f>IF(Z240="Yes",COUNTIF($Z$6:Z240,"Yes"),"")</f>
        <v/>
      </c>
      <c r="AP240" s="249" t="str">
        <f>IF(AA240="Yes",COUNTIF($AA$6:AA240,"Yes"),"")</f>
        <v/>
      </c>
      <c r="AQ240" s="249" t="str">
        <f>IF(AC240="Yes",COUNTIF($AC$6:AC240,"Yes"),"")</f>
        <v/>
      </c>
    </row>
    <row r="241" spans="1:43">
      <c r="A241" s="249"/>
      <c r="B241" s="249"/>
      <c r="C241" s="249"/>
      <c r="D241" s="249"/>
      <c r="E241" s="249"/>
      <c r="F241" s="249"/>
      <c r="G241" s="249"/>
      <c r="H241" s="249"/>
      <c r="I241" s="249"/>
      <c r="J241" s="249"/>
      <c r="K241" s="249"/>
      <c r="L241" s="249"/>
      <c r="M241" s="249"/>
      <c r="N241" s="249"/>
      <c r="O241" s="249"/>
      <c r="P241" s="537"/>
      <c r="Q241" s="537"/>
      <c r="R241" s="537"/>
      <c r="S241" s="538" t="str">
        <f t="shared" ca="1" si="10"/>
        <v/>
      </c>
      <c r="T241" s="538" t="str">
        <f t="shared" ca="1" si="11"/>
        <v/>
      </c>
      <c r="U241" s="249"/>
      <c r="V241" s="249"/>
      <c r="W241" s="249"/>
      <c r="X241" s="249"/>
      <c r="Y241" s="249"/>
      <c r="Z241" s="249"/>
      <c r="AA241" s="249"/>
      <c r="AB241" s="249"/>
      <c r="AC241" s="249"/>
      <c r="AD241" s="249"/>
      <c r="AE241" s="249"/>
      <c r="AF241" s="249"/>
      <c r="AG241" s="249"/>
      <c r="AH241" s="249"/>
      <c r="AI241" s="249"/>
      <c r="AJ241" s="249"/>
      <c r="AK241" s="249"/>
      <c r="AL241" s="249"/>
      <c r="AM241" s="249"/>
      <c r="AN241" s="537"/>
      <c r="AO241" s="249" t="str">
        <f>IF(Z241="Yes",COUNTIF($Z$6:Z241,"Yes"),"")</f>
        <v/>
      </c>
      <c r="AP241" s="249" t="str">
        <f>IF(AA241="Yes",COUNTIF($AA$6:AA241,"Yes"),"")</f>
        <v/>
      </c>
      <c r="AQ241" s="249" t="str">
        <f>IF(AC241="Yes",COUNTIF($AC$6:AC241,"Yes"),"")</f>
        <v/>
      </c>
    </row>
    <row r="242" spans="1:43">
      <c r="A242" s="249"/>
      <c r="B242" s="249"/>
      <c r="C242" s="249"/>
      <c r="D242" s="249"/>
      <c r="E242" s="249"/>
      <c r="F242" s="249"/>
      <c r="G242" s="249"/>
      <c r="H242" s="249"/>
      <c r="I242" s="249"/>
      <c r="J242" s="249"/>
      <c r="K242" s="249"/>
      <c r="L242" s="249"/>
      <c r="M242" s="249"/>
      <c r="N242" s="249"/>
      <c r="O242" s="249"/>
      <c r="P242" s="537"/>
      <c r="Q242" s="537"/>
      <c r="R242" s="537"/>
      <c r="S242" s="538" t="str">
        <f t="shared" ca="1" si="10"/>
        <v/>
      </c>
      <c r="T242" s="538" t="str">
        <f t="shared" ca="1" si="11"/>
        <v/>
      </c>
      <c r="U242" s="249"/>
      <c r="V242" s="249"/>
      <c r="W242" s="249"/>
      <c r="X242" s="249"/>
      <c r="Y242" s="249"/>
      <c r="Z242" s="249"/>
      <c r="AA242" s="249"/>
      <c r="AB242" s="249"/>
      <c r="AC242" s="249"/>
      <c r="AD242" s="249"/>
      <c r="AE242" s="249"/>
      <c r="AF242" s="249"/>
      <c r="AG242" s="249"/>
      <c r="AH242" s="249"/>
      <c r="AI242" s="249"/>
      <c r="AJ242" s="249"/>
      <c r="AK242" s="249"/>
      <c r="AL242" s="249"/>
      <c r="AM242" s="249"/>
      <c r="AN242" s="537"/>
      <c r="AO242" s="249" t="str">
        <f>IF(Z242="Yes",COUNTIF($Z$6:Z242,"Yes"),"")</f>
        <v/>
      </c>
      <c r="AP242" s="249" t="str">
        <f>IF(AA242="Yes",COUNTIF($AA$6:AA242,"Yes"),"")</f>
        <v/>
      </c>
      <c r="AQ242" s="249" t="str">
        <f>IF(AC242="Yes",COUNTIF($AC$6:AC242,"Yes"),"")</f>
        <v/>
      </c>
    </row>
    <row r="243" spans="1:43">
      <c r="A243" s="249"/>
      <c r="B243" s="249"/>
      <c r="C243" s="249"/>
      <c r="D243" s="249"/>
      <c r="E243" s="249"/>
      <c r="F243" s="249"/>
      <c r="G243" s="249"/>
      <c r="H243" s="249"/>
      <c r="I243" s="249"/>
      <c r="J243" s="249"/>
      <c r="K243" s="249"/>
      <c r="L243" s="249"/>
      <c r="M243" s="249"/>
      <c r="N243" s="249"/>
      <c r="O243" s="249"/>
      <c r="P243" s="537"/>
      <c r="Q243" s="537"/>
      <c r="R243" s="537"/>
      <c r="S243" s="538" t="str">
        <f t="shared" ca="1" si="10"/>
        <v/>
      </c>
      <c r="T243" s="538" t="str">
        <f t="shared" ca="1" si="11"/>
        <v/>
      </c>
      <c r="U243" s="249"/>
      <c r="V243" s="249"/>
      <c r="W243" s="249"/>
      <c r="X243" s="249"/>
      <c r="Y243" s="249"/>
      <c r="Z243" s="249"/>
      <c r="AA243" s="249"/>
      <c r="AB243" s="249"/>
      <c r="AC243" s="249"/>
      <c r="AD243" s="249"/>
      <c r="AE243" s="249"/>
      <c r="AF243" s="249"/>
      <c r="AG243" s="249"/>
      <c r="AH243" s="249"/>
      <c r="AI243" s="249"/>
      <c r="AJ243" s="249"/>
      <c r="AK243" s="249"/>
      <c r="AL243" s="249"/>
      <c r="AM243" s="249"/>
      <c r="AN243" s="537"/>
      <c r="AO243" s="249" t="str">
        <f>IF(Z243="Yes",COUNTIF($Z$6:Z243,"Yes"),"")</f>
        <v/>
      </c>
      <c r="AP243" s="249" t="str">
        <f>IF(AA243="Yes",COUNTIF($AA$6:AA243,"Yes"),"")</f>
        <v/>
      </c>
      <c r="AQ243" s="249" t="str">
        <f>IF(AC243="Yes",COUNTIF($AC$6:AC243,"Yes"),"")</f>
        <v/>
      </c>
    </row>
    <row r="244" spans="1:43">
      <c r="A244" s="249"/>
      <c r="B244" s="249"/>
      <c r="C244" s="249"/>
      <c r="D244" s="249"/>
      <c r="E244" s="249"/>
      <c r="F244" s="249"/>
      <c r="G244" s="249"/>
      <c r="H244" s="249"/>
      <c r="I244" s="249"/>
      <c r="J244" s="249"/>
      <c r="K244" s="249"/>
      <c r="L244" s="249"/>
      <c r="M244" s="249"/>
      <c r="N244" s="249"/>
      <c r="O244" s="249"/>
      <c r="P244" s="537"/>
      <c r="Q244" s="537"/>
      <c r="R244" s="537"/>
      <c r="S244" s="538" t="str">
        <f t="shared" ca="1" si="10"/>
        <v/>
      </c>
      <c r="T244" s="538" t="str">
        <f t="shared" ca="1" si="11"/>
        <v/>
      </c>
      <c r="U244" s="249"/>
      <c r="V244" s="249"/>
      <c r="W244" s="249"/>
      <c r="X244" s="249"/>
      <c r="Y244" s="249"/>
      <c r="Z244" s="249"/>
      <c r="AA244" s="249"/>
      <c r="AB244" s="249"/>
      <c r="AC244" s="249"/>
      <c r="AD244" s="249"/>
      <c r="AE244" s="249"/>
      <c r="AF244" s="249"/>
      <c r="AG244" s="249"/>
      <c r="AH244" s="249"/>
      <c r="AI244" s="249"/>
      <c r="AJ244" s="249"/>
      <c r="AK244" s="249"/>
      <c r="AL244" s="249"/>
      <c r="AM244" s="249"/>
      <c r="AN244" s="537"/>
      <c r="AO244" s="249" t="str">
        <f>IF(Z244="Yes",COUNTIF($Z$6:Z244,"Yes"),"")</f>
        <v/>
      </c>
      <c r="AP244" s="249" t="str">
        <f>IF(AA244="Yes",COUNTIF($AA$6:AA244,"Yes"),"")</f>
        <v/>
      </c>
      <c r="AQ244" s="249" t="str">
        <f>IF(AC244="Yes",COUNTIF($AC$6:AC244,"Yes"),"")</f>
        <v/>
      </c>
    </row>
    <row r="245" spans="1:43">
      <c r="A245" s="249"/>
      <c r="B245" s="249"/>
      <c r="C245" s="249"/>
      <c r="D245" s="249"/>
      <c r="E245" s="249"/>
      <c r="F245" s="249"/>
      <c r="G245" s="249"/>
      <c r="H245" s="249"/>
      <c r="I245" s="249"/>
      <c r="J245" s="249"/>
      <c r="K245" s="249"/>
      <c r="L245" s="249"/>
      <c r="M245" s="249"/>
      <c r="N245" s="249"/>
      <c r="O245" s="249"/>
      <c r="P245" s="537"/>
      <c r="Q245" s="537"/>
      <c r="R245" s="537"/>
      <c r="S245" s="538" t="str">
        <f t="shared" ca="1" si="10"/>
        <v/>
      </c>
      <c r="T245" s="538" t="str">
        <f t="shared" ca="1" si="11"/>
        <v/>
      </c>
      <c r="U245" s="249"/>
      <c r="V245" s="249"/>
      <c r="W245" s="249"/>
      <c r="X245" s="249"/>
      <c r="Y245" s="249"/>
      <c r="Z245" s="249"/>
      <c r="AA245" s="249"/>
      <c r="AB245" s="249"/>
      <c r="AC245" s="249"/>
      <c r="AD245" s="249"/>
      <c r="AE245" s="249"/>
      <c r="AF245" s="249"/>
      <c r="AG245" s="249"/>
      <c r="AH245" s="249"/>
      <c r="AI245" s="249"/>
      <c r="AJ245" s="249"/>
      <c r="AK245" s="249"/>
      <c r="AL245" s="249"/>
      <c r="AM245" s="249"/>
      <c r="AN245" s="537"/>
      <c r="AO245" s="249" t="str">
        <f>IF(Z245="Yes",COUNTIF($Z$6:Z245,"Yes"),"")</f>
        <v/>
      </c>
      <c r="AP245" s="249" t="str">
        <f>IF(AA245="Yes",COUNTIF($AA$6:AA245,"Yes"),"")</f>
        <v/>
      </c>
      <c r="AQ245" s="249" t="str">
        <f>IF(AC245="Yes",COUNTIF($AC$6:AC245,"Yes"),"")</f>
        <v/>
      </c>
    </row>
    <row r="246" spans="1:43">
      <c r="A246" s="249"/>
      <c r="B246" s="249"/>
      <c r="C246" s="249"/>
      <c r="D246" s="249"/>
      <c r="E246" s="249"/>
      <c r="F246" s="249"/>
      <c r="G246" s="249"/>
      <c r="H246" s="249"/>
      <c r="I246" s="249"/>
      <c r="J246" s="249"/>
      <c r="K246" s="249"/>
      <c r="L246" s="249"/>
      <c r="M246" s="249"/>
      <c r="N246" s="249"/>
      <c r="O246" s="249"/>
      <c r="P246" s="537"/>
      <c r="Q246" s="537"/>
      <c r="R246" s="537"/>
      <c r="S246" s="538" t="str">
        <f t="shared" ca="1" si="10"/>
        <v/>
      </c>
      <c r="T246" s="538" t="str">
        <f t="shared" ca="1" si="11"/>
        <v/>
      </c>
      <c r="U246" s="249"/>
      <c r="V246" s="249"/>
      <c r="W246" s="249"/>
      <c r="X246" s="249"/>
      <c r="Y246" s="249"/>
      <c r="Z246" s="249"/>
      <c r="AA246" s="249"/>
      <c r="AB246" s="249"/>
      <c r="AC246" s="249"/>
      <c r="AD246" s="249"/>
      <c r="AE246" s="249"/>
      <c r="AF246" s="249"/>
      <c r="AG246" s="249"/>
      <c r="AH246" s="249"/>
      <c r="AI246" s="249"/>
      <c r="AJ246" s="249"/>
      <c r="AK246" s="249"/>
      <c r="AL246" s="249"/>
      <c r="AM246" s="249"/>
      <c r="AN246" s="537"/>
      <c r="AO246" s="249" t="str">
        <f>IF(Z246="Yes",COUNTIF($Z$6:Z246,"Yes"),"")</f>
        <v/>
      </c>
      <c r="AP246" s="249" t="str">
        <f>IF(AA246="Yes",COUNTIF($AA$6:AA246,"Yes"),"")</f>
        <v/>
      </c>
      <c r="AQ246" s="249" t="str">
        <f>IF(AC246="Yes",COUNTIF($AC$6:AC246,"Yes"),"")</f>
        <v/>
      </c>
    </row>
    <row r="247" spans="1:43">
      <c r="A247" s="249"/>
      <c r="B247" s="249"/>
      <c r="C247" s="249"/>
      <c r="D247" s="249"/>
      <c r="E247" s="249"/>
      <c r="F247" s="249"/>
      <c r="G247" s="249"/>
      <c r="H247" s="249"/>
      <c r="I247" s="249"/>
      <c r="J247" s="249"/>
      <c r="K247" s="249"/>
      <c r="L247" s="249"/>
      <c r="M247" s="249"/>
      <c r="N247" s="249"/>
      <c r="O247" s="249"/>
      <c r="P247" s="537"/>
      <c r="Q247" s="537"/>
      <c r="R247" s="537"/>
      <c r="S247" s="538" t="str">
        <f t="shared" ca="1" si="10"/>
        <v/>
      </c>
      <c r="T247" s="538" t="str">
        <f t="shared" ca="1" si="11"/>
        <v/>
      </c>
      <c r="U247" s="249"/>
      <c r="V247" s="249"/>
      <c r="W247" s="249"/>
      <c r="X247" s="249"/>
      <c r="Y247" s="249"/>
      <c r="Z247" s="249"/>
      <c r="AA247" s="249"/>
      <c r="AB247" s="249"/>
      <c r="AC247" s="249"/>
      <c r="AD247" s="249"/>
      <c r="AE247" s="249"/>
      <c r="AF247" s="249"/>
      <c r="AG247" s="249"/>
      <c r="AH247" s="249"/>
      <c r="AI247" s="249"/>
      <c r="AJ247" s="249"/>
      <c r="AK247" s="249"/>
      <c r="AL247" s="249"/>
      <c r="AM247" s="249"/>
      <c r="AN247" s="537"/>
      <c r="AO247" s="249" t="str">
        <f>IF(Z247="Yes",COUNTIF($Z$6:Z247,"Yes"),"")</f>
        <v/>
      </c>
      <c r="AP247" s="249" t="str">
        <f>IF(AA247="Yes",COUNTIF($AA$6:AA247,"Yes"),"")</f>
        <v/>
      </c>
      <c r="AQ247" s="249" t="str">
        <f>IF(AC247="Yes",COUNTIF($AC$6:AC247,"Yes"),"")</f>
        <v/>
      </c>
    </row>
    <row r="248" spans="1:43">
      <c r="A248" s="249"/>
      <c r="B248" s="249"/>
      <c r="C248" s="249"/>
      <c r="D248" s="249"/>
      <c r="E248" s="249"/>
      <c r="F248" s="249"/>
      <c r="G248" s="249"/>
      <c r="H248" s="249"/>
      <c r="I248" s="249"/>
      <c r="J248" s="249"/>
      <c r="K248" s="249"/>
      <c r="L248" s="249"/>
      <c r="M248" s="249"/>
      <c r="N248" s="249"/>
      <c r="O248" s="249"/>
      <c r="P248" s="537"/>
      <c r="Q248" s="537"/>
      <c r="R248" s="537"/>
      <c r="S248" s="538" t="str">
        <f t="shared" ca="1" si="10"/>
        <v/>
      </c>
      <c r="T248" s="538" t="str">
        <f t="shared" ca="1" si="11"/>
        <v/>
      </c>
      <c r="U248" s="249"/>
      <c r="V248" s="249"/>
      <c r="W248" s="249"/>
      <c r="X248" s="249"/>
      <c r="Y248" s="249"/>
      <c r="Z248" s="249"/>
      <c r="AA248" s="249"/>
      <c r="AB248" s="249"/>
      <c r="AC248" s="249"/>
      <c r="AD248" s="249"/>
      <c r="AE248" s="249"/>
      <c r="AF248" s="249"/>
      <c r="AG248" s="249"/>
      <c r="AH248" s="249"/>
      <c r="AI248" s="249"/>
      <c r="AJ248" s="249"/>
      <c r="AK248" s="249"/>
      <c r="AL248" s="249"/>
      <c r="AM248" s="249"/>
      <c r="AN248" s="537"/>
      <c r="AO248" s="249" t="str">
        <f>IF(Z248="Yes",COUNTIF($Z$6:Z248,"Yes"),"")</f>
        <v/>
      </c>
      <c r="AP248" s="249" t="str">
        <f>IF(AA248="Yes",COUNTIF($AA$6:AA248,"Yes"),"")</f>
        <v/>
      </c>
      <c r="AQ248" s="249" t="str">
        <f>IF(AC248="Yes",COUNTIF($AC$6:AC248,"Yes"),"")</f>
        <v/>
      </c>
    </row>
    <row r="249" spans="1:43">
      <c r="A249" s="249"/>
      <c r="B249" s="249"/>
      <c r="C249" s="249"/>
      <c r="D249" s="249"/>
      <c r="E249" s="249"/>
      <c r="F249" s="249"/>
      <c r="G249" s="249"/>
      <c r="H249" s="249"/>
      <c r="I249" s="249"/>
      <c r="J249" s="249"/>
      <c r="K249" s="249"/>
      <c r="L249" s="249"/>
      <c r="M249" s="249"/>
      <c r="N249" s="249"/>
      <c r="O249" s="249"/>
      <c r="P249" s="537"/>
      <c r="Q249" s="537"/>
      <c r="R249" s="537"/>
      <c r="S249" s="538" t="str">
        <f t="shared" ca="1" si="10"/>
        <v/>
      </c>
      <c r="T249" s="538" t="str">
        <f t="shared" ca="1" si="11"/>
        <v/>
      </c>
      <c r="U249" s="249"/>
      <c r="V249" s="249"/>
      <c r="W249" s="249"/>
      <c r="X249" s="249"/>
      <c r="Y249" s="249"/>
      <c r="Z249" s="249"/>
      <c r="AA249" s="249"/>
      <c r="AB249" s="249"/>
      <c r="AC249" s="249"/>
      <c r="AD249" s="249"/>
      <c r="AE249" s="249"/>
      <c r="AF249" s="249"/>
      <c r="AG249" s="249"/>
      <c r="AH249" s="249"/>
      <c r="AI249" s="249"/>
      <c r="AJ249" s="249"/>
      <c r="AK249" s="249"/>
      <c r="AL249" s="249"/>
      <c r="AM249" s="249"/>
      <c r="AN249" s="537"/>
      <c r="AO249" s="249" t="str">
        <f>IF(Z249="Yes",COUNTIF($Z$6:Z249,"Yes"),"")</f>
        <v/>
      </c>
      <c r="AP249" s="249" t="str">
        <f>IF(AA249="Yes",COUNTIF($AA$6:AA249,"Yes"),"")</f>
        <v/>
      </c>
      <c r="AQ249" s="249" t="str">
        <f>IF(AC249="Yes",COUNTIF($AC$6:AC249,"Yes"),"")</f>
        <v/>
      </c>
    </row>
    <row r="250" spans="1:43">
      <c r="A250" s="249"/>
      <c r="B250" s="249"/>
      <c r="C250" s="249"/>
      <c r="D250" s="249"/>
      <c r="E250" s="249"/>
      <c r="F250" s="249"/>
      <c r="G250" s="249"/>
      <c r="H250" s="249"/>
      <c r="I250" s="249"/>
      <c r="J250" s="249"/>
      <c r="K250" s="249"/>
      <c r="L250" s="249"/>
      <c r="M250" s="249"/>
      <c r="N250" s="249"/>
      <c r="O250" s="249"/>
      <c r="P250" s="537"/>
      <c r="Q250" s="537"/>
      <c r="R250" s="537"/>
      <c r="S250" s="538" t="str">
        <f t="shared" ca="1" si="10"/>
        <v/>
      </c>
      <c r="T250" s="538" t="str">
        <f t="shared" ca="1" si="11"/>
        <v/>
      </c>
      <c r="U250" s="249"/>
      <c r="V250" s="249"/>
      <c r="W250" s="249"/>
      <c r="X250" s="249"/>
      <c r="Y250" s="249"/>
      <c r="Z250" s="249"/>
      <c r="AA250" s="249"/>
      <c r="AB250" s="249"/>
      <c r="AC250" s="249"/>
      <c r="AD250" s="249"/>
      <c r="AE250" s="249"/>
      <c r="AF250" s="249"/>
      <c r="AG250" s="249"/>
      <c r="AH250" s="249"/>
      <c r="AI250" s="249"/>
      <c r="AJ250" s="249"/>
      <c r="AK250" s="249"/>
      <c r="AL250" s="249"/>
      <c r="AM250" s="249"/>
      <c r="AN250" s="537"/>
      <c r="AO250" s="249" t="str">
        <f>IF(Z250="Yes",COUNTIF($Z$6:Z250,"Yes"),"")</f>
        <v/>
      </c>
      <c r="AP250" s="249" t="str">
        <f>IF(AA250="Yes",COUNTIF($AA$6:AA250,"Yes"),"")</f>
        <v/>
      </c>
      <c r="AQ250" s="249" t="str">
        <f>IF(AC250="Yes",COUNTIF($AC$6:AC250,"Yes"),"")</f>
        <v/>
      </c>
    </row>
    <row r="251" spans="1:43">
      <c r="A251" s="249"/>
      <c r="B251" s="249"/>
      <c r="C251" s="249"/>
      <c r="D251" s="249"/>
      <c r="E251" s="249"/>
      <c r="F251" s="249"/>
      <c r="G251" s="249"/>
      <c r="H251" s="249"/>
      <c r="I251" s="249"/>
      <c r="J251" s="249"/>
      <c r="K251" s="249"/>
      <c r="L251" s="249"/>
      <c r="M251" s="249"/>
      <c r="N251" s="249"/>
      <c r="O251" s="249"/>
      <c r="P251" s="537"/>
      <c r="Q251" s="537"/>
      <c r="R251" s="537"/>
      <c r="S251" s="538" t="str">
        <f t="shared" ca="1" si="10"/>
        <v/>
      </c>
      <c r="T251" s="538" t="str">
        <f t="shared" ca="1" si="11"/>
        <v/>
      </c>
      <c r="U251" s="249"/>
      <c r="V251" s="249"/>
      <c r="W251" s="249"/>
      <c r="X251" s="249"/>
      <c r="Y251" s="249"/>
      <c r="Z251" s="249"/>
      <c r="AA251" s="249"/>
      <c r="AB251" s="249"/>
      <c r="AC251" s="249"/>
      <c r="AD251" s="249"/>
      <c r="AE251" s="249"/>
      <c r="AF251" s="249"/>
      <c r="AG251" s="249"/>
      <c r="AH251" s="249"/>
      <c r="AI251" s="249"/>
      <c r="AJ251" s="249"/>
      <c r="AK251" s="249"/>
      <c r="AL251" s="249"/>
      <c r="AM251" s="249"/>
      <c r="AN251" s="537"/>
      <c r="AO251" s="249" t="str">
        <f>IF(Z251="Yes",COUNTIF($Z$6:Z251,"Yes"),"")</f>
        <v/>
      </c>
      <c r="AP251" s="249" t="str">
        <f>IF(AA251="Yes",COUNTIF($AA$6:AA251,"Yes"),"")</f>
        <v/>
      </c>
      <c r="AQ251" s="249" t="str">
        <f>IF(AC251="Yes",COUNTIF($AC$6:AC251,"Yes"),"")</f>
        <v/>
      </c>
    </row>
    <row r="252" spans="1:43">
      <c r="A252" s="249"/>
      <c r="B252" s="249"/>
      <c r="C252" s="249"/>
      <c r="D252" s="249"/>
      <c r="E252" s="249"/>
      <c r="F252" s="249"/>
      <c r="G252" s="249"/>
      <c r="H252" s="249"/>
      <c r="I252" s="249"/>
      <c r="J252" s="249"/>
      <c r="K252" s="249"/>
      <c r="L252" s="249"/>
      <c r="M252" s="249"/>
      <c r="N252" s="249"/>
      <c r="O252" s="249"/>
      <c r="P252" s="537"/>
      <c r="Q252" s="537"/>
      <c r="R252" s="537"/>
      <c r="S252" s="538" t="str">
        <f t="shared" ca="1" si="10"/>
        <v/>
      </c>
      <c r="T252" s="538" t="str">
        <f t="shared" ca="1" si="11"/>
        <v/>
      </c>
      <c r="U252" s="249"/>
      <c r="V252" s="249"/>
      <c r="W252" s="249"/>
      <c r="X252" s="249"/>
      <c r="Y252" s="249"/>
      <c r="Z252" s="249"/>
      <c r="AA252" s="249"/>
      <c r="AB252" s="249"/>
      <c r="AC252" s="249"/>
      <c r="AD252" s="249"/>
      <c r="AE252" s="249"/>
      <c r="AF252" s="249"/>
      <c r="AG252" s="249"/>
      <c r="AH252" s="249"/>
      <c r="AI252" s="249"/>
      <c r="AJ252" s="249"/>
      <c r="AK252" s="249"/>
      <c r="AL252" s="249"/>
      <c r="AM252" s="249"/>
      <c r="AN252" s="537"/>
      <c r="AO252" s="249" t="str">
        <f>IF(Z252="Yes",COUNTIF($Z$6:Z252,"Yes"),"")</f>
        <v/>
      </c>
      <c r="AP252" s="249" t="str">
        <f>IF(AA252="Yes",COUNTIF($AA$6:AA252,"Yes"),"")</f>
        <v/>
      </c>
      <c r="AQ252" s="249" t="str">
        <f>IF(AC252="Yes",COUNTIF($AC$6:AC252,"Yes"),"")</f>
        <v/>
      </c>
    </row>
    <row r="253" spans="1:43">
      <c r="A253" s="249"/>
      <c r="B253" s="249"/>
      <c r="C253" s="249"/>
      <c r="D253" s="249"/>
      <c r="E253" s="249"/>
      <c r="F253" s="249"/>
      <c r="G253" s="249"/>
      <c r="H253" s="249"/>
      <c r="I253" s="249"/>
      <c r="J253" s="249"/>
      <c r="K253" s="249"/>
      <c r="L253" s="249"/>
      <c r="M253" s="249"/>
      <c r="N253" s="249"/>
      <c r="O253" s="249"/>
      <c r="P253" s="537"/>
      <c r="Q253" s="537"/>
      <c r="R253" s="537"/>
      <c r="S253" s="538" t="str">
        <f t="shared" ca="1" si="10"/>
        <v/>
      </c>
      <c r="T253" s="538" t="str">
        <f t="shared" ca="1" si="11"/>
        <v/>
      </c>
      <c r="U253" s="249"/>
      <c r="V253" s="249"/>
      <c r="W253" s="249"/>
      <c r="X253" s="249"/>
      <c r="Y253" s="249"/>
      <c r="Z253" s="249"/>
      <c r="AA253" s="249"/>
      <c r="AB253" s="249"/>
      <c r="AC253" s="249"/>
      <c r="AD253" s="249"/>
      <c r="AE253" s="249"/>
      <c r="AF253" s="249"/>
      <c r="AG253" s="249"/>
      <c r="AH253" s="249"/>
      <c r="AI253" s="249"/>
      <c r="AJ253" s="249"/>
      <c r="AK253" s="249"/>
      <c r="AL253" s="249"/>
      <c r="AM253" s="249"/>
      <c r="AN253" s="537"/>
      <c r="AO253" s="249" t="str">
        <f>IF(Z253="Yes",COUNTIF($Z$6:Z253,"Yes"),"")</f>
        <v/>
      </c>
      <c r="AP253" s="249" t="str">
        <f>IF(AA253="Yes",COUNTIF($AA$6:AA253,"Yes"),"")</f>
        <v/>
      </c>
      <c r="AQ253" s="249" t="str">
        <f>IF(AC253="Yes",COUNTIF($AC$6:AC253,"Yes"),"")</f>
        <v/>
      </c>
    </row>
    <row r="254" spans="1:43">
      <c r="A254" s="249"/>
      <c r="B254" s="249"/>
      <c r="C254" s="249"/>
      <c r="D254" s="249"/>
      <c r="E254" s="249"/>
      <c r="F254" s="249"/>
      <c r="G254" s="249"/>
      <c r="H254" s="249"/>
      <c r="I254" s="249"/>
      <c r="J254" s="249"/>
      <c r="K254" s="249"/>
      <c r="L254" s="249"/>
      <c r="M254" s="249"/>
      <c r="N254" s="249"/>
      <c r="O254" s="249"/>
      <c r="P254" s="537"/>
      <c r="Q254" s="537"/>
      <c r="R254" s="537"/>
      <c r="S254" s="538" t="str">
        <f t="shared" ca="1" si="10"/>
        <v/>
      </c>
      <c r="T254" s="538" t="str">
        <f t="shared" ca="1" si="11"/>
        <v/>
      </c>
      <c r="U254" s="249"/>
      <c r="V254" s="249"/>
      <c r="W254" s="249"/>
      <c r="X254" s="249"/>
      <c r="Y254" s="249"/>
      <c r="Z254" s="249"/>
      <c r="AA254" s="249"/>
      <c r="AB254" s="249"/>
      <c r="AC254" s="249"/>
      <c r="AD254" s="249"/>
      <c r="AE254" s="249"/>
      <c r="AF254" s="249"/>
      <c r="AG254" s="249"/>
      <c r="AH254" s="249"/>
      <c r="AI254" s="249"/>
      <c r="AJ254" s="249"/>
      <c r="AK254" s="249"/>
      <c r="AL254" s="249"/>
      <c r="AM254" s="249"/>
      <c r="AN254" s="537"/>
      <c r="AO254" s="249" t="str">
        <f>IF(Z254="Yes",COUNTIF($Z$6:Z254,"Yes"),"")</f>
        <v/>
      </c>
      <c r="AP254" s="249" t="str">
        <f>IF(AA254="Yes",COUNTIF($AA$6:AA254,"Yes"),"")</f>
        <v/>
      </c>
      <c r="AQ254" s="249" t="str">
        <f>IF(AC254="Yes",COUNTIF($AC$6:AC254,"Yes"),"")</f>
        <v/>
      </c>
    </row>
    <row r="255" spans="1:43">
      <c r="A255" s="249"/>
      <c r="B255" s="249"/>
      <c r="C255" s="249"/>
      <c r="D255" s="249"/>
      <c r="E255" s="249"/>
      <c r="F255" s="249"/>
      <c r="G255" s="249"/>
      <c r="H255" s="249"/>
      <c r="I255" s="249"/>
      <c r="J255" s="249"/>
      <c r="K255" s="249"/>
      <c r="L255" s="249"/>
      <c r="M255" s="249"/>
      <c r="N255" s="249"/>
      <c r="O255" s="249"/>
      <c r="P255" s="537"/>
      <c r="Q255" s="537"/>
      <c r="R255" s="537"/>
      <c r="S255" s="538" t="str">
        <f t="shared" ca="1" si="10"/>
        <v/>
      </c>
      <c r="T255" s="538" t="str">
        <f t="shared" ca="1" si="11"/>
        <v/>
      </c>
      <c r="U255" s="249"/>
      <c r="V255" s="249"/>
      <c r="W255" s="249"/>
      <c r="X255" s="249"/>
      <c r="Y255" s="249"/>
      <c r="Z255" s="249"/>
      <c r="AA255" s="249"/>
      <c r="AB255" s="249"/>
      <c r="AC255" s="249"/>
      <c r="AD255" s="249"/>
      <c r="AE255" s="249"/>
      <c r="AF255" s="249"/>
      <c r="AG255" s="249"/>
      <c r="AH255" s="249"/>
      <c r="AI255" s="249"/>
      <c r="AJ255" s="249"/>
      <c r="AK255" s="249"/>
      <c r="AL255" s="249"/>
      <c r="AM255" s="249"/>
      <c r="AN255" s="537"/>
      <c r="AO255" s="249" t="str">
        <f>IF(Z255="Yes",COUNTIF($Z$6:Z255,"Yes"),"")</f>
        <v/>
      </c>
      <c r="AP255" s="249" t="str">
        <f>IF(AA255="Yes",COUNTIF($AA$6:AA255,"Yes"),"")</f>
        <v/>
      </c>
      <c r="AQ255" s="249" t="str">
        <f>IF(AC255="Yes",COUNTIF($AC$6:AC255,"Yes"),"")</f>
        <v/>
      </c>
    </row>
    <row r="256" spans="1:43">
      <c r="A256" s="249"/>
      <c r="B256" s="249"/>
      <c r="C256" s="249"/>
      <c r="D256" s="249"/>
      <c r="E256" s="249"/>
      <c r="F256" s="249"/>
      <c r="G256" s="249"/>
      <c r="H256" s="249"/>
      <c r="I256" s="249"/>
      <c r="J256" s="249"/>
      <c r="K256" s="249"/>
      <c r="L256" s="249"/>
      <c r="M256" s="249"/>
      <c r="N256" s="249"/>
      <c r="O256" s="249"/>
      <c r="P256" s="537"/>
      <c r="Q256" s="537"/>
      <c r="R256" s="537"/>
      <c r="S256" s="538" t="str">
        <f t="shared" ca="1" si="10"/>
        <v/>
      </c>
      <c r="T256" s="538" t="str">
        <f t="shared" ca="1" si="11"/>
        <v/>
      </c>
      <c r="U256" s="249"/>
      <c r="V256" s="249"/>
      <c r="W256" s="249"/>
      <c r="X256" s="249"/>
      <c r="Y256" s="249"/>
      <c r="Z256" s="249"/>
      <c r="AA256" s="249"/>
      <c r="AB256" s="249"/>
      <c r="AC256" s="249"/>
      <c r="AD256" s="249"/>
      <c r="AE256" s="249"/>
      <c r="AF256" s="249"/>
      <c r="AG256" s="249"/>
      <c r="AH256" s="249"/>
      <c r="AI256" s="249"/>
      <c r="AJ256" s="249"/>
      <c r="AK256" s="249"/>
      <c r="AL256" s="249"/>
      <c r="AM256" s="249"/>
      <c r="AN256" s="537"/>
      <c r="AO256" s="249" t="str">
        <f>IF(Z256="Yes",COUNTIF($Z$6:Z256,"Yes"),"")</f>
        <v/>
      </c>
      <c r="AP256" s="249" t="str">
        <f>IF(AA256="Yes",COUNTIF($AA$6:AA256,"Yes"),"")</f>
        <v/>
      </c>
      <c r="AQ256" s="249" t="str">
        <f>IF(AC256="Yes",COUNTIF($AC$6:AC256,"Yes"),"")</f>
        <v/>
      </c>
    </row>
    <row r="257" spans="1:43">
      <c r="A257" s="249"/>
      <c r="B257" s="249"/>
      <c r="C257" s="249"/>
      <c r="D257" s="249"/>
      <c r="E257" s="249"/>
      <c r="F257" s="249"/>
      <c r="G257" s="249"/>
      <c r="H257" s="249"/>
      <c r="I257" s="249"/>
      <c r="J257" s="249"/>
      <c r="K257" s="249"/>
      <c r="L257" s="249"/>
      <c r="M257" s="249"/>
      <c r="N257" s="249"/>
      <c r="O257" s="249"/>
      <c r="P257" s="537"/>
      <c r="Q257" s="537"/>
      <c r="R257" s="537"/>
      <c r="S257" s="538" t="str">
        <f t="shared" ca="1" si="10"/>
        <v/>
      </c>
      <c r="T257" s="538" t="str">
        <f t="shared" ca="1" si="11"/>
        <v/>
      </c>
      <c r="U257" s="249"/>
      <c r="V257" s="249"/>
      <c r="W257" s="249"/>
      <c r="X257" s="249"/>
      <c r="Y257" s="249"/>
      <c r="Z257" s="249"/>
      <c r="AA257" s="249"/>
      <c r="AB257" s="249"/>
      <c r="AC257" s="249"/>
      <c r="AD257" s="249"/>
      <c r="AE257" s="249"/>
      <c r="AF257" s="249"/>
      <c r="AG257" s="249"/>
      <c r="AH257" s="249"/>
      <c r="AI257" s="249"/>
      <c r="AJ257" s="249"/>
      <c r="AK257" s="249"/>
      <c r="AL257" s="249"/>
      <c r="AM257" s="249"/>
      <c r="AN257" s="537"/>
      <c r="AO257" s="249" t="str">
        <f>IF(Z257="Yes",COUNTIF($Z$6:Z257,"Yes"),"")</f>
        <v/>
      </c>
      <c r="AP257" s="249" t="str">
        <f>IF(AA257="Yes",COUNTIF($AA$6:AA257,"Yes"),"")</f>
        <v/>
      </c>
      <c r="AQ257" s="249" t="str">
        <f>IF(AC257="Yes",COUNTIF($AC$6:AC257,"Yes"),"")</f>
        <v/>
      </c>
    </row>
    <row r="258" spans="1:43">
      <c r="A258" s="249"/>
      <c r="B258" s="249"/>
      <c r="C258" s="249"/>
      <c r="D258" s="249"/>
      <c r="E258" s="249"/>
      <c r="F258" s="249"/>
      <c r="G258" s="249"/>
      <c r="H258" s="249"/>
      <c r="I258" s="249"/>
      <c r="J258" s="249"/>
      <c r="K258" s="249"/>
      <c r="L258" s="249"/>
      <c r="M258" s="249"/>
      <c r="N258" s="249"/>
      <c r="O258" s="249"/>
      <c r="P258" s="537"/>
      <c r="Q258" s="537"/>
      <c r="R258" s="537"/>
      <c r="S258" s="538" t="str">
        <f t="shared" ca="1" si="10"/>
        <v/>
      </c>
      <c r="T258" s="538" t="str">
        <f t="shared" ca="1" si="11"/>
        <v/>
      </c>
      <c r="U258" s="249"/>
      <c r="V258" s="249"/>
      <c r="W258" s="249"/>
      <c r="X258" s="249"/>
      <c r="Y258" s="249"/>
      <c r="Z258" s="249"/>
      <c r="AA258" s="249"/>
      <c r="AB258" s="249"/>
      <c r="AC258" s="249"/>
      <c r="AD258" s="249"/>
      <c r="AE258" s="249"/>
      <c r="AF258" s="249"/>
      <c r="AG258" s="249"/>
      <c r="AH258" s="249"/>
      <c r="AI258" s="249"/>
      <c r="AJ258" s="249"/>
      <c r="AK258" s="249"/>
      <c r="AL258" s="249"/>
      <c r="AM258" s="249"/>
      <c r="AN258" s="537"/>
      <c r="AO258" s="249" t="str">
        <f>IF(Z258="Yes",COUNTIF($Z$6:Z258,"Yes"),"")</f>
        <v/>
      </c>
      <c r="AP258" s="249" t="str">
        <f>IF(AA258="Yes",COUNTIF($AA$6:AA258,"Yes"),"")</f>
        <v/>
      </c>
      <c r="AQ258" s="249" t="str">
        <f>IF(AC258="Yes",COUNTIF($AC$6:AC258,"Yes"),"")</f>
        <v/>
      </c>
    </row>
    <row r="259" spans="1:43">
      <c r="A259" s="249"/>
      <c r="B259" s="249"/>
      <c r="C259" s="249"/>
      <c r="D259" s="249"/>
      <c r="E259" s="249"/>
      <c r="F259" s="249"/>
      <c r="G259" s="249"/>
      <c r="H259" s="249"/>
      <c r="I259" s="249"/>
      <c r="J259" s="249"/>
      <c r="K259" s="249"/>
      <c r="L259" s="249"/>
      <c r="M259" s="249"/>
      <c r="N259" s="249"/>
      <c r="O259" s="249"/>
      <c r="P259" s="537"/>
      <c r="Q259" s="537"/>
      <c r="R259" s="537"/>
      <c r="S259" s="538" t="str">
        <f t="shared" ca="1" si="10"/>
        <v/>
      </c>
      <c r="T259" s="538" t="str">
        <f t="shared" ca="1" si="11"/>
        <v/>
      </c>
      <c r="U259" s="249"/>
      <c r="V259" s="249"/>
      <c r="W259" s="249"/>
      <c r="X259" s="249"/>
      <c r="Y259" s="249"/>
      <c r="Z259" s="249"/>
      <c r="AA259" s="249"/>
      <c r="AB259" s="249"/>
      <c r="AC259" s="249"/>
      <c r="AD259" s="249"/>
      <c r="AE259" s="249"/>
      <c r="AF259" s="249"/>
      <c r="AG259" s="249"/>
      <c r="AH259" s="249"/>
      <c r="AI259" s="249"/>
      <c r="AJ259" s="249"/>
      <c r="AK259" s="249"/>
      <c r="AL259" s="249"/>
      <c r="AM259" s="249"/>
      <c r="AN259" s="537"/>
      <c r="AO259" s="249" t="str">
        <f>IF(Z259="Yes",COUNTIF($Z$6:Z259,"Yes"),"")</f>
        <v/>
      </c>
      <c r="AP259" s="249" t="str">
        <f>IF(AA259="Yes",COUNTIF($AA$6:AA259,"Yes"),"")</f>
        <v/>
      </c>
      <c r="AQ259" s="249" t="str">
        <f>IF(AC259="Yes",COUNTIF($AC$6:AC259,"Yes"),"")</f>
        <v/>
      </c>
    </row>
    <row r="260" spans="1:43">
      <c r="A260" s="249"/>
      <c r="B260" s="249"/>
      <c r="C260" s="249"/>
      <c r="D260" s="249"/>
      <c r="E260" s="249"/>
      <c r="F260" s="249"/>
      <c r="G260" s="249"/>
      <c r="H260" s="249"/>
      <c r="I260" s="249"/>
      <c r="J260" s="249"/>
      <c r="K260" s="249"/>
      <c r="L260" s="249"/>
      <c r="M260" s="249"/>
      <c r="N260" s="249"/>
      <c r="O260" s="249"/>
      <c r="P260" s="537"/>
      <c r="Q260" s="537"/>
      <c r="R260" s="537"/>
      <c r="S260" s="538" t="str">
        <f t="shared" ca="1" si="10"/>
        <v/>
      </c>
      <c r="T260" s="538" t="str">
        <f t="shared" ca="1" si="11"/>
        <v/>
      </c>
      <c r="U260" s="249"/>
      <c r="V260" s="249"/>
      <c r="W260" s="249"/>
      <c r="X260" s="249"/>
      <c r="Y260" s="249"/>
      <c r="Z260" s="249"/>
      <c r="AA260" s="249"/>
      <c r="AB260" s="249"/>
      <c r="AC260" s="249"/>
      <c r="AD260" s="249"/>
      <c r="AE260" s="249"/>
      <c r="AF260" s="249"/>
      <c r="AG260" s="249"/>
      <c r="AH260" s="249"/>
      <c r="AI260" s="249"/>
      <c r="AJ260" s="249"/>
      <c r="AK260" s="249"/>
      <c r="AL260" s="249"/>
      <c r="AM260" s="249"/>
      <c r="AN260" s="537"/>
      <c r="AO260" s="249" t="str">
        <f>IF(Z260="Yes",COUNTIF($Z$6:Z260,"Yes"),"")</f>
        <v/>
      </c>
      <c r="AP260" s="249" t="str">
        <f>IF(AA260="Yes",COUNTIF($AA$6:AA260,"Yes"),"")</f>
        <v/>
      </c>
      <c r="AQ260" s="249" t="str">
        <f>IF(AC260="Yes",COUNTIF($AC$6:AC260,"Yes"),"")</f>
        <v/>
      </c>
    </row>
    <row r="261" spans="1:43">
      <c r="A261" s="249"/>
      <c r="B261" s="249"/>
      <c r="C261" s="249"/>
      <c r="D261" s="249"/>
      <c r="E261" s="249"/>
      <c r="F261" s="249"/>
      <c r="G261" s="249"/>
      <c r="H261" s="249"/>
      <c r="I261" s="249"/>
      <c r="J261" s="249"/>
      <c r="K261" s="249"/>
      <c r="L261" s="249"/>
      <c r="M261" s="249"/>
      <c r="N261" s="249"/>
      <c r="O261" s="249"/>
      <c r="P261" s="537"/>
      <c r="Q261" s="537"/>
      <c r="R261" s="537"/>
      <c r="S261" s="538" t="str">
        <f t="shared" ca="1" si="10"/>
        <v/>
      </c>
      <c r="T261" s="538" t="str">
        <f t="shared" ca="1" si="11"/>
        <v/>
      </c>
      <c r="U261" s="249"/>
      <c r="V261" s="249"/>
      <c r="W261" s="249"/>
      <c r="X261" s="249"/>
      <c r="Y261" s="249"/>
      <c r="Z261" s="249"/>
      <c r="AA261" s="249"/>
      <c r="AB261" s="249"/>
      <c r="AC261" s="249"/>
      <c r="AD261" s="249"/>
      <c r="AE261" s="249"/>
      <c r="AF261" s="249"/>
      <c r="AG261" s="249"/>
      <c r="AH261" s="249"/>
      <c r="AI261" s="249"/>
      <c r="AJ261" s="249"/>
      <c r="AK261" s="249"/>
      <c r="AL261" s="249"/>
      <c r="AM261" s="249"/>
      <c r="AN261" s="537"/>
      <c r="AO261" s="249" t="str">
        <f>IF(Z261="Yes",COUNTIF($Z$6:Z261,"Yes"),"")</f>
        <v/>
      </c>
      <c r="AP261" s="249" t="str">
        <f>IF(AA261="Yes",COUNTIF($AA$6:AA261,"Yes"),"")</f>
        <v/>
      </c>
      <c r="AQ261" s="249" t="str">
        <f>IF(AC261="Yes",COUNTIF($AC$6:AC261,"Yes"),"")</f>
        <v/>
      </c>
    </row>
    <row r="262" spans="1:43">
      <c r="A262" s="249"/>
      <c r="B262" s="249"/>
      <c r="C262" s="249"/>
      <c r="D262" s="249"/>
      <c r="E262" s="249"/>
      <c r="F262" s="249"/>
      <c r="G262" s="249"/>
      <c r="H262" s="249"/>
      <c r="I262" s="249"/>
      <c r="J262" s="249"/>
      <c r="K262" s="249"/>
      <c r="L262" s="249"/>
      <c r="M262" s="249"/>
      <c r="N262" s="249"/>
      <c r="O262" s="249"/>
      <c r="P262" s="537"/>
      <c r="Q262" s="537"/>
      <c r="R262" s="537"/>
      <c r="S262" s="538" t="str">
        <f t="shared" ref="S262:S325" ca="1" si="12">IF(P262="","",IF(R262&lt;&gt;"",R262-P262,TODAY()-P262))</f>
        <v/>
      </c>
      <c r="T262" s="538" t="str">
        <f t="shared" ref="T262:T325" ca="1" si="13">IF(Q262="","",Q262-TODAY())</f>
        <v/>
      </c>
      <c r="U262" s="249"/>
      <c r="V262" s="249"/>
      <c r="W262" s="249"/>
      <c r="X262" s="249"/>
      <c r="Y262" s="249"/>
      <c r="Z262" s="249"/>
      <c r="AA262" s="249"/>
      <c r="AB262" s="249"/>
      <c r="AC262" s="249"/>
      <c r="AD262" s="249"/>
      <c r="AE262" s="249"/>
      <c r="AF262" s="249"/>
      <c r="AG262" s="249"/>
      <c r="AH262" s="249"/>
      <c r="AI262" s="249"/>
      <c r="AJ262" s="249"/>
      <c r="AK262" s="249"/>
      <c r="AL262" s="249"/>
      <c r="AM262" s="249"/>
      <c r="AN262" s="537"/>
      <c r="AO262" s="249" t="str">
        <f>IF(Z262="Yes",COUNTIF($Z$6:Z262,"Yes"),"")</f>
        <v/>
      </c>
      <c r="AP262" s="249" t="str">
        <f>IF(AA262="Yes",COUNTIF($AA$6:AA262,"Yes"),"")</f>
        <v/>
      </c>
      <c r="AQ262" s="249" t="str">
        <f>IF(AC262="Yes",COUNTIF($AC$6:AC262,"Yes"),"")</f>
        <v/>
      </c>
    </row>
    <row r="263" spans="1:43">
      <c r="A263" s="249"/>
      <c r="B263" s="249"/>
      <c r="C263" s="249"/>
      <c r="D263" s="249"/>
      <c r="E263" s="249"/>
      <c r="F263" s="249"/>
      <c r="G263" s="249"/>
      <c r="H263" s="249"/>
      <c r="I263" s="249"/>
      <c r="J263" s="249"/>
      <c r="K263" s="249"/>
      <c r="L263" s="249"/>
      <c r="M263" s="249"/>
      <c r="N263" s="249"/>
      <c r="O263" s="249"/>
      <c r="P263" s="537"/>
      <c r="Q263" s="537"/>
      <c r="R263" s="537"/>
      <c r="S263" s="538" t="str">
        <f t="shared" ca="1" si="12"/>
        <v/>
      </c>
      <c r="T263" s="538" t="str">
        <f t="shared" ca="1" si="13"/>
        <v/>
      </c>
      <c r="U263" s="249"/>
      <c r="V263" s="249"/>
      <c r="W263" s="249"/>
      <c r="X263" s="249"/>
      <c r="Y263" s="249"/>
      <c r="Z263" s="249"/>
      <c r="AA263" s="249"/>
      <c r="AB263" s="249"/>
      <c r="AC263" s="249"/>
      <c r="AD263" s="249"/>
      <c r="AE263" s="249"/>
      <c r="AF263" s="249"/>
      <c r="AG263" s="249"/>
      <c r="AH263" s="249"/>
      <c r="AI263" s="249"/>
      <c r="AJ263" s="249"/>
      <c r="AK263" s="249"/>
      <c r="AL263" s="249"/>
      <c r="AM263" s="249"/>
      <c r="AN263" s="537"/>
      <c r="AO263" s="249" t="str">
        <f>IF(Z263="Yes",COUNTIF($Z$6:Z263,"Yes"),"")</f>
        <v/>
      </c>
      <c r="AP263" s="249" t="str">
        <f>IF(AA263="Yes",COUNTIF($AA$6:AA263,"Yes"),"")</f>
        <v/>
      </c>
      <c r="AQ263" s="249" t="str">
        <f>IF(AC263="Yes",COUNTIF($AC$6:AC263,"Yes"),"")</f>
        <v/>
      </c>
    </row>
    <row r="264" spans="1:43">
      <c r="A264" s="249"/>
      <c r="B264" s="249"/>
      <c r="C264" s="249"/>
      <c r="D264" s="249"/>
      <c r="E264" s="249"/>
      <c r="F264" s="249"/>
      <c r="G264" s="249"/>
      <c r="H264" s="249"/>
      <c r="I264" s="249"/>
      <c r="J264" s="249"/>
      <c r="K264" s="249"/>
      <c r="L264" s="249"/>
      <c r="M264" s="249"/>
      <c r="N264" s="249"/>
      <c r="O264" s="249"/>
      <c r="P264" s="537"/>
      <c r="Q264" s="537"/>
      <c r="R264" s="537"/>
      <c r="S264" s="538" t="str">
        <f t="shared" ca="1" si="12"/>
        <v/>
      </c>
      <c r="T264" s="538" t="str">
        <f t="shared" ca="1" si="13"/>
        <v/>
      </c>
      <c r="U264" s="249"/>
      <c r="V264" s="249"/>
      <c r="W264" s="249"/>
      <c r="X264" s="249"/>
      <c r="Y264" s="249"/>
      <c r="Z264" s="249"/>
      <c r="AA264" s="249"/>
      <c r="AB264" s="249"/>
      <c r="AC264" s="249"/>
      <c r="AD264" s="249"/>
      <c r="AE264" s="249"/>
      <c r="AF264" s="249"/>
      <c r="AG264" s="249"/>
      <c r="AH264" s="249"/>
      <c r="AI264" s="249"/>
      <c r="AJ264" s="249"/>
      <c r="AK264" s="249"/>
      <c r="AL264" s="249"/>
      <c r="AM264" s="249"/>
      <c r="AN264" s="537"/>
      <c r="AO264" s="249" t="str">
        <f>IF(Z264="Yes",COUNTIF($Z$6:Z264,"Yes"),"")</f>
        <v/>
      </c>
      <c r="AP264" s="249" t="str">
        <f>IF(AA264="Yes",COUNTIF($AA$6:AA264,"Yes"),"")</f>
        <v/>
      </c>
      <c r="AQ264" s="249" t="str">
        <f>IF(AC264="Yes",COUNTIF($AC$6:AC264,"Yes"),"")</f>
        <v/>
      </c>
    </row>
    <row r="265" spans="1:43">
      <c r="A265" s="249"/>
      <c r="B265" s="249"/>
      <c r="C265" s="249"/>
      <c r="D265" s="249"/>
      <c r="E265" s="249"/>
      <c r="F265" s="249"/>
      <c r="G265" s="249"/>
      <c r="H265" s="249"/>
      <c r="I265" s="249"/>
      <c r="J265" s="249"/>
      <c r="K265" s="249"/>
      <c r="L265" s="249"/>
      <c r="M265" s="249"/>
      <c r="N265" s="249"/>
      <c r="O265" s="249"/>
      <c r="P265" s="537"/>
      <c r="Q265" s="537"/>
      <c r="R265" s="537"/>
      <c r="S265" s="538" t="str">
        <f t="shared" ca="1" si="12"/>
        <v/>
      </c>
      <c r="T265" s="538" t="str">
        <f t="shared" ca="1" si="13"/>
        <v/>
      </c>
      <c r="U265" s="249"/>
      <c r="V265" s="249"/>
      <c r="W265" s="249"/>
      <c r="X265" s="249"/>
      <c r="Y265" s="249"/>
      <c r="Z265" s="249"/>
      <c r="AA265" s="249"/>
      <c r="AB265" s="249"/>
      <c r="AC265" s="249"/>
      <c r="AD265" s="249"/>
      <c r="AE265" s="249"/>
      <c r="AF265" s="249"/>
      <c r="AG265" s="249"/>
      <c r="AH265" s="249"/>
      <c r="AI265" s="249"/>
      <c r="AJ265" s="249"/>
      <c r="AK265" s="249"/>
      <c r="AL265" s="249"/>
      <c r="AM265" s="249"/>
      <c r="AN265" s="537"/>
      <c r="AO265" s="249" t="str">
        <f>IF(Z265="Yes",COUNTIF($Z$6:Z265,"Yes"),"")</f>
        <v/>
      </c>
      <c r="AP265" s="249" t="str">
        <f>IF(AA265="Yes",COUNTIF($AA$6:AA265,"Yes"),"")</f>
        <v/>
      </c>
      <c r="AQ265" s="249" t="str">
        <f>IF(AC265="Yes",COUNTIF($AC$6:AC265,"Yes"),"")</f>
        <v/>
      </c>
    </row>
    <row r="266" spans="1:43">
      <c r="A266" s="249"/>
      <c r="B266" s="249"/>
      <c r="C266" s="249"/>
      <c r="D266" s="249"/>
      <c r="E266" s="249"/>
      <c r="F266" s="249"/>
      <c r="G266" s="249"/>
      <c r="H266" s="249"/>
      <c r="I266" s="249"/>
      <c r="J266" s="249"/>
      <c r="K266" s="249"/>
      <c r="L266" s="249"/>
      <c r="M266" s="249"/>
      <c r="N266" s="249"/>
      <c r="O266" s="249"/>
      <c r="P266" s="537"/>
      <c r="Q266" s="537"/>
      <c r="R266" s="537"/>
      <c r="S266" s="538" t="str">
        <f t="shared" ca="1" si="12"/>
        <v/>
      </c>
      <c r="T266" s="538" t="str">
        <f t="shared" ca="1" si="13"/>
        <v/>
      </c>
      <c r="U266" s="249"/>
      <c r="V266" s="249"/>
      <c r="W266" s="249"/>
      <c r="X266" s="249"/>
      <c r="Y266" s="249"/>
      <c r="Z266" s="249"/>
      <c r="AA266" s="249"/>
      <c r="AB266" s="249"/>
      <c r="AC266" s="249"/>
      <c r="AD266" s="249"/>
      <c r="AE266" s="249"/>
      <c r="AF266" s="249"/>
      <c r="AG266" s="249"/>
      <c r="AH266" s="249"/>
      <c r="AI266" s="249"/>
      <c r="AJ266" s="249"/>
      <c r="AK266" s="249"/>
      <c r="AL266" s="249"/>
      <c r="AM266" s="249"/>
      <c r="AN266" s="537"/>
      <c r="AO266" s="249" t="str">
        <f>IF(Z266="Yes",COUNTIF($Z$6:Z266,"Yes"),"")</f>
        <v/>
      </c>
      <c r="AP266" s="249" t="str">
        <f>IF(AA266="Yes",COUNTIF($AA$6:AA266,"Yes"),"")</f>
        <v/>
      </c>
      <c r="AQ266" s="249" t="str">
        <f>IF(AC266="Yes",COUNTIF($AC$6:AC266,"Yes"),"")</f>
        <v/>
      </c>
    </row>
    <row r="267" spans="1:43">
      <c r="A267" s="249"/>
      <c r="B267" s="249"/>
      <c r="C267" s="249"/>
      <c r="D267" s="249"/>
      <c r="E267" s="249"/>
      <c r="F267" s="249"/>
      <c r="G267" s="249"/>
      <c r="H267" s="249"/>
      <c r="I267" s="249"/>
      <c r="J267" s="249"/>
      <c r="K267" s="249"/>
      <c r="L267" s="249"/>
      <c r="M267" s="249"/>
      <c r="N267" s="249"/>
      <c r="O267" s="249"/>
      <c r="P267" s="537"/>
      <c r="Q267" s="537"/>
      <c r="R267" s="537"/>
      <c r="S267" s="538" t="str">
        <f t="shared" ca="1" si="12"/>
        <v/>
      </c>
      <c r="T267" s="538" t="str">
        <f t="shared" ca="1" si="13"/>
        <v/>
      </c>
      <c r="U267" s="249"/>
      <c r="V267" s="249"/>
      <c r="W267" s="249"/>
      <c r="X267" s="249"/>
      <c r="Y267" s="249"/>
      <c r="Z267" s="249"/>
      <c r="AA267" s="249"/>
      <c r="AB267" s="249"/>
      <c r="AC267" s="249"/>
      <c r="AD267" s="249"/>
      <c r="AE267" s="249"/>
      <c r="AF267" s="249"/>
      <c r="AG267" s="249"/>
      <c r="AH267" s="249"/>
      <c r="AI267" s="249"/>
      <c r="AJ267" s="249"/>
      <c r="AK267" s="249"/>
      <c r="AL267" s="249"/>
      <c r="AM267" s="249"/>
      <c r="AN267" s="537"/>
      <c r="AO267" s="249" t="str">
        <f>IF(Z267="Yes",COUNTIF($Z$6:Z267,"Yes"),"")</f>
        <v/>
      </c>
      <c r="AP267" s="249" t="str">
        <f>IF(AA267="Yes",COUNTIF($AA$6:AA267,"Yes"),"")</f>
        <v/>
      </c>
      <c r="AQ267" s="249" t="str">
        <f>IF(AC267="Yes",COUNTIF($AC$6:AC267,"Yes"),"")</f>
        <v/>
      </c>
    </row>
    <row r="268" spans="1:43">
      <c r="A268" s="249"/>
      <c r="B268" s="249"/>
      <c r="C268" s="249"/>
      <c r="D268" s="249"/>
      <c r="E268" s="249"/>
      <c r="F268" s="249"/>
      <c r="G268" s="249"/>
      <c r="H268" s="249"/>
      <c r="I268" s="249"/>
      <c r="J268" s="249"/>
      <c r="K268" s="249"/>
      <c r="L268" s="249"/>
      <c r="M268" s="249"/>
      <c r="N268" s="249"/>
      <c r="O268" s="249"/>
      <c r="P268" s="537"/>
      <c r="Q268" s="537"/>
      <c r="R268" s="537"/>
      <c r="S268" s="538" t="str">
        <f t="shared" ca="1" si="12"/>
        <v/>
      </c>
      <c r="T268" s="538" t="str">
        <f t="shared" ca="1" si="13"/>
        <v/>
      </c>
      <c r="U268" s="249"/>
      <c r="V268" s="249"/>
      <c r="W268" s="249"/>
      <c r="X268" s="249"/>
      <c r="Y268" s="249"/>
      <c r="Z268" s="249"/>
      <c r="AA268" s="249"/>
      <c r="AB268" s="249"/>
      <c r="AC268" s="249"/>
      <c r="AD268" s="249"/>
      <c r="AE268" s="249"/>
      <c r="AF268" s="249"/>
      <c r="AG268" s="249"/>
      <c r="AH268" s="249"/>
      <c r="AI268" s="249"/>
      <c r="AJ268" s="249"/>
      <c r="AK268" s="249"/>
      <c r="AL268" s="249"/>
      <c r="AM268" s="249"/>
      <c r="AN268" s="537"/>
      <c r="AO268" s="249" t="str">
        <f>IF(Z268="Yes",COUNTIF($Z$6:Z268,"Yes"),"")</f>
        <v/>
      </c>
      <c r="AP268" s="249" t="str">
        <f>IF(AA268="Yes",COUNTIF($AA$6:AA268,"Yes"),"")</f>
        <v/>
      </c>
      <c r="AQ268" s="249" t="str">
        <f>IF(AC268="Yes",COUNTIF($AC$6:AC268,"Yes"),"")</f>
        <v/>
      </c>
    </row>
    <row r="269" spans="1:43">
      <c r="A269" s="249"/>
      <c r="B269" s="249"/>
      <c r="C269" s="249"/>
      <c r="D269" s="249"/>
      <c r="E269" s="249"/>
      <c r="F269" s="249"/>
      <c r="G269" s="249"/>
      <c r="H269" s="249"/>
      <c r="I269" s="249"/>
      <c r="J269" s="249"/>
      <c r="K269" s="249"/>
      <c r="L269" s="249"/>
      <c r="M269" s="249"/>
      <c r="N269" s="249"/>
      <c r="O269" s="249"/>
      <c r="P269" s="537"/>
      <c r="Q269" s="537"/>
      <c r="R269" s="537"/>
      <c r="S269" s="538" t="str">
        <f t="shared" ca="1" si="12"/>
        <v/>
      </c>
      <c r="T269" s="538" t="str">
        <f t="shared" ca="1" si="13"/>
        <v/>
      </c>
      <c r="U269" s="249"/>
      <c r="V269" s="249"/>
      <c r="W269" s="249"/>
      <c r="X269" s="249"/>
      <c r="Y269" s="249"/>
      <c r="Z269" s="249"/>
      <c r="AA269" s="249"/>
      <c r="AB269" s="249"/>
      <c r="AC269" s="249"/>
      <c r="AD269" s="249"/>
      <c r="AE269" s="249"/>
      <c r="AF269" s="249"/>
      <c r="AG269" s="249"/>
      <c r="AH269" s="249"/>
      <c r="AI269" s="249"/>
      <c r="AJ269" s="249"/>
      <c r="AK269" s="249"/>
      <c r="AL269" s="249"/>
      <c r="AM269" s="249"/>
      <c r="AN269" s="537"/>
      <c r="AO269" s="249" t="str">
        <f>IF(Z269="Yes",COUNTIF($Z$6:Z269,"Yes"),"")</f>
        <v/>
      </c>
      <c r="AP269" s="249" t="str">
        <f>IF(AA269="Yes",COUNTIF($AA$6:AA269,"Yes"),"")</f>
        <v/>
      </c>
      <c r="AQ269" s="249" t="str">
        <f>IF(AC269="Yes",COUNTIF($AC$6:AC269,"Yes"),"")</f>
        <v/>
      </c>
    </row>
    <row r="270" spans="1:43">
      <c r="A270" s="249"/>
      <c r="B270" s="249"/>
      <c r="C270" s="249"/>
      <c r="D270" s="249"/>
      <c r="E270" s="249"/>
      <c r="F270" s="249"/>
      <c r="G270" s="249"/>
      <c r="H270" s="249"/>
      <c r="I270" s="249"/>
      <c r="J270" s="249"/>
      <c r="K270" s="249"/>
      <c r="L270" s="249"/>
      <c r="M270" s="249"/>
      <c r="N270" s="249"/>
      <c r="O270" s="249"/>
      <c r="P270" s="537"/>
      <c r="Q270" s="537"/>
      <c r="R270" s="537"/>
      <c r="S270" s="538" t="str">
        <f t="shared" ca="1" si="12"/>
        <v/>
      </c>
      <c r="T270" s="538" t="str">
        <f t="shared" ca="1" si="13"/>
        <v/>
      </c>
      <c r="U270" s="249"/>
      <c r="V270" s="249"/>
      <c r="W270" s="249"/>
      <c r="X270" s="249"/>
      <c r="Y270" s="249"/>
      <c r="Z270" s="249"/>
      <c r="AA270" s="249"/>
      <c r="AB270" s="249"/>
      <c r="AC270" s="249"/>
      <c r="AD270" s="249"/>
      <c r="AE270" s="249"/>
      <c r="AF270" s="249"/>
      <c r="AG270" s="249"/>
      <c r="AH270" s="249"/>
      <c r="AI270" s="249"/>
      <c r="AJ270" s="249"/>
      <c r="AK270" s="249"/>
      <c r="AL270" s="249"/>
      <c r="AM270" s="249"/>
      <c r="AN270" s="537"/>
      <c r="AO270" s="249" t="str">
        <f>IF(Z270="Yes",COUNTIF($Z$6:Z270,"Yes"),"")</f>
        <v/>
      </c>
      <c r="AP270" s="249" t="str">
        <f>IF(AA270="Yes",COUNTIF($AA$6:AA270,"Yes"),"")</f>
        <v/>
      </c>
      <c r="AQ270" s="249" t="str">
        <f>IF(AC270="Yes",COUNTIF($AC$6:AC270,"Yes"),"")</f>
        <v/>
      </c>
    </row>
    <row r="271" spans="1:43">
      <c r="A271" s="249"/>
      <c r="B271" s="249"/>
      <c r="C271" s="249"/>
      <c r="D271" s="249"/>
      <c r="E271" s="249"/>
      <c r="F271" s="249"/>
      <c r="G271" s="249"/>
      <c r="H271" s="249"/>
      <c r="I271" s="249"/>
      <c r="J271" s="249"/>
      <c r="K271" s="249"/>
      <c r="L271" s="249"/>
      <c r="M271" s="249"/>
      <c r="N271" s="249"/>
      <c r="O271" s="249"/>
      <c r="P271" s="537"/>
      <c r="Q271" s="537"/>
      <c r="R271" s="537"/>
      <c r="S271" s="538" t="str">
        <f t="shared" ca="1" si="12"/>
        <v/>
      </c>
      <c r="T271" s="538" t="str">
        <f t="shared" ca="1" si="13"/>
        <v/>
      </c>
      <c r="U271" s="249"/>
      <c r="V271" s="249"/>
      <c r="W271" s="249"/>
      <c r="X271" s="249"/>
      <c r="Y271" s="249"/>
      <c r="Z271" s="249"/>
      <c r="AA271" s="249"/>
      <c r="AB271" s="249"/>
      <c r="AC271" s="249"/>
      <c r="AD271" s="249"/>
      <c r="AE271" s="249"/>
      <c r="AF271" s="249"/>
      <c r="AG271" s="249"/>
      <c r="AH271" s="249"/>
      <c r="AI271" s="249"/>
      <c r="AJ271" s="249"/>
      <c r="AK271" s="249"/>
      <c r="AL271" s="249"/>
      <c r="AM271" s="249"/>
      <c r="AN271" s="537"/>
      <c r="AO271" s="249" t="str">
        <f>IF(Z271="Yes",COUNTIF($Z$6:Z271,"Yes"),"")</f>
        <v/>
      </c>
      <c r="AP271" s="249" t="str">
        <f>IF(AA271="Yes",COUNTIF($AA$6:AA271,"Yes"),"")</f>
        <v/>
      </c>
      <c r="AQ271" s="249" t="str">
        <f>IF(AC271="Yes",COUNTIF($AC$6:AC271,"Yes"),"")</f>
        <v/>
      </c>
    </row>
    <row r="272" spans="1:43">
      <c r="A272" s="249"/>
      <c r="B272" s="249"/>
      <c r="C272" s="249"/>
      <c r="D272" s="249"/>
      <c r="E272" s="249"/>
      <c r="F272" s="249"/>
      <c r="G272" s="249"/>
      <c r="H272" s="249"/>
      <c r="I272" s="249"/>
      <c r="J272" s="249"/>
      <c r="K272" s="249"/>
      <c r="L272" s="249"/>
      <c r="M272" s="249"/>
      <c r="N272" s="249"/>
      <c r="O272" s="249"/>
      <c r="P272" s="537"/>
      <c r="Q272" s="537"/>
      <c r="R272" s="537"/>
      <c r="S272" s="538" t="str">
        <f t="shared" ca="1" si="12"/>
        <v/>
      </c>
      <c r="T272" s="538" t="str">
        <f t="shared" ca="1" si="13"/>
        <v/>
      </c>
      <c r="U272" s="249"/>
      <c r="V272" s="249"/>
      <c r="W272" s="249"/>
      <c r="X272" s="249"/>
      <c r="Y272" s="249"/>
      <c r="Z272" s="249"/>
      <c r="AA272" s="249"/>
      <c r="AB272" s="249"/>
      <c r="AC272" s="249"/>
      <c r="AD272" s="249"/>
      <c r="AE272" s="249"/>
      <c r="AF272" s="249"/>
      <c r="AG272" s="249"/>
      <c r="AH272" s="249"/>
      <c r="AI272" s="249"/>
      <c r="AJ272" s="249"/>
      <c r="AK272" s="249"/>
      <c r="AL272" s="249"/>
      <c r="AM272" s="249"/>
      <c r="AN272" s="537"/>
      <c r="AO272" s="249" t="str">
        <f>IF(Z272="Yes",COUNTIF($Z$6:Z272,"Yes"),"")</f>
        <v/>
      </c>
      <c r="AP272" s="249" t="str">
        <f>IF(AA272="Yes",COUNTIF($AA$6:AA272,"Yes"),"")</f>
        <v/>
      </c>
      <c r="AQ272" s="249" t="str">
        <f>IF(AC272="Yes",COUNTIF($AC$6:AC272,"Yes"),"")</f>
        <v/>
      </c>
    </row>
    <row r="273" spans="1:43">
      <c r="A273" s="249"/>
      <c r="B273" s="249"/>
      <c r="C273" s="249"/>
      <c r="D273" s="249"/>
      <c r="E273" s="249"/>
      <c r="F273" s="249"/>
      <c r="G273" s="249"/>
      <c r="H273" s="249"/>
      <c r="I273" s="249"/>
      <c r="J273" s="249"/>
      <c r="K273" s="249"/>
      <c r="L273" s="249"/>
      <c r="M273" s="249"/>
      <c r="N273" s="249"/>
      <c r="O273" s="249"/>
      <c r="P273" s="537"/>
      <c r="Q273" s="537"/>
      <c r="R273" s="537"/>
      <c r="S273" s="538" t="str">
        <f t="shared" ca="1" si="12"/>
        <v/>
      </c>
      <c r="T273" s="538" t="str">
        <f t="shared" ca="1" si="13"/>
        <v/>
      </c>
      <c r="U273" s="249"/>
      <c r="V273" s="249"/>
      <c r="W273" s="249"/>
      <c r="X273" s="249"/>
      <c r="Y273" s="249"/>
      <c r="Z273" s="249"/>
      <c r="AA273" s="249"/>
      <c r="AB273" s="249"/>
      <c r="AC273" s="249"/>
      <c r="AD273" s="249"/>
      <c r="AE273" s="249"/>
      <c r="AF273" s="249"/>
      <c r="AG273" s="249"/>
      <c r="AH273" s="249"/>
      <c r="AI273" s="249"/>
      <c r="AJ273" s="249"/>
      <c r="AK273" s="249"/>
      <c r="AL273" s="249"/>
      <c r="AM273" s="249"/>
      <c r="AN273" s="537"/>
      <c r="AO273" s="249" t="str">
        <f>IF(Z273="Yes",COUNTIF($Z$6:Z273,"Yes"),"")</f>
        <v/>
      </c>
      <c r="AP273" s="249" t="str">
        <f>IF(AA273="Yes",COUNTIF($AA$6:AA273,"Yes"),"")</f>
        <v/>
      </c>
      <c r="AQ273" s="249" t="str">
        <f>IF(AC273="Yes",COUNTIF($AC$6:AC273,"Yes"),"")</f>
        <v/>
      </c>
    </row>
    <row r="274" spans="1:43">
      <c r="A274" s="249"/>
      <c r="B274" s="249"/>
      <c r="C274" s="249"/>
      <c r="D274" s="249"/>
      <c r="E274" s="249"/>
      <c r="F274" s="249"/>
      <c r="G274" s="249"/>
      <c r="H274" s="249"/>
      <c r="I274" s="249"/>
      <c r="J274" s="249"/>
      <c r="K274" s="249"/>
      <c r="L274" s="249"/>
      <c r="M274" s="249"/>
      <c r="N274" s="249"/>
      <c r="O274" s="249"/>
      <c r="P274" s="537"/>
      <c r="Q274" s="537"/>
      <c r="R274" s="537"/>
      <c r="S274" s="538" t="str">
        <f t="shared" ca="1" si="12"/>
        <v/>
      </c>
      <c r="T274" s="538" t="str">
        <f t="shared" ca="1" si="13"/>
        <v/>
      </c>
      <c r="U274" s="249"/>
      <c r="V274" s="249"/>
      <c r="W274" s="249"/>
      <c r="X274" s="249"/>
      <c r="Y274" s="249"/>
      <c r="Z274" s="249"/>
      <c r="AA274" s="249"/>
      <c r="AB274" s="249"/>
      <c r="AC274" s="249"/>
      <c r="AD274" s="249"/>
      <c r="AE274" s="249"/>
      <c r="AF274" s="249"/>
      <c r="AG274" s="249"/>
      <c r="AH274" s="249"/>
      <c r="AI274" s="249"/>
      <c r="AJ274" s="249"/>
      <c r="AK274" s="249"/>
      <c r="AL274" s="249"/>
      <c r="AM274" s="249"/>
      <c r="AN274" s="537"/>
      <c r="AO274" s="249" t="str">
        <f>IF(Z274="Yes",COUNTIF($Z$6:Z274,"Yes"),"")</f>
        <v/>
      </c>
      <c r="AP274" s="249" t="str">
        <f>IF(AA274="Yes",COUNTIF($AA$6:AA274,"Yes"),"")</f>
        <v/>
      </c>
      <c r="AQ274" s="249" t="str">
        <f>IF(AC274="Yes",COUNTIF($AC$6:AC274,"Yes"),"")</f>
        <v/>
      </c>
    </row>
    <row r="275" spans="1:43">
      <c r="A275" s="249"/>
      <c r="B275" s="249"/>
      <c r="C275" s="249"/>
      <c r="D275" s="249"/>
      <c r="E275" s="249"/>
      <c r="F275" s="249"/>
      <c r="G275" s="249"/>
      <c r="H275" s="249"/>
      <c r="I275" s="249"/>
      <c r="J275" s="249"/>
      <c r="K275" s="249"/>
      <c r="L275" s="249"/>
      <c r="M275" s="249"/>
      <c r="N275" s="249"/>
      <c r="O275" s="249"/>
      <c r="P275" s="537"/>
      <c r="Q275" s="537"/>
      <c r="R275" s="537"/>
      <c r="S275" s="538" t="str">
        <f t="shared" ca="1" si="12"/>
        <v/>
      </c>
      <c r="T275" s="538" t="str">
        <f t="shared" ca="1" si="13"/>
        <v/>
      </c>
      <c r="U275" s="249"/>
      <c r="V275" s="249"/>
      <c r="W275" s="249"/>
      <c r="X275" s="249"/>
      <c r="Y275" s="249"/>
      <c r="Z275" s="249"/>
      <c r="AA275" s="249"/>
      <c r="AB275" s="249"/>
      <c r="AC275" s="249"/>
      <c r="AD275" s="249"/>
      <c r="AE275" s="249"/>
      <c r="AF275" s="249"/>
      <c r="AG275" s="249"/>
      <c r="AH275" s="249"/>
      <c r="AI275" s="249"/>
      <c r="AJ275" s="249"/>
      <c r="AK275" s="249"/>
      <c r="AL275" s="249"/>
      <c r="AM275" s="249"/>
      <c r="AN275" s="537"/>
      <c r="AO275" s="249" t="str">
        <f>IF(Z275="Yes",COUNTIF($Z$6:Z275,"Yes"),"")</f>
        <v/>
      </c>
      <c r="AP275" s="249" t="str">
        <f>IF(AA275="Yes",COUNTIF($AA$6:AA275,"Yes"),"")</f>
        <v/>
      </c>
      <c r="AQ275" s="249" t="str">
        <f>IF(AC275="Yes",COUNTIF($AC$6:AC275,"Yes"),"")</f>
        <v/>
      </c>
    </row>
    <row r="276" spans="1:43">
      <c r="A276" s="249"/>
      <c r="B276" s="249"/>
      <c r="C276" s="249"/>
      <c r="D276" s="249"/>
      <c r="E276" s="249"/>
      <c r="F276" s="249"/>
      <c r="G276" s="249"/>
      <c r="H276" s="249"/>
      <c r="I276" s="249"/>
      <c r="J276" s="249"/>
      <c r="K276" s="249"/>
      <c r="L276" s="249"/>
      <c r="M276" s="249"/>
      <c r="N276" s="249"/>
      <c r="O276" s="249"/>
      <c r="P276" s="537"/>
      <c r="Q276" s="537"/>
      <c r="R276" s="537"/>
      <c r="S276" s="538" t="str">
        <f t="shared" ca="1" si="12"/>
        <v/>
      </c>
      <c r="T276" s="538" t="str">
        <f t="shared" ca="1" si="13"/>
        <v/>
      </c>
      <c r="U276" s="249"/>
      <c r="V276" s="249"/>
      <c r="W276" s="249"/>
      <c r="X276" s="249"/>
      <c r="Y276" s="249"/>
      <c r="Z276" s="249"/>
      <c r="AA276" s="249"/>
      <c r="AB276" s="249"/>
      <c r="AC276" s="249"/>
      <c r="AD276" s="249"/>
      <c r="AE276" s="249"/>
      <c r="AF276" s="249"/>
      <c r="AG276" s="249"/>
      <c r="AH276" s="249"/>
      <c r="AI276" s="249"/>
      <c r="AJ276" s="249"/>
      <c r="AK276" s="249"/>
      <c r="AL276" s="249"/>
      <c r="AM276" s="249"/>
      <c r="AN276" s="537"/>
      <c r="AO276" s="249" t="str">
        <f>IF(Z276="Yes",COUNTIF($Z$6:Z276,"Yes"),"")</f>
        <v/>
      </c>
      <c r="AP276" s="249" t="str">
        <f>IF(AA276="Yes",COUNTIF($AA$6:AA276,"Yes"),"")</f>
        <v/>
      </c>
      <c r="AQ276" s="249" t="str">
        <f>IF(AC276="Yes",COUNTIF($AC$6:AC276,"Yes"),"")</f>
        <v/>
      </c>
    </row>
    <row r="277" spans="1:43">
      <c r="A277" s="249"/>
      <c r="B277" s="249"/>
      <c r="C277" s="249"/>
      <c r="D277" s="249"/>
      <c r="E277" s="249"/>
      <c r="F277" s="249"/>
      <c r="G277" s="249"/>
      <c r="H277" s="249"/>
      <c r="I277" s="249"/>
      <c r="J277" s="249"/>
      <c r="K277" s="249"/>
      <c r="L277" s="249"/>
      <c r="M277" s="249"/>
      <c r="N277" s="249"/>
      <c r="O277" s="249"/>
      <c r="P277" s="537"/>
      <c r="Q277" s="537"/>
      <c r="R277" s="537"/>
      <c r="S277" s="538" t="str">
        <f t="shared" ca="1" si="12"/>
        <v/>
      </c>
      <c r="T277" s="538" t="str">
        <f t="shared" ca="1" si="13"/>
        <v/>
      </c>
      <c r="U277" s="249"/>
      <c r="V277" s="249"/>
      <c r="W277" s="249"/>
      <c r="X277" s="249"/>
      <c r="Y277" s="249"/>
      <c r="Z277" s="249"/>
      <c r="AA277" s="249"/>
      <c r="AB277" s="249"/>
      <c r="AC277" s="249"/>
      <c r="AD277" s="249"/>
      <c r="AE277" s="249"/>
      <c r="AF277" s="249"/>
      <c r="AG277" s="249"/>
      <c r="AH277" s="249"/>
      <c r="AI277" s="249"/>
      <c r="AJ277" s="249"/>
      <c r="AK277" s="249"/>
      <c r="AL277" s="249"/>
      <c r="AM277" s="249"/>
      <c r="AN277" s="537"/>
      <c r="AO277" s="249" t="str">
        <f>IF(Z277="Yes",COUNTIF($Z$6:Z277,"Yes"),"")</f>
        <v/>
      </c>
      <c r="AP277" s="249" t="str">
        <f>IF(AA277="Yes",COUNTIF($AA$6:AA277,"Yes"),"")</f>
        <v/>
      </c>
      <c r="AQ277" s="249" t="str">
        <f>IF(AC277="Yes",COUNTIF($AC$6:AC277,"Yes"),"")</f>
        <v/>
      </c>
    </row>
    <row r="278" spans="1:43">
      <c r="A278" s="249"/>
      <c r="B278" s="249"/>
      <c r="C278" s="249"/>
      <c r="D278" s="249"/>
      <c r="E278" s="249"/>
      <c r="F278" s="249"/>
      <c r="G278" s="249"/>
      <c r="H278" s="249"/>
      <c r="I278" s="249"/>
      <c r="J278" s="249"/>
      <c r="K278" s="249"/>
      <c r="L278" s="249"/>
      <c r="M278" s="249"/>
      <c r="N278" s="249"/>
      <c r="O278" s="249"/>
      <c r="P278" s="537"/>
      <c r="Q278" s="537"/>
      <c r="R278" s="537"/>
      <c r="S278" s="538" t="str">
        <f t="shared" ca="1" si="12"/>
        <v/>
      </c>
      <c r="T278" s="538" t="str">
        <f t="shared" ca="1" si="13"/>
        <v/>
      </c>
      <c r="U278" s="249"/>
      <c r="V278" s="249"/>
      <c r="W278" s="249"/>
      <c r="X278" s="249"/>
      <c r="Y278" s="249"/>
      <c r="Z278" s="249"/>
      <c r="AA278" s="249"/>
      <c r="AB278" s="249"/>
      <c r="AC278" s="249"/>
      <c r="AD278" s="249"/>
      <c r="AE278" s="249"/>
      <c r="AF278" s="249"/>
      <c r="AG278" s="249"/>
      <c r="AH278" s="249"/>
      <c r="AI278" s="249"/>
      <c r="AJ278" s="249"/>
      <c r="AK278" s="249"/>
      <c r="AL278" s="249"/>
      <c r="AM278" s="249"/>
      <c r="AN278" s="537"/>
      <c r="AO278" s="249" t="str">
        <f>IF(Z278="Yes",COUNTIF($Z$6:Z278,"Yes"),"")</f>
        <v/>
      </c>
      <c r="AP278" s="249" t="str">
        <f>IF(AA278="Yes",COUNTIF($AA$6:AA278,"Yes"),"")</f>
        <v/>
      </c>
      <c r="AQ278" s="249" t="str">
        <f>IF(AC278="Yes",COUNTIF($AC$6:AC278,"Yes"),"")</f>
        <v/>
      </c>
    </row>
    <row r="279" spans="1:43">
      <c r="A279" s="249"/>
      <c r="B279" s="249"/>
      <c r="C279" s="249"/>
      <c r="D279" s="249"/>
      <c r="E279" s="249"/>
      <c r="F279" s="249"/>
      <c r="G279" s="249"/>
      <c r="H279" s="249"/>
      <c r="I279" s="249"/>
      <c r="J279" s="249"/>
      <c r="K279" s="249"/>
      <c r="L279" s="249"/>
      <c r="M279" s="249"/>
      <c r="N279" s="249"/>
      <c r="O279" s="249"/>
      <c r="P279" s="537"/>
      <c r="Q279" s="537"/>
      <c r="R279" s="537"/>
      <c r="S279" s="538" t="str">
        <f t="shared" ca="1" si="12"/>
        <v/>
      </c>
      <c r="T279" s="538" t="str">
        <f t="shared" ca="1" si="13"/>
        <v/>
      </c>
      <c r="U279" s="249"/>
      <c r="V279" s="249"/>
      <c r="W279" s="249"/>
      <c r="X279" s="249"/>
      <c r="Y279" s="249"/>
      <c r="Z279" s="249"/>
      <c r="AA279" s="249"/>
      <c r="AB279" s="249"/>
      <c r="AC279" s="249"/>
      <c r="AD279" s="249"/>
      <c r="AE279" s="249"/>
      <c r="AF279" s="249"/>
      <c r="AG279" s="249"/>
      <c r="AH279" s="249"/>
      <c r="AI279" s="249"/>
      <c r="AJ279" s="249"/>
      <c r="AK279" s="249"/>
      <c r="AL279" s="249"/>
      <c r="AM279" s="249"/>
      <c r="AN279" s="537"/>
      <c r="AO279" s="249" t="str">
        <f>IF(Z279="Yes",COUNTIF($Z$6:Z279,"Yes"),"")</f>
        <v/>
      </c>
      <c r="AP279" s="249" t="str">
        <f>IF(AA279="Yes",COUNTIF($AA$6:AA279,"Yes"),"")</f>
        <v/>
      </c>
      <c r="AQ279" s="249" t="str">
        <f>IF(AC279="Yes",COUNTIF($AC$6:AC279,"Yes"),"")</f>
        <v/>
      </c>
    </row>
    <row r="280" spans="1:43">
      <c r="A280" s="249"/>
      <c r="B280" s="249"/>
      <c r="C280" s="249"/>
      <c r="D280" s="249"/>
      <c r="E280" s="249"/>
      <c r="F280" s="249"/>
      <c r="G280" s="249"/>
      <c r="H280" s="249"/>
      <c r="I280" s="249"/>
      <c r="J280" s="249"/>
      <c r="K280" s="249"/>
      <c r="L280" s="249"/>
      <c r="M280" s="249"/>
      <c r="N280" s="249"/>
      <c r="O280" s="249"/>
      <c r="P280" s="537"/>
      <c r="Q280" s="537"/>
      <c r="R280" s="537"/>
      <c r="S280" s="538" t="str">
        <f t="shared" ca="1" si="12"/>
        <v/>
      </c>
      <c r="T280" s="538" t="str">
        <f t="shared" ca="1" si="13"/>
        <v/>
      </c>
      <c r="U280" s="249"/>
      <c r="V280" s="249"/>
      <c r="W280" s="249"/>
      <c r="X280" s="249"/>
      <c r="Y280" s="249"/>
      <c r="Z280" s="249"/>
      <c r="AA280" s="249"/>
      <c r="AB280" s="249"/>
      <c r="AC280" s="249"/>
      <c r="AD280" s="249"/>
      <c r="AE280" s="249"/>
      <c r="AF280" s="249"/>
      <c r="AG280" s="249"/>
      <c r="AH280" s="249"/>
      <c r="AI280" s="249"/>
      <c r="AJ280" s="249"/>
      <c r="AK280" s="249"/>
      <c r="AL280" s="249"/>
      <c r="AM280" s="249"/>
      <c r="AN280" s="537"/>
      <c r="AO280" s="249" t="str">
        <f>IF(Z280="Yes",COUNTIF($Z$6:Z280,"Yes"),"")</f>
        <v/>
      </c>
      <c r="AP280" s="249" t="str">
        <f>IF(AA280="Yes",COUNTIF($AA$6:AA280,"Yes"),"")</f>
        <v/>
      </c>
      <c r="AQ280" s="249" t="str">
        <f>IF(AC280="Yes",COUNTIF($AC$6:AC280,"Yes"),"")</f>
        <v/>
      </c>
    </row>
    <row r="281" spans="1:43">
      <c r="A281" s="249"/>
      <c r="B281" s="249"/>
      <c r="C281" s="249"/>
      <c r="D281" s="249"/>
      <c r="E281" s="249"/>
      <c r="F281" s="249"/>
      <c r="G281" s="249"/>
      <c r="H281" s="249"/>
      <c r="I281" s="249"/>
      <c r="J281" s="249"/>
      <c r="K281" s="249"/>
      <c r="L281" s="249"/>
      <c r="M281" s="249"/>
      <c r="N281" s="249"/>
      <c r="O281" s="249"/>
      <c r="P281" s="537"/>
      <c r="Q281" s="537"/>
      <c r="R281" s="537"/>
      <c r="S281" s="538" t="str">
        <f t="shared" ca="1" si="12"/>
        <v/>
      </c>
      <c r="T281" s="538" t="str">
        <f t="shared" ca="1" si="13"/>
        <v/>
      </c>
      <c r="U281" s="249"/>
      <c r="V281" s="249"/>
      <c r="W281" s="249"/>
      <c r="X281" s="249"/>
      <c r="Y281" s="249"/>
      <c r="Z281" s="249"/>
      <c r="AA281" s="249"/>
      <c r="AB281" s="249"/>
      <c r="AC281" s="249"/>
      <c r="AD281" s="249"/>
      <c r="AE281" s="249"/>
      <c r="AF281" s="249"/>
      <c r="AG281" s="249"/>
      <c r="AH281" s="249"/>
      <c r="AI281" s="249"/>
      <c r="AJ281" s="249"/>
      <c r="AK281" s="249"/>
      <c r="AL281" s="249"/>
      <c r="AM281" s="249"/>
      <c r="AN281" s="537"/>
      <c r="AO281" s="249" t="str">
        <f>IF(Z281="Yes",COUNTIF($Z$6:Z281,"Yes"),"")</f>
        <v/>
      </c>
      <c r="AP281" s="249" t="str">
        <f>IF(AA281="Yes",COUNTIF($AA$6:AA281,"Yes"),"")</f>
        <v/>
      </c>
      <c r="AQ281" s="249" t="str">
        <f>IF(AC281="Yes",COUNTIF($AC$6:AC281,"Yes"),"")</f>
        <v/>
      </c>
    </row>
    <row r="282" spans="1:43">
      <c r="A282" s="249"/>
      <c r="B282" s="249"/>
      <c r="C282" s="249"/>
      <c r="D282" s="249"/>
      <c r="E282" s="249"/>
      <c r="F282" s="249"/>
      <c r="G282" s="249"/>
      <c r="H282" s="249"/>
      <c r="I282" s="249"/>
      <c r="J282" s="249"/>
      <c r="K282" s="249"/>
      <c r="L282" s="249"/>
      <c r="M282" s="249"/>
      <c r="N282" s="249"/>
      <c r="O282" s="249"/>
      <c r="P282" s="537"/>
      <c r="Q282" s="537"/>
      <c r="R282" s="537"/>
      <c r="S282" s="538" t="str">
        <f t="shared" ca="1" si="12"/>
        <v/>
      </c>
      <c r="T282" s="538" t="str">
        <f t="shared" ca="1" si="13"/>
        <v/>
      </c>
      <c r="U282" s="249"/>
      <c r="V282" s="249"/>
      <c r="W282" s="249"/>
      <c r="X282" s="249"/>
      <c r="Y282" s="249"/>
      <c r="Z282" s="249"/>
      <c r="AA282" s="249"/>
      <c r="AB282" s="249"/>
      <c r="AC282" s="249"/>
      <c r="AD282" s="249"/>
      <c r="AE282" s="249"/>
      <c r="AF282" s="249"/>
      <c r="AG282" s="249"/>
      <c r="AH282" s="249"/>
      <c r="AI282" s="249"/>
      <c r="AJ282" s="249"/>
      <c r="AK282" s="249"/>
      <c r="AL282" s="249"/>
      <c r="AM282" s="249"/>
      <c r="AN282" s="537"/>
      <c r="AO282" s="249" t="str">
        <f>IF(Z282="Yes",COUNTIF($Z$6:Z282,"Yes"),"")</f>
        <v/>
      </c>
      <c r="AP282" s="249" t="str">
        <f>IF(AA282="Yes",COUNTIF($AA$6:AA282,"Yes"),"")</f>
        <v/>
      </c>
      <c r="AQ282" s="249" t="str">
        <f>IF(AC282="Yes",COUNTIF($AC$6:AC282,"Yes"),"")</f>
        <v/>
      </c>
    </row>
    <row r="283" spans="1:43">
      <c r="A283" s="249"/>
      <c r="B283" s="249"/>
      <c r="C283" s="249"/>
      <c r="D283" s="249"/>
      <c r="E283" s="249"/>
      <c r="F283" s="249"/>
      <c r="G283" s="249"/>
      <c r="H283" s="249"/>
      <c r="I283" s="249"/>
      <c r="J283" s="249"/>
      <c r="K283" s="249"/>
      <c r="L283" s="249"/>
      <c r="M283" s="249"/>
      <c r="N283" s="249"/>
      <c r="O283" s="249"/>
      <c r="P283" s="537"/>
      <c r="Q283" s="537"/>
      <c r="R283" s="537"/>
      <c r="S283" s="538" t="str">
        <f t="shared" ca="1" si="12"/>
        <v/>
      </c>
      <c r="T283" s="538" t="str">
        <f t="shared" ca="1" si="13"/>
        <v/>
      </c>
      <c r="U283" s="249"/>
      <c r="V283" s="249"/>
      <c r="W283" s="249"/>
      <c r="X283" s="249"/>
      <c r="Y283" s="249"/>
      <c r="Z283" s="249"/>
      <c r="AA283" s="249"/>
      <c r="AB283" s="249"/>
      <c r="AC283" s="249"/>
      <c r="AD283" s="249"/>
      <c r="AE283" s="249"/>
      <c r="AF283" s="249"/>
      <c r="AG283" s="249"/>
      <c r="AH283" s="249"/>
      <c r="AI283" s="249"/>
      <c r="AJ283" s="249"/>
      <c r="AK283" s="249"/>
      <c r="AL283" s="249"/>
      <c r="AM283" s="249"/>
      <c r="AN283" s="537"/>
      <c r="AO283" s="249" t="str">
        <f>IF(Z283="Yes",COUNTIF($Z$6:Z283,"Yes"),"")</f>
        <v/>
      </c>
      <c r="AP283" s="249" t="str">
        <f>IF(AA283="Yes",COUNTIF($AA$6:AA283,"Yes"),"")</f>
        <v/>
      </c>
      <c r="AQ283" s="249" t="str">
        <f>IF(AC283="Yes",COUNTIF($AC$6:AC283,"Yes"),"")</f>
        <v/>
      </c>
    </row>
    <row r="284" spans="1:43">
      <c r="A284" s="249"/>
      <c r="B284" s="249"/>
      <c r="C284" s="249"/>
      <c r="D284" s="249"/>
      <c r="E284" s="249"/>
      <c r="F284" s="249"/>
      <c r="G284" s="249"/>
      <c r="H284" s="249"/>
      <c r="I284" s="249"/>
      <c r="J284" s="249"/>
      <c r="K284" s="249"/>
      <c r="L284" s="249"/>
      <c r="M284" s="249"/>
      <c r="N284" s="249"/>
      <c r="O284" s="249"/>
      <c r="P284" s="537"/>
      <c r="Q284" s="537"/>
      <c r="R284" s="537"/>
      <c r="S284" s="538" t="str">
        <f t="shared" ca="1" si="12"/>
        <v/>
      </c>
      <c r="T284" s="538" t="str">
        <f t="shared" ca="1" si="13"/>
        <v/>
      </c>
      <c r="U284" s="249"/>
      <c r="V284" s="249"/>
      <c r="W284" s="249"/>
      <c r="X284" s="249"/>
      <c r="Y284" s="249"/>
      <c r="Z284" s="249"/>
      <c r="AA284" s="249"/>
      <c r="AB284" s="249"/>
      <c r="AC284" s="249"/>
      <c r="AD284" s="249"/>
      <c r="AE284" s="249"/>
      <c r="AF284" s="249"/>
      <c r="AG284" s="249"/>
      <c r="AH284" s="249"/>
      <c r="AI284" s="249"/>
      <c r="AJ284" s="249"/>
      <c r="AK284" s="249"/>
      <c r="AL284" s="249"/>
      <c r="AM284" s="249"/>
      <c r="AN284" s="537"/>
      <c r="AO284" s="249" t="str">
        <f>IF(Z284="Yes",COUNTIF($Z$6:Z284,"Yes"),"")</f>
        <v/>
      </c>
      <c r="AP284" s="249" t="str">
        <f>IF(AA284="Yes",COUNTIF($AA$6:AA284,"Yes"),"")</f>
        <v/>
      </c>
      <c r="AQ284" s="249" t="str">
        <f>IF(AC284="Yes",COUNTIF($AC$6:AC284,"Yes"),"")</f>
        <v/>
      </c>
    </row>
    <row r="285" spans="1:43">
      <c r="A285" s="249"/>
      <c r="B285" s="249"/>
      <c r="C285" s="249"/>
      <c r="D285" s="249"/>
      <c r="E285" s="249"/>
      <c r="F285" s="249"/>
      <c r="G285" s="249"/>
      <c r="H285" s="249"/>
      <c r="I285" s="249"/>
      <c r="J285" s="249"/>
      <c r="K285" s="249"/>
      <c r="L285" s="249"/>
      <c r="M285" s="249"/>
      <c r="N285" s="249"/>
      <c r="O285" s="249"/>
      <c r="P285" s="537"/>
      <c r="Q285" s="537"/>
      <c r="R285" s="537"/>
      <c r="S285" s="538" t="str">
        <f t="shared" ca="1" si="12"/>
        <v/>
      </c>
      <c r="T285" s="538" t="str">
        <f t="shared" ca="1" si="13"/>
        <v/>
      </c>
      <c r="U285" s="249"/>
      <c r="V285" s="249"/>
      <c r="W285" s="249"/>
      <c r="X285" s="249"/>
      <c r="Y285" s="249"/>
      <c r="Z285" s="249"/>
      <c r="AA285" s="249"/>
      <c r="AB285" s="249"/>
      <c r="AC285" s="249"/>
      <c r="AD285" s="249"/>
      <c r="AE285" s="249"/>
      <c r="AF285" s="249"/>
      <c r="AG285" s="249"/>
      <c r="AH285" s="249"/>
      <c r="AI285" s="249"/>
      <c r="AJ285" s="249"/>
      <c r="AK285" s="249"/>
      <c r="AL285" s="249"/>
      <c r="AM285" s="249"/>
      <c r="AN285" s="537"/>
      <c r="AO285" s="249" t="str">
        <f>IF(Z285="Yes",COUNTIF($Z$6:Z285,"Yes"),"")</f>
        <v/>
      </c>
      <c r="AP285" s="249" t="str">
        <f>IF(AA285="Yes",COUNTIF($AA$6:AA285,"Yes"),"")</f>
        <v/>
      </c>
      <c r="AQ285" s="249" t="str">
        <f>IF(AC285="Yes",COUNTIF($AC$6:AC285,"Yes"),"")</f>
        <v/>
      </c>
    </row>
    <row r="286" spans="1:43">
      <c r="A286" s="249"/>
      <c r="B286" s="249"/>
      <c r="C286" s="249"/>
      <c r="D286" s="249"/>
      <c r="E286" s="249"/>
      <c r="F286" s="249"/>
      <c r="G286" s="249"/>
      <c r="H286" s="249"/>
      <c r="I286" s="249"/>
      <c r="J286" s="249"/>
      <c r="K286" s="249"/>
      <c r="L286" s="249"/>
      <c r="M286" s="249"/>
      <c r="N286" s="249"/>
      <c r="O286" s="249"/>
      <c r="P286" s="537"/>
      <c r="Q286" s="537"/>
      <c r="R286" s="537"/>
      <c r="S286" s="538" t="str">
        <f t="shared" ca="1" si="12"/>
        <v/>
      </c>
      <c r="T286" s="538" t="str">
        <f t="shared" ca="1" si="13"/>
        <v/>
      </c>
      <c r="U286" s="249"/>
      <c r="V286" s="249"/>
      <c r="W286" s="249"/>
      <c r="X286" s="249"/>
      <c r="Y286" s="249"/>
      <c r="Z286" s="249"/>
      <c r="AA286" s="249"/>
      <c r="AB286" s="249"/>
      <c r="AC286" s="249"/>
      <c r="AD286" s="249"/>
      <c r="AE286" s="249"/>
      <c r="AF286" s="249"/>
      <c r="AG286" s="249"/>
      <c r="AH286" s="249"/>
      <c r="AI286" s="249"/>
      <c r="AJ286" s="249"/>
      <c r="AK286" s="249"/>
      <c r="AL286" s="249"/>
      <c r="AM286" s="249"/>
      <c r="AN286" s="537"/>
      <c r="AO286" s="249" t="str">
        <f>IF(Z286="Yes",COUNTIF($Z$6:Z286,"Yes"),"")</f>
        <v/>
      </c>
      <c r="AP286" s="249" t="str">
        <f>IF(AA286="Yes",COUNTIF($AA$6:AA286,"Yes"),"")</f>
        <v/>
      </c>
      <c r="AQ286" s="249" t="str">
        <f>IF(AC286="Yes",COUNTIF($AC$6:AC286,"Yes"),"")</f>
        <v/>
      </c>
    </row>
    <row r="287" spans="1:43">
      <c r="A287" s="249"/>
      <c r="B287" s="249"/>
      <c r="C287" s="249"/>
      <c r="D287" s="249"/>
      <c r="E287" s="249"/>
      <c r="F287" s="249"/>
      <c r="G287" s="249"/>
      <c r="H287" s="249"/>
      <c r="I287" s="249"/>
      <c r="J287" s="249"/>
      <c r="K287" s="249"/>
      <c r="L287" s="249"/>
      <c r="M287" s="249"/>
      <c r="N287" s="249"/>
      <c r="O287" s="249"/>
      <c r="P287" s="537"/>
      <c r="Q287" s="537"/>
      <c r="R287" s="537"/>
      <c r="S287" s="538" t="str">
        <f t="shared" ca="1" si="12"/>
        <v/>
      </c>
      <c r="T287" s="538" t="str">
        <f t="shared" ca="1" si="13"/>
        <v/>
      </c>
      <c r="U287" s="249"/>
      <c r="V287" s="249"/>
      <c r="W287" s="249"/>
      <c r="X287" s="249"/>
      <c r="Y287" s="249"/>
      <c r="Z287" s="249"/>
      <c r="AA287" s="249"/>
      <c r="AB287" s="249"/>
      <c r="AC287" s="249"/>
      <c r="AD287" s="249"/>
      <c r="AE287" s="249"/>
      <c r="AF287" s="249"/>
      <c r="AG287" s="249"/>
      <c r="AH287" s="249"/>
      <c r="AI287" s="249"/>
      <c r="AJ287" s="249"/>
      <c r="AK287" s="249"/>
      <c r="AL287" s="249"/>
      <c r="AM287" s="249"/>
      <c r="AN287" s="537"/>
      <c r="AO287" s="249" t="str">
        <f>IF(Z287="Yes",COUNTIF($Z$6:Z287,"Yes"),"")</f>
        <v/>
      </c>
      <c r="AP287" s="249" t="str">
        <f>IF(AA287="Yes",COUNTIF($AA$6:AA287,"Yes"),"")</f>
        <v/>
      </c>
      <c r="AQ287" s="249" t="str">
        <f>IF(AC287="Yes",COUNTIF($AC$6:AC287,"Yes"),"")</f>
        <v/>
      </c>
    </row>
    <row r="288" spans="1:43">
      <c r="A288" s="249"/>
      <c r="B288" s="249"/>
      <c r="C288" s="249"/>
      <c r="D288" s="249"/>
      <c r="E288" s="249"/>
      <c r="F288" s="249"/>
      <c r="G288" s="249"/>
      <c r="H288" s="249"/>
      <c r="I288" s="249"/>
      <c r="J288" s="249"/>
      <c r="K288" s="249"/>
      <c r="L288" s="249"/>
      <c r="M288" s="249"/>
      <c r="N288" s="249"/>
      <c r="O288" s="249"/>
      <c r="P288" s="537"/>
      <c r="Q288" s="537"/>
      <c r="R288" s="537"/>
      <c r="S288" s="538" t="str">
        <f t="shared" ca="1" si="12"/>
        <v/>
      </c>
      <c r="T288" s="538" t="str">
        <f t="shared" ca="1" si="13"/>
        <v/>
      </c>
      <c r="U288" s="249"/>
      <c r="V288" s="249"/>
      <c r="W288" s="249"/>
      <c r="X288" s="249"/>
      <c r="Y288" s="249"/>
      <c r="Z288" s="249"/>
      <c r="AA288" s="249"/>
      <c r="AB288" s="249"/>
      <c r="AC288" s="249"/>
      <c r="AD288" s="249"/>
      <c r="AE288" s="249"/>
      <c r="AF288" s="249"/>
      <c r="AG288" s="249"/>
      <c r="AH288" s="249"/>
      <c r="AI288" s="249"/>
      <c r="AJ288" s="249"/>
      <c r="AK288" s="249"/>
      <c r="AL288" s="249"/>
      <c r="AM288" s="249"/>
      <c r="AN288" s="537"/>
      <c r="AO288" s="249" t="str">
        <f>IF(Z288="Yes",COUNTIF($Z$6:Z288,"Yes"),"")</f>
        <v/>
      </c>
      <c r="AP288" s="249" t="str">
        <f>IF(AA288="Yes",COUNTIF($AA$6:AA288,"Yes"),"")</f>
        <v/>
      </c>
      <c r="AQ288" s="249" t="str">
        <f>IF(AC288="Yes",COUNTIF($AC$6:AC288,"Yes"),"")</f>
        <v/>
      </c>
    </row>
    <row r="289" spans="1:43">
      <c r="A289" s="249"/>
      <c r="B289" s="249"/>
      <c r="C289" s="249"/>
      <c r="D289" s="249"/>
      <c r="E289" s="249"/>
      <c r="F289" s="249"/>
      <c r="G289" s="249"/>
      <c r="H289" s="249"/>
      <c r="I289" s="249"/>
      <c r="J289" s="249"/>
      <c r="K289" s="249"/>
      <c r="L289" s="249"/>
      <c r="M289" s="249"/>
      <c r="N289" s="249"/>
      <c r="O289" s="249"/>
      <c r="P289" s="537"/>
      <c r="Q289" s="537"/>
      <c r="R289" s="537"/>
      <c r="S289" s="538" t="str">
        <f t="shared" ca="1" si="12"/>
        <v/>
      </c>
      <c r="T289" s="538" t="str">
        <f t="shared" ca="1" si="13"/>
        <v/>
      </c>
      <c r="U289" s="249"/>
      <c r="V289" s="249"/>
      <c r="W289" s="249"/>
      <c r="X289" s="249"/>
      <c r="Y289" s="249"/>
      <c r="Z289" s="249"/>
      <c r="AA289" s="249"/>
      <c r="AB289" s="249"/>
      <c r="AC289" s="249"/>
      <c r="AD289" s="249"/>
      <c r="AE289" s="249"/>
      <c r="AF289" s="249"/>
      <c r="AG289" s="249"/>
      <c r="AH289" s="249"/>
      <c r="AI289" s="249"/>
      <c r="AJ289" s="249"/>
      <c r="AK289" s="249"/>
      <c r="AL289" s="249"/>
      <c r="AM289" s="249"/>
      <c r="AN289" s="537"/>
      <c r="AO289" s="249" t="str">
        <f>IF(Z289="Yes",COUNTIF($Z$6:Z289,"Yes"),"")</f>
        <v/>
      </c>
      <c r="AP289" s="249" t="str">
        <f>IF(AA289="Yes",COUNTIF($AA$6:AA289,"Yes"),"")</f>
        <v/>
      </c>
      <c r="AQ289" s="249" t="str">
        <f>IF(AC289="Yes",COUNTIF($AC$6:AC289,"Yes"),"")</f>
        <v/>
      </c>
    </row>
    <row r="290" spans="1:43">
      <c r="A290" s="249"/>
      <c r="B290" s="249"/>
      <c r="C290" s="249"/>
      <c r="D290" s="249"/>
      <c r="E290" s="249"/>
      <c r="F290" s="249"/>
      <c r="G290" s="249"/>
      <c r="H290" s="249"/>
      <c r="I290" s="249"/>
      <c r="J290" s="249"/>
      <c r="K290" s="249"/>
      <c r="L290" s="249"/>
      <c r="M290" s="249"/>
      <c r="N290" s="249"/>
      <c r="O290" s="249"/>
      <c r="P290" s="537"/>
      <c r="Q290" s="537"/>
      <c r="R290" s="537"/>
      <c r="S290" s="538" t="str">
        <f t="shared" ca="1" si="12"/>
        <v/>
      </c>
      <c r="T290" s="538" t="str">
        <f t="shared" ca="1" si="13"/>
        <v/>
      </c>
      <c r="U290" s="249"/>
      <c r="V290" s="249"/>
      <c r="W290" s="249"/>
      <c r="X290" s="249"/>
      <c r="Y290" s="249"/>
      <c r="Z290" s="249"/>
      <c r="AA290" s="249"/>
      <c r="AB290" s="249"/>
      <c r="AC290" s="249"/>
      <c r="AD290" s="249"/>
      <c r="AE290" s="249"/>
      <c r="AF290" s="249"/>
      <c r="AG290" s="249"/>
      <c r="AH290" s="249"/>
      <c r="AI290" s="249"/>
      <c r="AJ290" s="249"/>
      <c r="AK290" s="249"/>
      <c r="AL290" s="249"/>
      <c r="AM290" s="249"/>
      <c r="AN290" s="537"/>
      <c r="AO290" s="249" t="str">
        <f>IF(Z290="Yes",COUNTIF($Z$6:Z290,"Yes"),"")</f>
        <v/>
      </c>
      <c r="AP290" s="249" t="str">
        <f>IF(AA290="Yes",COUNTIF($AA$6:AA290,"Yes"),"")</f>
        <v/>
      </c>
      <c r="AQ290" s="249" t="str">
        <f>IF(AC290="Yes",COUNTIF($AC$6:AC290,"Yes"),"")</f>
        <v/>
      </c>
    </row>
    <row r="291" spans="1:43">
      <c r="A291" s="249"/>
      <c r="B291" s="249"/>
      <c r="C291" s="249"/>
      <c r="D291" s="249"/>
      <c r="E291" s="249"/>
      <c r="F291" s="249"/>
      <c r="G291" s="249"/>
      <c r="H291" s="249"/>
      <c r="I291" s="249"/>
      <c r="J291" s="249"/>
      <c r="K291" s="249"/>
      <c r="L291" s="249"/>
      <c r="M291" s="249"/>
      <c r="N291" s="249"/>
      <c r="O291" s="249"/>
      <c r="P291" s="537"/>
      <c r="Q291" s="537"/>
      <c r="R291" s="537"/>
      <c r="S291" s="538" t="str">
        <f t="shared" ca="1" si="12"/>
        <v/>
      </c>
      <c r="T291" s="538" t="str">
        <f t="shared" ca="1" si="13"/>
        <v/>
      </c>
      <c r="U291" s="249"/>
      <c r="V291" s="249"/>
      <c r="W291" s="249"/>
      <c r="X291" s="249"/>
      <c r="Y291" s="249"/>
      <c r="Z291" s="249"/>
      <c r="AA291" s="249"/>
      <c r="AB291" s="249"/>
      <c r="AC291" s="249"/>
      <c r="AD291" s="249"/>
      <c r="AE291" s="249"/>
      <c r="AF291" s="249"/>
      <c r="AG291" s="249"/>
      <c r="AH291" s="249"/>
      <c r="AI291" s="249"/>
      <c r="AJ291" s="249"/>
      <c r="AK291" s="249"/>
      <c r="AL291" s="249"/>
      <c r="AM291" s="249"/>
      <c r="AN291" s="537"/>
      <c r="AO291" s="249" t="str">
        <f>IF(Z291="Yes",COUNTIF($Z$6:Z291,"Yes"),"")</f>
        <v/>
      </c>
      <c r="AP291" s="249" t="str">
        <f>IF(AA291="Yes",COUNTIF($AA$6:AA291,"Yes"),"")</f>
        <v/>
      </c>
      <c r="AQ291" s="249" t="str">
        <f>IF(AC291="Yes",COUNTIF($AC$6:AC291,"Yes"),"")</f>
        <v/>
      </c>
    </row>
    <row r="292" spans="1:43">
      <c r="A292" s="249"/>
      <c r="B292" s="249"/>
      <c r="C292" s="249"/>
      <c r="D292" s="249"/>
      <c r="E292" s="249"/>
      <c r="F292" s="249"/>
      <c r="G292" s="249"/>
      <c r="H292" s="249"/>
      <c r="I292" s="249"/>
      <c r="J292" s="249"/>
      <c r="K292" s="249"/>
      <c r="L292" s="249"/>
      <c r="M292" s="249"/>
      <c r="N292" s="249"/>
      <c r="O292" s="249"/>
      <c r="P292" s="537"/>
      <c r="Q292" s="537"/>
      <c r="R292" s="537"/>
      <c r="S292" s="538" t="str">
        <f t="shared" ca="1" si="12"/>
        <v/>
      </c>
      <c r="T292" s="538" t="str">
        <f t="shared" ca="1" si="13"/>
        <v/>
      </c>
      <c r="U292" s="249"/>
      <c r="V292" s="249"/>
      <c r="W292" s="249"/>
      <c r="X292" s="249"/>
      <c r="Y292" s="249"/>
      <c r="Z292" s="249"/>
      <c r="AA292" s="249"/>
      <c r="AB292" s="249"/>
      <c r="AC292" s="249"/>
      <c r="AD292" s="249"/>
      <c r="AE292" s="249"/>
      <c r="AF292" s="249"/>
      <c r="AG292" s="249"/>
      <c r="AH292" s="249"/>
      <c r="AI292" s="249"/>
      <c r="AJ292" s="249"/>
      <c r="AK292" s="249"/>
      <c r="AL292" s="249"/>
      <c r="AM292" s="249"/>
      <c r="AN292" s="537"/>
      <c r="AO292" s="249" t="str">
        <f>IF(Z292="Yes",COUNTIF($Z$6:Z292,"Yes"),"")</f>
        <v/>
      </c>
      <c r="AP292" s="249" t="str">
        <f>IF(AA292="Yes",COUNTIF($AA$6:AA292,"Yes"),"")</f>
        <v/>
      </c>
      <c r="AQ292" s="249" t="str">
        <f>IF(AC292="Yes",COUNTIF($AC$6:AC292,"Yes"),"")</f>
        <v/>
      </c>
    </row>
    <row r="293" spans="1:43">
      <c r="A293" s="249"/>
      <c r="B293" s="249"/>
      <c r="C293" s="249"/>
      <c r="D293" s="249"/>
      <c r="E293" s="249"/>
      <c r="F293" s="249"/>
      <c r="G293" s="249"/>
      <c r="H293" s="249"/>
      <c r="I293" s="249"/>
      <c r="J293" s="249"/>
      <c r="K293" s="249"/>
      <c r="L293" s="249"/>
      <c r="M293" s="249"/>
      <c r="N293" s="249"/>
      <c r="O293" s="249"/>
      <c r="P293" s="537"/>
      <c r="Q293" s="537"/>
      <c r="R293" s="537"/>
      <c r="S293" s="538" t="str">
        <f t="shared" ca="1" si="12"/>
        <v/>
      </c>
      <c r="T293" s="538" t="str">
        <f t="shared" ca="1" si="13"/>
        <v/>
      </c>
      <c r="U293" s="249"/>
      <c r="V293" s="249"/>
      <c r="W293" s="249"/>
      <c r="X293" s="249"/>
      <c r="Y293" s="249"/>
      <c r="Z293" s="249"/>
      <c r="AA293" s="249"/>
      <c r="AB293" s="249"/>
      <c r="AC293" s="249"/>
      <c r="AD293" s="249"/>
      <c r="AE293" s="249"/>
      <c r="AF293" s="249"/>
      <c r="AG293" s="249"/>
      <c r="AH293" s="249"/>
      <c r="AI293" s="249"/>
      <c r="AJ293" s="249"/>
      <c r="AK293" s="249"/>
      <c r="AL293" s="249"/>
      <c r="AM293" s="249"/>
      <c r="AN293" s="537"/>
      <c r="AO293" s="249" t="str">
        <f>IF(Z293="Yes",COUNTIF($Z$6:Z293,"Yes"),"")</f>
        <v/>
      </c>
      <c r="AP293" s="249" t="str">
        <f>IF(AA293="Yes",COUNTIF($AA$6:AA293,"Yes"),"")</f>
        <v/>
      </c>
      <c r="AQ293" s="249" t="str">
        <f>IF(AC293="Yes",COUNTIF($AC$6:AC293,"Yes"),"")</f>
        <v/>
      </c>
    </row>
    <row r="294" spans="1:43">
      <c r="A294" s="249"/>
      <c r="B294" s="249"/>
      <c r="C294" s="249"/>
      <c r="D294" s="249"/>
      <c r="E294" s="249"/>
      <c r="F294" s="249"/>
      <c r="G294" s="249"/>
      <c r="H294" s="249"/>
      <c r="I294" s="249"/>
      <c r="J294" s="249"/>
      <c r="K294" s="249"/>
      <c r="L294" s="249"/>
      <c r="M294" s="249"/>
      <c r="N294" s="249"/>
      <c r="O294" s="249"/>
      <c r="P294" s="537"/>
      <c r="Q294" s="537"/>
      <c r="R294" s="537"/>
      <c r="S294" s="538" t="str">
        <f t="shared" ca="1" si="12"/>
        <v/>
      </c>
      <c r="T294" s="538" t="str">
        <f t="shared" ca="1" si="13"/>
        <v/>
      </c>
      <c r="U294" s="249"/>
      <c r="V294" s="249"/>
      <c r="W294" s="249"/>
      <c r="X294" s="249"/>
      <c r="Y294" s="249"/>
      <c r="Z294" s="249"/>
      <c r="AA294" s="249"/>
      <c r="AB294" s="249"/>
      <c r="AC294" s="249"/>
      <c r="AD294" s="249"/>
      <c r="AE294" s="249"/>
      <c r="AF294" s="249"/>
      <c r="AG294" s="249"/>
      <c r="AH294" s="249"/>
      <c r="AI294" s="249"/>
      <c r="AJ294" s="249"/>
      <c r="AK294" s="249"/>
      <c r="AL294" s="249"/>
      <c r="AM294" s="249"/>
      <c r="AN294" s="537"/>
      <c r="AO294" s="249" t="str">
        <f>IF(Z294="Yes",COUNTIF($Z$6:Z294,"Yes"),"")</f>
        <v/>
      </c>
      <c r="AP294" s="249" t="str">
        <f>IF(AA294="Yes",COUNTIF($AA$6:AA294,"Yes"),"")</f>
        <v/>
      </c>
      <c r="AQ294" s="249" t="str">
        <f>IF(AC294="Yes",COUNTIF($AC$6:AC294,"Yes"),"")</f>
        <v/>
      </c>
    </row>
    <row r="295" spans="1:43">
      <c r="A295" s="249"/>
      <c r="B295" s="249"/>
      <c r="C295" s="249"/>
      <c r="D295" s="249"/>
      <c r="E295" s="249"/>
      <c r="F295" s="249"/>
      <c r="G295" s="249"/>
      <c r="H295" s="249"/>
      <c r="I295" s="249"/>
      <c r="J295" s="249"/>
      <c r="K295" s="249"/>
      <c r="L295" s="249"/>
      <c r="M295" s="249"/>
      <c r="N295" s="249"/>
      <c r="O295" s="249"/>
      <c r="P295" s="537"/>
      <c r="Q295" s="537"/>
      <c r="R295" s="537"/>
      <c r="S295" s="538" t="str">
        <f t="shared" ca="1" si="12"/>
        <v/>
      </c>
      <c r="T295" s="538" t="str">
        <f t="shared" ca="1" si="13"/>
        <v/>
      </c>
      <c r="U295" s="249"/>
      <c r="V295" s="249"/>
      <c r="W295" s="249"/>
      <c r="X295" s="249"/>
      <c r="Y295" s="249"/>
      <c r="Z295" s="249"/>
      <c r="AA295" s="249"/>
      <c r="AB295" s="249"/>
      <c r="AC295" s="249"/>
      <c r="AD295" s="249"/>
      <c r="AE295" s="249"/>
      <c r="AF295" s="249"/>
      <c r="AG295" s="249"/>
      <c r="AH295" s="249"/>
      <c r="AI295" s="249"/>
      <c r="AJ295" s="249"/>
      <c r="AK295" s="249"/>
      <c r="AL295" s="249"/>
      <c r="AM295" s="249"/>
      <c r="AN295" s="537"/>
      <c r="AO295" s="249" t="str">
        <f>IF(Z295="Yes",COUNTIF($Z$6:Z295,"Yes"),"")</f>
        <v/>
      </c>
      <c r="AP295" s="249" t="str">
        <f>IF(AA295="Yes",COUNTIF($AA$6:AA295,"Yes"),"")</f>
        <v/>
      </c>
      <c r="AQ295" s="249" t="str">
        <f>IF(AC295="Yes",COUNTIF($AC$6:AC295,"Yes"),"")</f>
        <v/>
      </c>
    </row>
    <row r="296" spans="1:43">
      <c r="A296" s="249"/>
      <c r="B296" s="249"/>
      <c r="C296" s="249"/>
      <c r="D296" s="249"/>
      <c r="E296" s="249"/>
      <c r="F296" s="249"/>
      <c r="G296" s="249"/>
      <c r="H296" s="249"/>
      <c r="I296" s="249"/>
      <c r="J296" s="249"/>
      <c r="K296" s="249"/>
      <c r="L296" s="249"/>
      <c r="M296" s="249"/>
      <c r="N296" s="249"/>
      <c r="O296" s="249"/>
      <c r="P296" s="537"/>
      <c r="Q296" s="537"/>
      <c r="R296" s="537"/>
      <c r="S296" s="538" t="str">
        <f t="shared" ca="1" si="12"/>
        <v/>
      </c>
      <c r="T296" s="538" t="str">
        <f t="shared" ca="1" si="13"/>
        <v/>
      </c>
      <c r="U296" s="249"/>
      <c r="V296" s="249"/>
      <c r="W296" s="249"/>
      <c r="X296" s="249"/>
      <c r="Y296" s="249"/>
      <c r="Z296" s="249"/>
      <c r="AA296" s="249"/>
      <c r="AB296" s="249"/>
      <c r="AC296" s="249"/>
      <c r="AD296" s="249"/>
      <c r="AE296" s="249"/>
      <c r="AF296" s="249"/>
      <c r="AG296" s="249"/>
      <c r="AH296" s="249"/>
      <c r="AI296" s="249"/>
      <c r="AJ296" s="249"/>
      <c r="AK296" s="249"/>
      <c r="AL296" s="249"/>
      <c r="AM296" s="249"/>
      <c r="AN296" s="537"/>
      <c r="AO296" s="249" t="str">
        <f>IF(Z296="Yes",COUNTIF($Z$6:Z296,"Yes"),"")</f>
        <v/>
      </c>
      <c r="AP296" s="249" t="str">
        <f>IF(AA296="Yes",COUNTIF($AA$6:AA296,"Yes"),"")</f>
        <v/>
      </c>
      <c r="AQ296" s="249" t="str">
        <f>IF(AC296="Yes",COUNTIF($AC$6:AC296,"Yes"),"")</f>
        <v/>
      </c>
    </row>
    <row r="297" spans="1:43">
      <c r="A297" s="249"/>
      <c r="B297" s="249"/>
      <c r="C297" s="249"/>
      <c r="D297" s="249"/>
      <c r="E297" s="249"/>
      <c r="F297" s="249"/>
      <c r="G297" s="249"/>
      <c r="H297" s="249"/>
      <c r="I297" s="249"/>
      <c r="J297" s="249"/>
      <c r="K297" s="249"/>
      <c r="L297" s="249"/>
      <c r="M297" s="249"/>
      <c r="N297" s="249"/>
      <c r="O297" s="249"/>
      <c r="P297" s="537"/>
      <c r="Q297" s="537"/>
      <c r="R297" s="537"/>
      <c r="S297" s="538" t="str">
        <f t="shared" ca="1" si="12"/>
        <v/>
      </c>
      <c r="T297" s="538" t="str">
        <f t="shared" ca="1" si="13"/>
        <v/>
      </c>
      <c r="U297" s="249"/>
      <c r="V297" s="249"/>
      <c r="W297" s="249"/>
      <c r="X297" s="249"/>
      <c r="Y297" s="249"/>
      <c r="Z297" s="249"/>
      <c r="AA297" s="249"/>
      <c r="AB297" s="249"/>
      <c r="AC297" s="249"/>
      <c r="AD297" s="249"/>
      <c r="AE297" s="249"/>
      <c r="AF297" s="249"/>
      <c r="AG297" s="249"/>
      <c r="AH297" s="249"/>
      <c r="AI297" s="249"/>
      <c r="AJ297" s="249"/>
      <c r="AK297" s="249"/>
      <c r="AL297" s="249"/>
      <c r="AM297" s="249"/>
      <c r="AN297" s="537"/>
      <c r="AO297" s="249" t="str">
        <f>IF(Z297="Yes",COUNTIF($Z$6:Z297,"Yes"),"")</f>
        <v/>
      </c>
      <c r="AP297" s="249" t="str">
        <f>IF(AA297="Yes",COUNTIF($AA$6:AA297,"Yes"),"")</f>
        <v/>
      </c>
      <c r="AQ297" s="249" t="str">
        <f>IF(AC297="Yes",COUNTIF($AC$6:AC297,"Yes"),"")</f>
        <v/>
      </c>
    </row>
    <row r="298" spans="1:43">
      <c r="A298" s="249"/>
      <c r="B298" s="249"/>
      <c r="C298" s="249"/>
      <c r="D298" s="249"/>
      <c r="E298" s="249"/>
      <c r="F298" s="249"/>
      <c r="G298" s="249"/>
      <c r="H298" s="249"/>
      <c r="I298" s="249"/>
      <c r="J298" s="249"/>
      <c r="K298" s="249"/>
      <c r="L298" s="249"/>
      <c r="M298" s="249"/>
      <c r="N298" s="249"/>
      <c r="O298" s="249"/>
      <c r="P298" s="537"/>
      <c r="Q298" s="537"/>
      <c r="R298" s="537"/>
      <c r="S298" s="538" t="str">
        <f t="shared" ca="1" si="12"/>
        <v/>
      </c>
      <c r="T298" s="538" t="str">
        <f t="shared" ca="1" si="13"/>
        <v/>
      </c>
      <c r="U298" s="249"/>
      <c r="V298" s="249"/>
      <c r="W298" s="249"/>
      <c r="X298" s="249"/>
      <c r="Y298" s="249"/>
      <c r="Z298" s="249"/>
      <c r="AA298" s="249"/>
      <c r="AB298" s="249"/>
      <c r="AC298" s="249"/>
      <c r="AD298" s="249"/>
      <c r="AE298" s="249"/>
      <c r="AF298" s="249"/>
      <c r="AG298" s="249"/>
      <c r="AH298" s="249"/>
      <c r="AI298" s="249"/>
      <c r="AJ298" s="249"/>
      <c r="AK298" s="249"/>
      <c r="AL298" s="249"/>
      <c r="AM298" s="249"/>
      <c r="AN298" s="537"/>
      <c r="AO298" s="249" t="str">
        <f>IF(Z298="Yes",COUNTIF($Z$6:Z298,"Yes"),"")</f>
        <v/>
      </c>
      <c r="AP298" s="249" t="str">
        <f>IF(AA298="Yes",COUNTIF($AA$6:AA298,"Yes"),"")</f>
        <v/>
      </c>
      <c r="AQ298" s="249" t="str">
        <f>IF(AC298="Yes",COUNTIF($AC$6:AC298,"Yes"),"")</f>
        <v/>
      </c>
    </row>
    <row r="299" spans="1:43">
      <c r="A299" s="249"/>
      <c r="B299" s="249"/>
      <c r="C299" s="249"/>
      <c r="D299" s="249"/>
      <c r="E299" s="249"/>
      <c r="F299" s="249"/>
      <c r="G299" s="249"/>
      <c r="H299" s="249"/>
      <c r="I299" s="249"/>
      <c r="J299" s="249"/>
      <c r="K299" s="249"/>
      <c r="L299" s="249"/>
      <c r="M299" s="249"/>
      <c r="N299" s="249"/>
      <c r="O299" s="249"/>
      <c r="P299" s="537"/>
      <c r="Q299" s="537"/>
      <c r="R299" s="537"/>
      <c r="S299" s="538" t="str">
        <f t="shared" ca="1" si="12"/>
        <v/>
      </c>
      <c r="T299" s="538" t="str">
        <f t="shared" ca="1" si="13"/>
        <v/>
      </c>
      <c r="U299" s="249"/>
      <c r="V299" s="249"/>
      <c r="W299" s="249"/>
      <c r="X299" s="249"/>
      <c r="Y299" s="249"/>
      <c r="Z299" s="249"/>
      <c r="AA299" s="249"/>
      <c r="AB299" s="249"/>
      <c r="AC299" s="249"/>
      <c r="AD299" s="249"/>
      <c r="AE299" s="249"/>
      <c r="AF299" s="249"/>
      <c r="AG299" s="249"/>
      <c r="AH299" s="249"/>
      <c r="AI299" s="249"/>
      <c r="AJ299" s="249"/>
      <c r="AK299" s="249"/>
      <c r="AL299" s="249"/>
      <c r="AM299" s="249"/>
      <c r="AN299" s="537"/>
      <c r="AO299" s="249" t="str">
        <f>IF(Z299="Yes",COUNTIF($Z$6:Z299,"Yes"),"")</f>
        <v/>
      </c>
      <c r="AP299" s="249" t="str">
        <f>IF(AA299="Yes",COUNTIF($AA$6:AA299,"Yes"),"")</f>
        <v/>
      </c>
      <c r="AQ299" s="249" t="str">
        <f>IF(AC299="Yes",COUNTIF($AC$6:AC299,"Yes"),"")</f>
        <v/>
      </c>
    </row>
    <row r="300" spans="1:43">
      <c r="A300" s="249"/>
      <c r="B300" s="249"/>
      <c r="C300" s="249"/>
      <c r="D300" s="249"/>
      <c r="E300" s="249"/>
      <c r="F300" s="249"/>
      <c r="G300" s="249"/>
      <c r="H300" s="249"/>
      <c r="I300" s="249"/>
      <c r="J300" s="249"/>
      <c r="K300" s="249"/>
      <c r="L300" s="249"/>
      <c r="M300" s="249"/>
      <c r="N300" s="249"/>
      <c r="O300" s="249"/>
      <c r="P300" s="537"/>
      <c r="Q300" s="537"/>
      <c r="R300" s="537"/>
      <c r="S300" s="538" t="str">
        <f t="shared" ca="1" si="12"/>
        <v/>
      </c>
      <c r="T300" s="538" t="str">
        <f t="shared" ca="1" si="13"/>
        <v/>
      </c>
      <c r="U300" s="249"/>
      <c r="V300" s="249"/>
      <c r="W300" s="249"/>
      <c r="X300" s="249"/>
      <c r="Y300" s="249"/>
      <c r="Z300" s="249"/>
      <c r="AA300" s="249"/>
      <c r="AB300" s="249"/>
      <c r="AC300" s="249"/>
      <c r="AD300" s="249"/>
      <c r="AE300" s="249"/>
      <c r="AF300" s="249"/>
      <c r="AG300" s="249"/>
      <c r="AH300" s="249"/>
      <c r="AI300" s="249"/>
      <c r="AJ300" s="249"/>
      <c r="AK300" s="249"/>
      <c r="AL300" s="249"/>
      <c r="AM300" s="249"/>
      <c r="AN300" s="537"/>
      <c r="AO300" s="249" t="str">
        <f>IF(Z300="Yes",COUNTIF($Z$6:Z300,"Yes"),"")</f>
        <v/>
      </c>
      <c r="AP300" s="249" t="str">
        <f>IF(AA300="Yes",COUNTIF($AA$6:AA300,"Yes"),"")</f>
        <v/>
      </c>
      <c r="AQ300" s="249" t="str">
        <f>IF(AC300="Yes",COUNTIF($AC$6:AC300,"Yes"),"")</f>
        <v/>
      </c>
    </row>
    <row r="301" spans="1:43">
      <c r="A301" s="249"/>
      <c r="B301" s="249"/>
      <c r="C301" s="249"/>
      <c r="D301" s="249"/>
      <c r="E301" s="249"/>
      <c r="F301" s="249"/>
      <c r="G301" s="249"/>
      <c r="H301" s="249"/>
      <c r="I301" s="249"/>
      <c r="J301" s="249"/>
      <c r="K301" s="249"/>
      <c r="L301" s="249"/>
      <c r="M301" s="249"/>
      <c r="N301" s="249"/>
      <c r="O301" s="249"/>
      <c r="P301" s="537"/>
      <c r="Q301" s="537"/>
      <c r="R301" s="537"/>
      <c r="S301" s="538" t="str">
        <f t="shared" ca="1" si="12"/>
        <v/>
      </c>
      <c r="T301" s="538" t="str">
        <f t="shared" ca="1" si="13"/>
        <v/>
      </c>
      <c r="U301" s="249"/>
      <c r="V301" s="249"/>
      <c r="W301" s="249"/>
      <c r="X301" s="249"/>
      <c r="Y301" s="249"/>
      <c r="Z301" s="249"/>
      <c r="AA301" s="249"/>
      <c r="AB301" s="249"/>
      <c r="AC301" s="249"/>
      <c r="AD301" s="249"/>
      <c r="AE301" s="249"/>
      <c r="AF301" s="249"/>
      <c r="AG301" s="249"/>
      <c r="AH301" s="249"/>
      <c r="AI301" s="249"/>
      <c r="AJ301" s="249"/>
      <c r="AK301" s="249"/>
      <c r="AL301" s="249"/>
      <c r="AM301" s="249"/>
      <c r="AN301" s="537"/>
      <c r="AO301" s="249" t="str">
        <f>IF(Z301="Yes",COUNTIF($Z$6:Z301,"Yes"),"")</f>
        <v/>
      </c>
      <c r="AP301" s="249" t="str">
        <f>IF(AA301="Yes",COUNTIF($AA$6:AA301,"Yes"),"")</f>
        <v/>
      </c>
      <c r="AQ301" s="249" t="str">
        <f>IF(AC301="Yes",COUNTIF($AC$6:AC301,"Yes"),"")</f>
        <v/>
      </c>
    </row>
    <row r="302" spans="1:43">
      <c r="A302" s="249"/>
      <c r="B302" s="249"/>
      <c r="C302" s="249"/>
      <c r="D302" s="249"/>
      <c r="E302" s="249"/>
      <c r="F302" s="249"/>
      <c r="G302" s="249"/>
      <c r="H302" s="249"/>
      <c r="I302" s="249"/>
      <c r="J302" s="249"/>
      <c r="K302" s="249"/>
      <c r="L302" s="249"/>
      <c r="M302" s="249"/>
      <c r="N302" s="249"/>
      <c r="O302" s="249"/>
      <c r="P302" s="537"/>
      <c r="Q302" s="537"/>
      <c r="R302" s="537"/>
      <c r="S302" s="538" t="str">
        <f t="shared" ca="1" si="12"/>
        <v/>
      </c>
      <c r="T302" s="538" t="str">
        <f t="shared" ca="1" si="13"/>
        <v/>
      </c>
      <c r="U302" s="249"/>
      <c r="V302" s="249"/>
      <c r="W302" s="249"/>
      <c r="X302" s="249"/>
      <c r="Y302" s="249"/>
      <c r="Z302" s="249"/>
      <c r="AA302" s="249"/>
      <c r="AB302" s="249"/>
      <c r="AC302" s="249"/>
      <c r="AD302" s="249"/>
      <c r="AE302" s="249"/>
      <c r="AF302" s="249"/>
      <c r="AG302" s="249"/>
      <c r="AH302" s="249"/>
      <c r="AI302" s="249"/>
      <c r="AJ302" s="249"/>
      <c r="AK302" s="249"/>
      <c r="AL302" s="249"/>
      <c r="AM302" s="249"/>
      <c r="AN302" s="537"/>
      <c r="AO302" s="249" t="str">
        <f>IF(Z302="Yes",COUNTIF($Z$6:Z302,"Yes"),"")</f>
        <v/>
      </c>
      <c r="AP302" s="249" t="str">
        <f>IF(AA302="Yes",COUNTIF($AA$6:AA302,"Yes"),"")</f>
        <v/>
      </c>
      <c r="AQ302" s="249" t="str">
        <f>IF(AC302="Yes",COUNTIF($AC$6:AC302,"Yes"),"")</f>
        <v/>
      </c>
    </row>
    <row r="303" spans="1:43">
      <c r="A303" s="249"/>
      <c r="B303" s="249"/>
      <c r="C303" s="249"/>
      <c r="D303" s="249"/>
      <c r="E303" s="249"/>
      <c r="F303" s="249"/>
      <c r="G303" s="249"/>
      <c r="H303" s="249"/>
      <c r="I303" s="249"/>
      <c r="J303" s="249"/>
      <c r="K303" s="249"/>
      <c r="L303" s="249"/>
      <c r="M303" s="249"/>
      <c r="N303" s="249"/>
      <c r="O303" s="249"/>
      <c r="P303" s="537"/>
      <c r="Q303" s="537"/>
      <c r="R303" s="537"/>
      <c r="S303" s="538" t="str">
        <f t="shared" ca="1" si="12"/>
        <v/>
      </c>
      <c r="T303" s="538" t="str">
        <f t="shared" ca="1" si="13"/>
        <v/>
      </c>
      <c r="U303" s="249"/>
      <c r="V303" s="249"/>
      <c r="W303" s="249"/>
      <c r="X303" s="249"/>
      <c r="Y303" s="249"/>
      <c r="Z303" s="249"/>
      <c r="AA303" s="249"/>
      <c r="AB303" s="249"/>
      <c r="AC303" s="249"/>
      <c r="AD303" s="249"/>
      <c r="AE303" s="249"/>
      <c r="AF303" s="249"/>
      <c r="AG303" s="249"/>
      <c r="AH303" s="249"/>
      <c r="AI303" s="249"/>
      <c r="AJ303" s="249"/>
      <c r="AK303" s="249"/>
      <c r="AL303" s="249"/>
      <c r="AM303" s="249"/>
      <c r="AN303" s="537"/>
      <c r="AO303" s="249" t="str">
        <f>IF(Z303="Yes",COUNTIF($Z$6:Z303,"Yes"),"")</f>
        <v/>
      </c>
      <c r="AP303" s="249" t="str">
        <f>IF(AA303="Yes",COUNTIF($AA$6:AA303,"Yes"),"")</f>
        <v/>
      </c>
      <c r="AQ303" s="249" t="str">
        <f>IF(AC303="Yes",COUNTIF($AC$6:AC303,"Yes"),"")</f>
        <v/>
      </c>
    </row>
    <row r="304" spans="1:43">
      <c r="A304" s="249"/>
      <c r="B304" s="249"/>
      <c r="C304" s="249"/>
      <c r="D304" s="249"/>
      <c r="E304" s="249"/>
      <c r="F304" s="249"/>
      <c r="G304" s="249"/>
      <c r="H304" s="249"/>
      <c r="I304" s="249"/>
      <c r="J304" s="249"/>
      <c r="K304" s="249"/>
      <c r="L304" s="249"/>
      <c r="M304" s="249"/>
      <c r="N304" s="249"/>
      <c r="O304" s="249"/>
      <c r="P304" s="537"/>
      <c r="Q304" s="537"/>
      <c r="R304" s="537"/>
      <c r="S304" s="538" t="str">
        <f t="shared" ca="1" si="12"/>
        <v/>
      </c>
      <c r="T304" s="538" t="str">
        <f t="shared" ca="1" si="13"/>
        <v/>
      </c>
      <c r="U304" s="249"/>
      <c r="V304" s="249"/>
      <c r="W304" s="249"/>
      <c r="X304" s="249"/>
      <c r="Y304" s="249"/>
      <c r="Z304" s="249"/>
      <c r="AA304" s="249"/>
      <c r="AB304" s="249"/>
      <c r="AC304" s="249"/>
      <c r="AD304" s="249"/>
      <c r="AE304" s="249"/>
      <c r="AF304" s="249"/>
      <c r="AG304" s="249"/>
      <c r="AH304" s="249"/>
      <c r="AI304" s="249"/>
      <c r="AJ304" s="249"/>
      <c r="AK304" s="249"/>
      <c r="AL304" s="249"/>
      <c r="AM304" s="249"/>
      <c r="AN304" s="537"/>
      <c r="AO304" s="249" t="str">
        <f>IF(Z304="Yes",COUNTIF($Z$6:Z304,"Yes"),"")</f>
        <v/>
      </c>
      <c r="AP304" s="249" t="str">
        <f>IF(AA304="Yes",COUNTIF($AA$6:AA304,"Yes"),"")</f>
        <v/>
      </c>
      <c r="AQ304" s="249" t="str">
        <f>IF(AC304="Yes",COUNTIF($AC$6:AC304,"Yes"),"")</f>
        <v/>
      </c>
    </row>
    <row r="305" spans="1:43">
      <c r="A305" s="249"/>
      <c r="B305" s="249"/>
      <c r="C305" s="249"/>
      <c r="D305" s="249"/>
      <c r="E305" s="249"/>
      <c r="F305" s="249"/>
      <c r="G305" s="249"/>
      <c r="H305" s="249"/>
      <c r="I305" s="249"/>
      <c r="J305" s="249"/>
      <c r="K305" s="249"/>
      <c r="L305" s="249"/>
      <c r="M305" s="249"/>
      <c r="N305" s="249"/>
      <c r="O305" s="249"/>
      <c r="P305" s="537"/>
      <c r="Q305" s="537"/>
      <c r="R305" s="537"/>
      <c r="S305" s="538" t="str">
        <f t="shared" ca="1" si="12"/>
        <v/>
      </c>
      <c r="T305" s="538" t="str">
        <f t="shared" ca="1" si="13"/>
        <v/>
      </c>
      <c r="U305" s="249"/>
      <c r="V305" s="249"/>
      <c r="W305" s="249"/>
      <c r="X305" s="249"/>
      <c r="Y305" s="249"/>
      <c r="Z305" s="249"/>
      <c r="AA305" s="249"/>
      <c r="AB305" s="249"/>
      <c r="AC305" s="249"/>
      <c r="AD305" s="249"/>
      <c r="AE305" s="249"/>
      <c r="AF305" s="249"/>
      <c r="AG305" s="249"/>
      <c r="AH305" s="249"/>
      <c r="AI305" s="249"/>
      <c r="AJ305" s="249"/>
      <c r="AK305" s="249"/>
      <c r="AL305" s="249"/>
      <c r="AM305" s="249"/>
      <c r="AN305" s="537"/>
      <c r="AO305" s="249" t="str">
        <f>IF(Z305="Yes",COUNTIF($Z$6:Z305,"Yes"),"")</f>
        <v/>
      </c>
      <c r="AP305" s="249" t="str">
        <f>IF(AA305="Yes",COUNTIF($AA$6:AA305,"Yes"),"")</f>
        <v/>
      </c>
      <c r="AQ305" s="249" t="str">
        <f>IF(AC305="Yes",COUNTIF($AC$6:AC305,"Yes"),"")</f>
        <v/>
      </c>
    </row>
    <row r="306" spans="1:43">
      <c r="A306" s="249"/>
      <c r="B306" s="249"/>
      <c r="C306" s="249"/>
      <c r="D306" s="249"/>
      <c r="E306" s="249"/>
      <c r="F306" s="249"/>
      <c r="G306" s="249"/>
      <c r="H306" s="249"/>
      <c r="I306" s="249"/>
      <c r="J306" s="249"/>
      <c r="K306" s="249"/>
      <c r="L306" s="249"/>
      <c r="M306" s="249"/>
      <c r="N306" s="249"/>
      <c r="O306" s="249"/>
      <c r="P306" s="537"/>
      <c r="Q306" s="537"/>
      <c r="R306" s="537"/>
      <c r="S306" s="538" t="str">
        <f t="shared" ca="1" si="12"/>
        <v/>
      </c>
      <c r="T306" s="538" t="str">
        <f t="shared" ca="1" si="13"/>
        <v/>
      </c>
      <c r="U306" s="249"/>
      <c r="V306" s="249"/>
      <c r="W306" s="249"/>
      <c r="X306" s="249"/>
      <c r="Y306" s="249"/>
      <c r="Z306" s="249"/>
      <c r="AA306" s="249"/>
      <c r="AB306" s="249"/>
      <c r="AC306" s="249"/>
      <c r="AD306" s="249"/>
      <c r="AE306" s="249"/>
      <c r="AF306" s="249"/>
      <c r="AG306" s="249"/>
      <c r="AH306" s="249"/>
      <c r="AI306" s="249"/>
      <c r="AJ306" s="249"/>
      <c r="AK306" s="249"/>
      <c r="AL306" s="249"/>
      <c r="AM306" s="249"/>
      <c r="AN306" s="537"/>
      <c r="AO306" s="249" t="str">
        <f>IF(Z306="Yes",COUNTIF($Z$6:Z306,"Yes"),"")</f>
        <v/>
      </c>
      <c r="AP306" s="249" t="str">
        <f>IF(AA306="Yes",COUNTIF($AA$6:AA306,"Yes"),"")</f>
        <v/>
      </c>
      <c r="AQ306" s="249" t="str">
        <f>IF(AC306="Yes",COUNTIF($AC$6:AC306,"Yes"),"")</f>
        <v/>
      </c>
    </row>
    <row r="307" spans="1:43">
      <c r="A307" s="249"/>
      <c r="B307" s="249"/>
      <c r="C307" s="249"/>
      <c r="D307" s="249"/>
      <c r="E307" s="249"/>
      <c r="F307" s="249"/>
      <c r="G307" s="249"/>
      <c r="H307" s="249"/>
      <c r="I307" s="249"/>
      <c r="J307" s="249"/>
      <c r="K307" s="249"/>
      <c r="L307" s="249"/>
      <c r="M307" s="249"/>
      <c r="N307" s="249"/>
      <c r="O307" s="249"/>
      <c r="P307" s="537"/>
      <c r="Q307" s="537"/>
      <c r="R307" s="537"/>
      <c r="S307" s="538" t="str">
        <f t="shared" ca="1" si="12"/>
        <v/>
      </c>
      <c r="T307" s="538" t="str">
        <f t="shared" ca="1" si="13"/>
        <v/>
      </c>
      <c r="U307" s="249"/>
      <c r="V307" s="249"/>
      <c r="W307" s="249"/>
      <c r="X307" s="249"/>
      <c r="Y307" s="249"/>
      <c r="Z307" s="249"/>
      <c r="AA307" s="249"/>
      <c r="AB307" s="249"/>
      <c r="AC307" s="249"/>
      <c r="AD307" s="249"/>
      <c r="AE307" s="249"/>
      <c r="AF307" s="249"/>
      <c r="AG307" s="249"/>
      <c r="AH307" s="249"/>
      <c r="AI307" s="249"/>
      <c r="AJ307" s="249"/>
      <c r="AK307" s="249"/>
      <c r="AL307" s="249"/>
      <c r="AM307" s="249"/>
      <c r="AN307" s="537"/>
      <c r="AO307" s="249" t="str">
        <f>IF(Z307="Yes",COUNTIF($Z$6:Z307,"Yes"),"")</f>
        <v/>
      </c>
      <c r="AP307" s="249" t="str">
        <f>IF(AA307="Yes",COUNTIF($AA$6:AA307,"Yes"),"")</f>
        <v/>
      </c>
      <c r="AQ307" s="249" t="str">
        <f>IF(AC307="Yes",COUNTIF($AC$6:AC307,"Yes"),"")</f>
        <v/>
      </c>
    </row>
    <row r="308" spans="1:43">
      <c r="A308" s="249"/>
      <c r="B308" s="249"/>
      <c r="C308" s="249"/>
      <c r="D308" s="249"/>
      <c r="E308" s="249"/>
      <c r="F308" s="249"/>
      <c r="G308" s="249"/>
      <c r="H308" s="249"/>
      <c r="I308" s="249"/>
      <c r="J308" s="249"/>
      <c r="K308" s="249"/>
      <c r="L308" s="249"/>
      <c r="M308" s="249"/>
      <c r="N308" s="249"/>
      <c r="O308" s="249"/>
      <c r="P308" s="537"/>
      <c r="Q308" s="537"/>
      <c r="R308" s="537"/>
      <c r="S308" s="538" t="str">
        <f t="shared" ca="1" si="12"/>
        <v/>
      </c>
      <c r="T308" s="538" t="str">
        <f t="shared" ca="1" si="13"/>
        <v/>
      </c>
      <c r="U308" s="249"/>
      <c r="V308" s="249"/>
      <c r="W308" s="249"/>
      <c r="X308" s="249"/>
      <c r="Y308" s="249"/>
      <c r="Z308" s="249"/>
      <c r="AA308" s="249"/>
      <c r="AB308" s="249"/>
      <c r="AC308" s="249"/>
      <c r="AD308" s="249"/>
      <c r="AE308" s="249"/>
      <c r="AF308" s="249"/>
      <c r="AG308" s="249"/>
      <c r="AH308" s="249"/>
      <c r="AI308" s="249"/>
      <c r="AJ308" s="249"/>
      <c r="AK308" s="249"/>
      <c r="AL308" s="249"/>
      <c r="AM308" s="249"/>
      <c r="AN308" s="537"/>
      <c r="AO308" s="249" t="str">
        <f>IF(Z308="Yes",COUNTIF($Z$6:Z308,"Yes"),"")</f>
        <v/>
      </c>
      <c r="AP308" s="249" t="str">
        <f>IF(AA308="Yes",COUNTIF($AA$6:AA308,"Yes"),"")</f>
        <v/>
      </c>
      <c r="AQ308" s="249" t="str">
        <f>IF(AC308="Yes",COUNTIF($AC$6:AC308,"Yes"),"")</f>
        <v/>
      </c>
    </row>
    <row r="309" spans="1:43">
      <c r="A309" s="249"/>
      <c r="B309" s="249"/>
      <c r="C309" s="249"/>
      <c r="D309" s="249"/>
      <c r="E309" s="249"/>
      <c r="F309" s="249"/>
      <c r="G309" s="249"/>
      <c r="H309" s="249"/>
      <c r="I309" s="249"/>
      <c r="J309" s="249"/>
      <c r="K309" s="249"/>
      <c r="L309" s="249"/>
      <c r="M309" s="249"/>
      <c r="N309" s="249"/>
      <c r="O309" s="249"/>
      <c r="P309" s="537"/>
      <c r="Q309" s="537"/>
      <c r="R309" s="537"/>
      <c r="S309" s="538" t="str">
        <f t="shared" ca="1" si="12"/>
        <v/>
      </c>
      <c r="T309" s="538" t="str">
        <f t="shared" ca="1" si="13"/>
        <v/>
      </c>
      <c r="U309" s="249"/>
      <c r="V309" s="249"/>
      <c r="W309" s="249"/>
      <c r="X309" s="249"/>
      <c r="Y309" s="249"/>
      <c r="Z309" s="249"/>
      <c r="AA309" s="249"/>
      <c r="AB309" s="249"/>
      <c r="AC309" s="249"/>
      <c r="AD309" s="249"/>
      <c r="AE309" s="249"/>
      <c r="AF309" s="249"/>
      <c r="AG309" s="249"/>
      <c r="AH309" s="249"/>
      <c r="AI309" s="249"/>
      <c r="AJ309" s="249"/>
      <c r="AK309" s="249"/>
      <c r="AL309" s="249"/>
      <c r="AM309" s="249"/>
      <c r="AN309" s="537"/>
      <c r="AO309" s="249" t="str">
        <f>IF(Z309="Yes",COUNTIF($Z$6:Z309,"Yes"),"")</f>
        <v/>
      </c>
      <c r="AP309" s="249" t="str">
        <f>IF(AA309="Yes",COUNTIF($AA$6:AA309,"Yes"),"")</f>
        <v/>
      </c>
      <c r="AQ309" s="249" t="str">
        <f>IF(AC309="Yes",COUNTIF($AC$6:AC309,"Yes"),"")</f>
        <v/>
      </c>
    </row>
    <row r="310" spans="1:43">
      <c r="A310" s="249"/>
      <c r="B310" s="249"/>
      <c r="C310" s="249"/>
      <c r="D310" s="249"/>
      <c r="E310" s="249"/>
      <c r="F310" s="249"/>
      <c r="G310" s="249"/>
      <c r="H310" s="249"/>
      <c r="I310" s="249"/>
      <c r="J310" s="249"/>
      <c r="K310" s="249"/>
      <c r="L310" s="249"/>
      <c r="M310" s="249"/>
      <c r="N310" s="249"/>
      <c r="O310" s="249"/>
      <c r="P310" s="537"/>
      <c r="Q310" s="537"/>
      <c r="R310" s="537"/>
      <c r="S310" s="538" t="str">
        <f t="shared" ca="1" si="12"/>
        <v/>
      </c>
      <c r="T310" s="538" t="str">
        <f t="shared" ca="1" si="13"/>
        <v/>
      </c>
      <c r="U310" s="249"/>
      <c r="V310" s="249"/>
      <c r="W310" s="249"/>
      <c r="X310" s="249"/>
      <c r="Y310" s="249"/>
      <c r="Z310" s="249"/>
      <c r="AA310" s="249"/>
      <c r="AB310" s="249"/>
      <c r="AC310" s="249"/>
      <c r="AD310" s="249"/>
      <c r="AE310" s="249"/>
      <c r="AF310" s="249"/>
      <c r="AG310" s="249"/>
      <c r="AH310" s="249"/>
      <c r="AI310" s="249"/>
      <c r="AJ310" s="249"/>
      <c r="AK310" s="249"/>
      <c r="AL310" s="249"/>
      <c r="AM310" s="249"/>
      <c r="AN310" s="537"/>
      <c r="AO310" s="249" t="str">
        <f>IF(Z310="Yes",COUNTIF($Z$6:Z310,"Yes"),"")</f>
        <v/>
      </c>
      <c r="AP310" s="249" t="str">
        <f>IF(AA310="Yes",COUNTIF($AA$6:AA310,"Yes"),"")</f>
        <v/>
      </c>
      <c r="AQ310" s="249" t="str">
        <f>IF(AC310="Yes",COUNTIF($AC$6:AC310,"Yes"),"")</f>
        <v/>
      </c>
    </row>
    <row r="311" spans="1:43">
      <c r="A311" s="249"/>
      <c r="B311" s="249"/>
      <c r="C311" s="249"/>
      <c r="D311" s="249"/>
      <c r="E311" s="249"/>
      <c r="F311" s="249"/>
      <c r="G311" s="249"/>
      <c r="H311" s="249"/>
      <c r="I311" s="249"/>
      <c r="J311" s="249"/>
      <c r="K311" s="249"/>
      <c r="L311" s="249"/>
      <c r="M311" s="249"/>
      <c r="N311" s="249"/>
      <c r="O311" s="249"/>
      <c r="P311" s="537"/>
      <c r="Q311" s="537"/>
      <c r="R311" s="537"/>
      <c r="S311" s="538" t="str">
        <f t="shared" ca="1" si="12"/>
        <v/>
      </c>
      <c r="T311" s="538" t="str">
        <f t="shared" ca="1" si="13"/>
        <v/>
      </c>
      <c r="U311" s="249"/>
      <c r="V311" s="249"/>
      <c r="W311" s="249"/>
      <c r="X311" s="249"/>
      <c r="Y311" s="249"/>
      <c r="Z311" s="249"/>
      <c r="AA311" s="249"/>
      <c r="AB311" s="249"/>
      <c r="AC311" s="249"/>
      <c r="AD311" s="249"/>
      <c r="AE311" s="249"/>
      <c r="AF311" s="249"/>
      <c r="AG311" s="249"/>
      <c r="AH311" s="249"/>
      <c r="AI311" s="249"/>
      <c r="AJ311" s="249"/>
      <c r="AK311" s="249"/>
      <c r="AL311" s="249"/>
      <c r="AM311" s="249"/>
      <c r="AN311" s="537"/>
      <c r="AO311" s="249" t="str">
        <f>IF(Z311="Yes",COUNTIF($Z$6:Z311,"Yes"),"")</f>
        <v/>
      </c>
      <c r="AP311" s="249" t="str">
        <f>IF(AA311="Yes",COUNTIF($AA$6:AA311,"Yes"),"")</f>
        <v/>
      </c>
      <c r="AQ311" s="249" t="str">
        <f>IF(AC311="Yes",COUNTIF($AC$6:AC311,"Yes"),"")</f>
        <v/>
      </c>
    </row>
    <row r="312" spans="1:43">
      <c r="A312" s="249"/>
      <c r="B312" s="249"/>
      <c r="C312" s="249"/>
      <c r="D312" s="249"/>
      <c r="E312" s="249"/>
      <c r="F312" s="249"/>
      <c r="G312" s="249"/>
      <c r="H312" s="249"/>
      <c r="I312" s="249"/>
      <c r="J312" s="249"/>
      <c r="K312" s="249"/>
      <c r="L312" s="249"/>
      <c r="M312" s="249"/>
      <c r="N312" s="249"/>
      <c r="O312" s="249"/>
      <c r="P312" s="537"/>
      <c r="Q312" s="537"/>
      <c r="R312" s="537"/>
      <c r="S312" s="538" t="str">
        <f t="shared" ca="1" si="12"/>
        <v/>
      </c>
      <c r="T312" s="538" t="str">
        <f t="shared" ca="1" si="13"/>
        <v/>
      </c>
      <c r="U312" s="249"/>
      <c r="V312" s="249"/>
      <c r="W312" s="249"/>
      <c r="X312" s="249"/>
      <c r="Y312" s="249"/>
      <c r="Z312" s="249"/>
      <c r="AA312" s="249"/>
      <c r="AB312" s="249"/>
      <c r="AC312" s="249"/>
      <c r="AD312" s="249"/>
      <c r="AE312" s="249"/>
      <c r="AF312" s="249"/>
      <c r="AG312" s="249"/>
      <c r="AH312" s="249"/>
      <c r="AI312" s="249"/>
      <c r="AJ312" s="249"/>
      <c r="AK312" s="249"/>
      <c r="AL312" s="249"/>
      <c r="AM312" s="249"/>
      <c r="AN312" s="537"/>
      <c r="AO312" s="249" t="str">
        <f>IF(Z312="Yes",COUNTIF($Z$6:Z312,"Yes"),"")</f>
        <v/>
      </c>
      <c r="AP312" s="249" t="str">
        <f>IF(AA312="Yes",COUNTIF($AA$6:AA312,"Yes"),"")</f>
        <v/>
      </c>
      <c r="AQ312" s="249" t="str">
        <f>IF(AC312="Yes",COUNTIF($AC$6:AC312,"Yes"),"")</f>
        <v/>
      </c>
    </row>
    <row r="313" spans="1:43">
      <c r="A313" s="249"/>
      <c r="B313" s="249"/>
      <c r="C313" s="249"/>
      <c r="D313" s="249"/>
      <c r="E313" s="249"/>
      <c r="F313" s="249"/>
      <c r="G313" s="249"/>
      <c r="H313" s="249"/>
      <c r="I313" s="249"/>
      <c r="J313" s="249"/>
      <c r="K313" s="249"/>
      <c r="L313" s="249"/>
      <c r="M313" s="249"/>
      <c r="N313" s="249"/>
      <c r="O313" s="249"/>
      <c r="P313" s="537"/>
      <c r="Q313" s="537"/>
      <c r="R313" s="537"/>
      <c r="S313" s="538" t="str">
        <f t="shared" ca="1" si="12"/>
        <v/>
      </c>
      <c r="T313" s="538" t="str">
        <f t="shared" ca="1" si="13"/>
        <v/>
      </c>
      <c r="U313" s="249"/>
      <c r="V313" s="249"/>
      <c r="W313" s="249"/>
      <c r="X313" s="249"/>
      <c r="Y313" s="249"/>
      <c r="Z313" s="249"/>
      <c r="AA313" s="249"/>
      <c r="AB313" s="249"/>
      <c r="AC313" s="249"/>
      <c r="AD313" s="249"/>
      <c r="AE313" s="249"/>
      <c r="AF313" s="249"/>
      <c r="AG313" s="249"/>
      <c r="AH313" s="249"/>
      <c r="AI313" s="249"/>
      <c r="AJ313" s="249"/>
      <c r="AK313" s="249"/>
      <c r="AL313" s="249"/>
      <c r="AM313" s="249"/>
      <c r="AN313" s="537"/>
      <c r="AO313" s="249" t="str">
        <f>IF(Z313="Yes",COUNTIF($Z$6:Z313,"Yes"),"")</f>
        <v/>
      </c>
      <c r="AP313" s="249" t="str">
        <f>IF(AA313="Yes",COUNTIF($AA$6:AA313,"Yes"),"")</f>
        <v/>
      </c>
      <c r="AQ313" s="249" t="str">
        <f>IF(AC313="Yes",COUNTIF($AC$6:AC313,"Yes"),"")</f>
        <v/>
      </c>
    </row>
    <row r="314" spans="1:43">
      <c r="A314" s="249"/>
      <c r="B314" s="249"/>
      <c r="C314" s="249"/>
      <c r="D314" s="249"/>
      <c r="E314" s="249"/>
      <c r="F314" s="249"/>
      <c r="G314" s="249"/>
      <c r="H314" s="249"/>
      <c r="I314" s="249"/>
      <c r="J314" s="249"/>
      <c r="K314" s="249"/>
      <c r="L314" s="249"/>
      <c r="M314" s="249"/>
      <c r="N314" s="249"/>
      <c r="O314" s="249"/>
      <c r="P314" s="537"/>
      <c r="Q314" s="537"/>
      <c r="R314" s="537"/>
      <c r="S314" s="538" t="str">
        <f t="shared" ca="1" si="12"/>
        <v/>
      </c>
      <c r="T314" s="538" t="str">
        <f t="shared" ca="1" si="13"/>
        <v/>
      </c>
      <c r="U314" s="249"/>
      <c r="V314" s="249"/>
      <c r="W314" s="249"/>
      <c r="X314" s="249"/>
      <c r="Y314" s="249"/>
      <c r="Z314" s="249"/>
      <c r="AA314" s="249"/>
      <c r="AB314" s="249"/>
      <c r="AC314" s="249"/>
      <c r="AD314" s="249"/>
      <c r="AE314" s="249"/>
      <c r="AF314" s="249"/>
      <c r="AG314" s="249"/>
      <c r="AH314" s="249"/>
      <c r="AI314" s="249"/>
      <c r="AJ314" s="249"/>
      <c r="AK314" s="249"/>
      <c r="AL314" s="249"/>
      <c r="AM314" s="249"/>
      <c r="AN314" s="537"/>
      <c r="AO314" s="249" t="str">
        <f>IF(Z314="Yes",COUNTIF($Z$6:Z314,"Yes"),"")</f>
        <v/>
      </c>
      <c r="AP314" s="249" t="str">
        <f>IF(AA314="Yes",COUNTIF($AA$6:AA314,"Yes"),"")</f>
        <v/>
      </c>
      <c r="AQ314" s="249" t="str">
        <f>IF(AC314="Yes",COUNTIF($AC$6:AC314,"Yes"),"")</f>
        <v/>
      </c>
    </row>
    <row r="315" spans="1:43">
      <c r="A315" s="249"/>
      <c r="B315" s="249"/>
      <c r="C315" s="249"/>
      <c r="D315" s="249"/>
      <c r="E315" s="249"/>
      <c r="F315" s="249"/>
      <c r="G315" s="249"/>
      <c r="H315" s="249"/>
      <c r="I315" s="249"/>
      <c r="J315" s="249"/>
      <c r="K315" s="249"/>
      <c r="L315" s="249"/>
      <c r="M315" s="249"/>
      <c r="N315" s="249"/>
      <c r="O315" s="249"/>
      <c r="P315" s="537"/>
      <c r="Q315" s="537"/>
      <c r="R315" s="537"/>
      <c r="S315" s="538" t="str">
        <f t="shared" ca="1" si="12"/>
        <v/>
      </c>
      <c r="T315" s="538" t="str">
        <f t="shared" ca="1" si="13"/>
        <v/>
      </c>
      <c r="U315" s="249"/>
      <c r="V315" s="249"/>
      <c r="W315" s="249"/>
      <c r="X315" s="249"/>
      <c r="Y315" s="249"/>
      <c r="Z315" s="249"/>
      <c r="AA315" s="249"/>
      <c r="AB315" s="249"/>
      <c r="AC315" s="249"/>
      <c r="AD315" s="249"/>
      <c r="AE315" s="249"/>
      <c r="AF315" s="249"/>
      <c r="AG315" s="249"/>
      <c r="AH315" s="249"/>
      <c r="AI315" s="249"/>
      <c r="AJ315" s="249"/>
      <c r="AK315" s="249"/>
      <c r="AL315" s="249"/>
      <c r="AM315" s="249"/>
      <c r="AN315" s="537"/>
      <c r="AO315" s="249" t="str">
        <f>IF(Z315="Yes",COUNTIF($Z$6:Z315,"Yes"),"")</f>
        <v/>
      </c>
      <c r="AP315" s="249" t="str">
        <f>IF(AA315="Yes",COUNTIF($AA$6:AA315,"Yes"),"")</f>
        <v/>
      </c>
      <c r="AQ315" s="249" t="str">
        <f>IF(AC315="Yes",COUNTIF($AC$6:AC315,"Yes"),"")</f>
        <v/>
      </c>
    </row>
    <row r="316" spans="1:43">
      <c r="A316" s="249"/>
      <c r="B316" s="249"/>
      <c r="C316" s="249"/>
      <c r="D316" s="249"/>
      <c r="E316" s="249"/>
      <c r="F316" s="249"/>
      <c r="G316" s="249"/>
      <c r="H316" s="249"/>
      <c r="I316" s="249"/>
      <c r="J316" s="249"/>
      <c r="K316" s="249"/>
      <c r="L316" s="249"/>
      <c r="M316" s="249"/>
      <c r="N316" s="249"/>
      <c r="O316" s="249"/>
      <c r="P316" s="537"/>
      <c r="Q316" s="537"/>
      <c r="R316" s="537"/>
      <c r="S316" s="538" t="str">
        <f t="shared" ca="1" si="12"/>
        <v/>
      </c>
      <c r="T316" s="538" t="str">
        <f t="shared" ca="1" si="13"/>
        <v/>
      </c>
      <c r="U316" s="249"/>
      <c r="V316" s="249"/>
      <c r="W316" s="249"/>
      <c r="X316" s="249"/>
      <c r="Y316" s="249"/>
      <c r="Z316" s="249"/>
      <c r="AA316" s="249"/>
      <c r="AB316" s="249"/>
      <c r="AC316" s="249"/>
      <c r="AD316" s="249"/>
      <c r="AE316" s="249"/>
      <c r="AF316" s="249"/>
      <c r="AG316" s="249"/>
      <c r="AH316" s="249"/>
      <c r="AI316" s="249"/>
      <c r="AJ316" s="249"/>
      <c r="AK316" s="249"/>
      <c r="AL316" s="249"/>
      <c r="AM316" s="249"/>
      <c r="AN316" s="537"/>
      <c r="AO316" s="249" t="str">
        <f>IF(Z316="Yes",COUNTIF($Z$6:Z316,"Yes"),"")</f>
        <v/>
      </c>
      <c r="AP316" s="249" t="str">
        <f>IF(AA316="Yes",COUNTIF($AA$6:AA316,"Yes"),"")</f>
        <v/>
      </c>
      <c r="AQ316" s="249" t="str">
        <f>IF(AC316="Yes",COUNTIF($AC$6:AC316,"Yes"),"")</f>
        <v/>
      </c>
    </row>
    <row r="317" spans="1:43">
      <c r="A317" s="249"/>
      <c r="B317" s="249"/>
      <c r="C317" s="249"/>
      <c r="D317" s="249"/>
      <c r="E317" s="249"/>
      <c r="F317" s="249"/>
      <c r="G317" s="249"/>
      <c r="H317" s="249"/>
      <c r="I317" s="249"/>
      <c r="J317" s="249"/>
      <c r="K317" s="249"/>
      <c r="L317" s="249"/>
      <c r="M317" s="249"/>
      <c r="N317" s="249"/>
      <c r="O317" s="249"/>
      <c r="P317" s="537"/>
      <c r="Q317" s="537"/>
      <c r="R317" s="537"/>
      <c r="S317" s="538" t="str">
        <f t="shared" ca="1" si="12"/>
        <v/>
      </c>
      <c r="T317" s="538" t="str">
        <f t="shared" ca="1" si="13"/>
        <v/>
      </c>
      <c r="U317" s="249"/>
      <c r="V317" s="249"/>
      <c r="W317" s="249"/>
      <c r="X317" s="249"/>
      <c r="Y317" s="249"/>
      <c r="Z317" s="249"/>
      <c r="AA317" s="249"/>
      <c r="AB317" s="249"/>
      <c r="AC317" s="249"/>
      <c r="AD317" s="249"/>
      <c r="AE317" s="249"/>
      <c r="AF317" s="249"/>
      <c r="AG317" s="249"/>
      <c r="AH317" s="249"/>
      <c r="AI317" s="249"/>
      <c r="AJ317" s="249"/>
      <c r="AK317" s="249"/>
      <c r="AL317" s="249"/>
      <c r="AM317" s="249"/>
      <c r="AN317" s="537"/>
      <c r="AO317" s="249" t="str">
        <f>IF(Z317="Yes",COUNTIF($Z$6:Z317,"Yes"),"")</f>
        <v/>
      </c>
      <c r="AP317" s="249" t="str">
        <f>IF(AA317="Yes",COUNTIF($AA$6:AA317,"Yes"),"")</f>
        <v/>
      </c>
      <c r="AQ317" s="249" t="str">
        <f>IF(AC317="Yes",COUNTIF($AC$6:AC317,"Yes"),"")</f>
        <v/>
      </c>
    </row>
    <row r="318" spans="1:43">
      <c r="A318" s="249"/>
      <c r="B318" s="249"/>
      <c r="C318" s="249"/>
      <c r="D318" s="249"/>
      <c r="E318" s="249"/>
      <c r="F318" s="249"/>
      <c r="G318" s="249"/>
      <c r="H318" s="249"/>
      <c r="I318" s="249"/>
      <c r="J318" s="249"/>
      <c r="K318" s="249"/>
      <c r="L318" s="249"/>
      <c r="M318" s="249"/>
      <c r="N318" s="249"/>
      <c r="O318" s="249"/>
      <c r="P318" s="537"/>
      <c r="Q318" s="537"/>
      <c r="R318" s="537"/>
      <c r="S318" s="538" t="str">
        <f t="shared" ca="1" si="12"/>
        <v/>
      </c>
      <c r="T318" s="538" t="str">
        <f t="shared" ca="1" si="13"/>
        <v/>
      </c>
      <c r="U318" s="249"/>
      <c r="V318" s="249"/>
      <c r="W318" s="249"/>
      <c r="X318" s="249"/>
      <c r="Y318" s="249"/>
      <c r="Z318" s="249"/>
      <c r="AA318" s="249"/>
      <c r="AB318" s="249"/>
      <c r="AC318" s="249"/>
      <c r="AD318" s="249"/>
      <c r="AE318" s="249"/>
      <c r="AF318" s="249"/>
      <c r="AG318" s="249"/>
      <c r="AH318" s="249"/>
      <c r="AI318" s="249"/>
      <c r="AJ318" s="249"/>
      <c r="AK318" s="249"/>
      <c r="AL318" s="249"/>
      <c r="AM318" s="249"/>
      <c r="AN318" s="537"/>
      <c r="AO318" s="249" t="str">
        <f>IF(Z318="Yes",COUNTIF($Z$6:Z318,"Yes"),"")</f>
        <v/>
      </c>
      <c r="AP318" s="249" t="str">
        <f>IF(AA318="Yes",COUNTIF($AA$6:AA318,"Yes"),"")</f>
        <v/>
      </c>
      <c r="AQ318" s="249" t="str">
        <f>IF(AC318="Yes",COUNTIF($AC$6:AC318,"Yes"),"")</f>
        <v/>
      </c>
    </row>
    <row r="319" spans="1:43">
      <c r="A319" s="249"/>
      <c r="B319" s="249"/>
      <c r="C319" s="249"/>
      <c r="D319" s="249"/>
      <c r="E319" s="249"/>
      <c r="F319" s="249"/>
      <c r="G319" s="249"/>
      <c r="H319" s="249"/>
      <c r="I319" s="249"/>
      <c r="J319" s="249"/>
      <c r="K319" s="249"/>
      <c r="L319" s="249"/>
      <c r="M319" s="249"/>
      <c r="N319" s="249"/>
      <c r="O319" s="249"/>
      <c r="P319" s="537"/>
      <c r="Q319" s="537"/>
      <c r="R319" s="537"/>
      <c r="S319" s="538" t="str">
        <f t="shared" ca="1" si="12"/>
        <v/>
      </c>
      <c r="T319" s="538" t="str">
        <f t="shared" ca="1" si="13"/>
        <v/>
      </c>
      <c r="U319" s="249"/>
      <c r="V319" s="249"/>
      <c r="W319" s="249"/>
      <c r="X319" s="249"/>
      <c r="Y319" s="249"/>
      <c r="Z319" s="249"/>
      <c r="AA319" s="249"/>
      <c r="AB319" s="249"/>
      <c r="AC319" s="249"/>
      <c r="AD319" s="249"/>
      <c r="AE319" s="249"/>
      <c r="AF319" s="249"/>
      <c r="AG319" s="249"/>
      <c r="AH319" s="249"/>
      <c r="AI319" s="249"/>
      <c r="AJ319" s="249"/>
      <c r="AK319" s="249"/>
      <c r="AL319" s="249"/>
      <c r="AM319" s="249"/>
      <c r="AN319" s="537"/>
      <c r="AO319" s="249" t="str">
        <f>IF(Z319="Yes",COUNTIF($Z$6:Z319,"Yes"),"")</f>
        <v/>
      </c>
      <c r="AP319" s="249" t="str">
        <f>IF(AA319="Yes",COUNTIF($AA$6:AA319,"Yes"),"")</f>
        <v/>
      </c>
      <c r="AQ319" s="249" t="str">
        <f>IF(AC319="Yes",COUNTIF($AC$6:AC319,"Yes"),"")</f>
        <v/>
      </c>
    </row>
    <row r="320" spans="1:43">
      <c r="A320" s="249"/>
      <c r="B320" s="249"/>
      <c r="C320" s="249"/>
      <c r="D320" s="249"/>
      <c r="E320" s="249"/>
      <c r="F320" s="249"/>
      <c r="G320" s="249"/>
      <c r="H320" s="249"/>
      <c r="I320" s="249"/>
      <c r="J320" s="249"/>
      <c r="K320" s="249"/>
      <c r="L320" s="249"/>
      <c r="M320" s="249"/>
      <c r="N320" s="249"/>
      <c r="O320" s="249"/>
      <c r="P320" s="537"/>
      <c r="Q320" s="537"/>
      <c r="R320" s="537"/>
      <c r="S320" s="538" t="str">
        <f t="shared" ca="1" si="12"/>
        <v/>
      </c>
      <c r="T320" s="538" t="str">
        <f t="shared" ca="1" si="13"/>
        <v/>
      </c>
      <c r="U320" s="249"/>
      <c r="V320" s="249"/>
      <c r="W320" s="249"/>
      <c r="X320" s="249"/>
      <c r="Y320" s="249"/>
      <c r="Z320" s="249"/>
      <c r="AA320" s="249"/>
      <c r="AB320" s="249"/>
      <c r="AC320" s="249"/>
      <c r="AD320" s="249"/>
      <c r="AE320" s="249"/>
      <c r="AF320" s="249"/>
      <c r="AG320" s="249"/>
      <c r="AH320" s="249"/>
      <c r="AI320" s="249"/>
      <c r="AJ320" s="249"/>
      <c r="AK320" s="249"/>
      <c r="AL320" s="249"/>
      <c r="AM320" s="249"/>
      <c r="AN320" s="537"/>
      <c r="AO320" s="249" t="str">
        <f>IF(Z320="Yes",COUNTIF($Z$6:Z320,"Yes"),"")</f>
        <v/>
      </c>
      <c r="AP320" s="249" t="str">
        <f>IF(AA320="Yes",COUNTIF($AA$6:AA320,"Yes"),"")</f>
        <v/>
      </c>
      <c r="AQ320" s="249" t="str">
        <f>IF(AC320="Yes",COUNTIF($AC$6:AC320,"Yes"),"")</f>
        <v/>
      </c>
    </row>
    <row r="321" spans="1:43">
      <c r="A321" s="249"/>
      <c r="B321" s="249"/>
      <c r="C321" s="249"/>
      <c r="D321" s="249"/>
      <c r="E321" s="249"/>
      <c r="F321" s="249"/>
      <c r="G321" s="249"/>
      <c r="H321" s="249"/>
      <c r="I321" s="249"/>
      <c r="J321" s="249"/>
      <c r="K321" s="249"/>
      <c r="L321" s="249"/>
      <c r="M321" s="249"/>
      <c r="N321" s="249"/>
      <c r="O321" s="249"/>
      <c r="P321" s="537"/>
      <c r="Q321" s="537"/>
      <c r="R321" s="537"/>
      <c r="S321" s="538" t="str">
        <f t="shared" ca="1" si="12"/>
        <v/>
      </c>
      <c r="T321" s="538" t="str">
        <f t="shared" ca="1" si="13"/>
        <v/>
      </c>
      <c r="U321" s="249"/>
      <c r="V321" s="249"/>
      <c r="W321" s="249"/>
      <c r="X321" s="249"/>
      <c r="Y321" s="249"/>
      <c r="Z321" s="249"/>
      <c r="AA321" s="249"/>
      <c r="AB321" s="249"/>
      <c r="AC321" s="249"/>
      <c r="AD321" s="249"/>
      <c r="AE321" s="249"/>
      <c r="AF321" s="249"/>
      <c r="AG321" s="249"/>
      <c r="AH321" s="249"/>
      <c r="AI321" s="249"/>
      <c r="AJ321" s="249"/>
      <c r="AK321" s="249"/>
      <c r="AL321" s="249"/>
      <c r="AM321" s="249"/>
      <c r="AN321" s="537"/>
      <c r="AO321" s="249" t="str">
        <f>IF(Z321="Yes",COUNTIF($Z$6:Z321,"Yes"),"")</f>
        <v/>
      </c>
      <c r="AP321" s="249" t="str">
        <f>IF(AA321="Yes",COUNTIF($AA$6:AA321,"Yes"),"")</f>
        <v/>
      </c>
      <c r="AQ321" s="249" t="str">
        <f>IF(AC321="Yes",COUNTIF($AC$6:AC321,"Yes"),"")</f>
        <v/>
      </c>
    </row>
    <row r="322" spans="1:43">
      <c r="A322" s="249"/>
      <c r="B322" s="249"/>
      <c r="C322" s="249"/>
      <c r="D322" s="249"/>
      <c r="E322" s="249"/>
      <c r="F322" s="249"/>
      <c r="G322" s="249"/>
      <c r="H322" s="249"/>
      <c r="I322" s="249"/>
      <c r="J322" s="249"/>
      <c r="K322" s="249"/>
      <c r="L322" s="249"/>
      <c r="M322" s="249"/>
      <c r="N322" s="249"/>
      <c r="O322" s="249"/>
      <c r="P322" s="537"/>
      <c r="Q322" s="537"/>
      <c r="R322" s="537"/>
      <c r="S322" s="538" t="str">
        <f t="shared" ca="1" si="12"/>
        <v/>
      </c>
      <c r="T322" s="538" t="str">
        <f t="shared" ca="1" si="13"/>
        <v/>
      </c>
      <c r="U322" s="249"/>
      <c r="V322" s="249"/>
      <c r="W322" s="249"/>
      <c r="X322" s="249"/>
      <c r="Y322" s="249"/>
      <c r="Z322" s="249"/>
      <c r="AA322" s="249"/>
      <c r="AB322" s="249"/>
      <c r="AC322" s="249"/>
      <c r="AD322" s="249"/>
      <c r="AE322" s="249"/>
      <c r="AF322" s="249"/>
      <c r="AG322" s="249"/>
      <c r="AH322" s="249"/>
      <c r="AI322" s="249"/>
      <c r="AJ322" s="249"/>
      <c r="AK322" s="249"/>
      <c r="AL322" s="249"/>
      <c r="AM322" s="249"/>
      <c r="AN322" s="537"/>
      <c r="AO322" s="249" t="str">
        <f>IF(Z322="Yes",COUNTIF($Z$6:Z322,"Yes"),"")</f>
        <v/>
      </c>
      <c r="AP322" s="249" t="str">
        <f>IF(AA322="Yes",COUNTIF($AA$6:AA322,"Yes"),"")</f>
        <v/>
      </c>
      <c r="AQ322" s="249" t="str">
        <f>IF(AC322="Yes",COUNTIF($AC$6:AC322,"Yes"),"")</f>
        <v/>
      </c>
    </row>
    <row r="323" spans="1:43">
      <c r="A323" s="249"/>
      <c r="B323" s="249"/>
      <c r="C323" s="249"/>
      <c r="D323" s="249"/>
      <c r="E323" s="249"/>
      <c r="F323" s="249"/>
      <c r="G323" s="249"/>
      <c r="H323" s="249"/>
      <c r="I323" s="249"/>
      <c r="J323" s="249"/>
      <c r="K323" s="249"/>
      <c r="L323" s="249"/>
      <c r="M323" s="249"/>
      <c r="N323" s="249"/>
      <c r="O323" s="249"/>
      <c r="P323" s="537"/>
      <c r="Q323" s="537"/>
      <c r="R323" s="537"/>
      <c r="S323" s="538" t="str">
        <f t="shared" ca="1" si="12"/>
        <v/>
      </c>
      <c r="T323" s="538" t="str">
        <f t="shared" ca="1" si="13"/>
        <v/>
      </c>
      <c r="U323" s="249"/>
      <c r="V323" s="249"/>
      <c r="W323" s="249"/>
      <c r="X323" s="249"/>
      <c r="Y323" s="249"/>
      <c r="Z323" s="249"/>
      <c r="AA323" s="249"/>
      <c r="AB323" s="249"/>
      <c r="AC323" s="249"/>
      <c r="AD323" s="249"/>
      <c r="AE323" s="249"/>
      <c r="AF323" s="249"/>
      <c r="AG323" s="249"/>
      <c r="AH323" s="249"/>
      <c r="AI323" s="249"/>
      <c r="AJ323" s="249"/>
      <c r="AK323" s="249"/>
      <c r="AL323" s="249"/>
      <c r="AM323" s="249"/>
      <c r="AN323" s="537"/>
      <c r="AO323" s="249" t="str">
        <f>IF(Z323="Yes",COUNTIF($Z$6:Z323,"Yes"),"")</f>
        <v/>
      </c>
      <c r="AP323" s="249" t="str">
        <f>IF(AA323="Yes",COUNTIF($AA$6:AA323,"Yes"),"")</f>
        <v/>
      </c>
      <c r="AQ323" s="249" t="str">
        <f>IF(AC323="Yes",COUNTIF($AC$6:AC323,"Yes"),"")</f>
        <v/>
      </c>
    </row>
    <row r="324" spans="1:43">
      <c r="A324" s="249"/>
      <c r="B324" s="249"/>
      <c r="C324" s="249"/>
      <c r="D324" s="249"/>
      <c r="E324" s="249"/>
      <c r="F324" s="249"/>
      <c r="G324" s="249"/>
      <c r="H324" s="249"/>
      <c r="I324" s="249"/>
      <c r="J324" s="249"/>
      <c r="K324" s="249"/>
      <c r="L324" s="249"/>
      <c r="M324" s="249"/>
      <c r="N324" s="249"/>
      <c r="O324" s="249"/>
      <c r="P324" s="537"/>
      <c r="Q324" s="537"/>
      <c r="R324" s="537"/>
      <c r="S324" s="538" t="str">
        <f t="shared" ca="1" si="12"/>
        <v/>
      </c>
      <c r="T324" s="538" t="str">
        <f t="shared" ca="1" si="13"/>
        <v/>
      </c>
      <c r="U324" s="249"/>
      <c r="V324" s="249"/>
      <c r="W324" s="249"/>
      <c r="X324" s="249"/>
      <c r="Y324" s="249"/>
      <c r="Z324" s="249"/>
      <c r="AA324" s="249"/>
      <c r="AB324" s="249"/>
      <c r="AC324" s="249"/>
      <c r="AD324" s="249"/>
      <c r="AE324" s="249"/>
      <c r="AF324" s="249"/>
      <c r="AG324" s="249"/>
      <c r="AH324" s="249"/>
      <c r="AI324" s="249"/>
      <c r="AJ324" s="249"/>
      <c r="AK324" s="249"/>
      <c r="AL324" s="249"/>
      <c r="AM324" s="249"/>
      <c r="AN324" s="537"/>
      <c r="AO324" s="249" t="str">
        <f>IF(Z324="Yes",COUNTIF($Z$6:Z324,"Yes"),"")</f>
        <v/>
      </c>
      <c r="AP324" s="249" t="str">
        <f>IF(AA324="Yes",COUNTIF($AA$6:AA324,"Yes"),"")</f>
        <v/>
      </c>
      <c r="AQ324" s="249" t="str">
        <f>IF(AC324="Yes",COUNTIF($AC$6:AC324,"Yes"),"")</f>
        <v/>
      </c>
    </row>
    <row r="325" spans="1:43">
      <c r="A325" s="249"/>
      <c r="B325" s="249"/>
      <c r="C325" s="249"/>
      <c r="D325" s="249"/>
      <c r="E325" s="249"/>
      <c r="F325" s="249"/>
      <c r="G325" s="249"/>
      <c r="H325" s="249"/>
      <c r="I325" s="249"/>
      <c r="J325" s="249"/>
      <c r="K325" s="249"/>
      <c r="L325" s="249"/>
      <c r="M325" s="249"/>
      <c r="N325" s="249"/>
      <c r="O325" s="249"/>
      <c r="P325" s="537"/>
      <c r="Q325" s="537"/>
      <c r="R325" s="537"/>
      <c r="S325" s="538" t="str">
        <f t="shared" ca="1" si="12"/>
        <v/>
      </c>
      <c r="T325" s="538" t="str">
        <f t="shared" ca="1" si="13"/>
        <v/>
      </c>
      <c r="U325" s="249"/>
      <c r="V325" s="249"/>
      <c r="W325" s="249"/>
      <c r="X325" s="249"/>
      <c r="Y325" s="249"/>
      <c r="Z325" s="249"/>
      <c r="AA325" s="249"/>
      <c r="AB325" s="249"/>
      <c r="AC325" s="249"/>
      <c r="AD325" s="249"/>
      <c r="AE325" s="249"/>
      <c r="AF325" s="249"/>
      <c r="AG325" s="249"/>
      <c r="AH325" s="249"/>
      <c r="AI325" s="249"/>
      <c r="AJ325" s="249"/>
      <c r="AK325" s="249"/>
      <c r="AL325" s="249"/>
      <c r="AM325" s="249"/>
      <c r="AN325" s="537"/>
      <c r="AO325" s="249" t="str">
        <f>IF(Z325="Yes",COUNTIF($Z$6:Z325,"Yes"),"")</f>
        <v/>
      </c>
      <c r="AP325" s="249" t="str">
        <f>IF(AA325="Yes",COUNTIF($AA$6:AA325,"Yes"),"")</f>
        <v/>
      </c>
      <c r="AQ325" s="249" t="str">
        <f>IF(AC325="Yes",COUNTIF($AC$6:AC325,"Yes"),"")</f>
        <v/>
      </c>
    </row>
    <row r="326" spans="1:43">
      <c r="A326" s="249"/>
      <c r="B326" s="249"/>
      <c r="C326" s="249"/>
      <c r="D326" s="249"/>
      <c r="E326" s="249"/>
      <c r="F326" s="249"/>
      <c r="G326" s="249"/>
      <c r="H326" s="249"/>
      <c r="I326" s="249"/>
      <c r="J326" s="249"/>
      <c r="K326" s="249"/>
      <c r="L326" s="249"/>
      <c r="M326" s="249"/>
      <c r="N326" s="249"/>
      <c r="O326" s="249"/>
      <c r="P326" s="537"/>
      <c r="Q326" s="537"/>
      <c r="R326" s="537"/>
      <c r="S326" s="538" t="str">
        <f t="shared" ref="S326:S389" ca="1" si="14">IF(P326="","",IF(R326&lt;&gt;"",R326-P326,TODAY()-P326))</f>
        <v/>
      </c>
      <c r="T326" s="538" t="str">
        <f t="shared" ref="T326:T389" ca="1" si="15">IF(Q326="","",Q326-TODAY())</f>
        <v/>
      </c>
      <c r="U326" s="249"/>
      <c r="V326" s="249"/>
      <c r="W326" s="249"/>
      <c r="X326" s="249"/>
      <c r="Y326" s="249"/>
      <c r="Z326" s="249"/>
      <c r="AA326" s="249"/>
      <c r="AB326" s="249"/>
      <c r="AC326" s="249"/>
      <c r="AD326" s="249"/>
      <c r="AE326" s="249"/>
      <c r="AF326" s="249"/>
      <c r="AG326" s="249"/>
      <c r="AH326" s="249"/>
      <c r="AI326" s="249"/>
      <c r="AJ326" s="249"/>
      <c r="AK326" s="249"/>
      <c r="AL326" s="249"/>
      <c r="AM326" s="249"/>
      <c r="AN326" s="537"/>
      <c r="AO326" s="249" t="str">
        <f>IF(Z326="Yes",COUNTIF($Z$6:Z326,"Yes"),"")</f>
        <v/>
      </c>
      <c r="AP326" s="249" t="str">
        <f>IF(AA326="Yes",COUNTIF($AA$6:AA326,"Yes"),"")</f>
        <v/>
      </c>
      <c r="AQ326" s="249" t="str">
        <f>IF(AC326="Yes",COUNTIF($AC$6:AC326,"Yes"),"")</f>
        <v/>
      </c>
    </row>
    <row r="327" spans="1:43">
      <c r="A327" s="249"/>
      <c r="B327" s="249"/>
      <c r="C327" s="249"/>
      <c r="D327" s="249"/>
      <c r="E327" s="249"/>
      <c r="F327" s="249"/>
      <c r="G327" s="249"/>
      <c r="H327" s="249"/>
      <c r="I327" s="249"/>
      <c r="J327" s="249"/>
      <c r="K327" s="249"/>
      <c r="L327" s="249"/>
      <c r="M327" s="249"/>
      <c r="N327" s="249"/>
      <c r="O327" s="249"/>
      <c r="P327" s="537"/>
      <c r="Q327" s="537"/>
      <c r="R327" s="537"/>
      <c r="S327" s="538" t="str">
        <f t="shared" ca="1" si="14"/>
        <v/>
      </c>
      <c r="T327" s="538" t="str">
        <f t="shared" ca="1" si="15"/>
        <v/>
      </c>
      <c r="U327" s="249"/>
      <c r="V327" s="249"/>
      <c r="W327" s="249"/>
      <c r="X327" s="249"/>
      <c r="Y327" s="249"/>
      <c r="Z327" s="249"/>
      <c r="AA327" s="249"/>
      <c r="AB327" s="249"/>
      <c r="AC327" s="249"/>
      <c r="AD327" s="249"/>
      <c r="AE327" s="249"/>
      <c r="AF327" s="249"/>
      <c r="AG327" s="249"/>
      <c r="AH327" s="249"/>
      <c r="AI327" s="249"/>
      <c r="AJ327" s="249"/>
      <c r="AK327" s="249"/>
      <c r="AL327" s="249"/>
      <c r="AM327" s="249"/>
      <c r="AN327" s="537"/>
      <c r="AO327" s="249" t="str">
        <f>IF(Z327="Yes",COUNTIF($Z$6:Z327,"Yes"),"")</f>
        <v/>
      </c>
      <c r="AP327" s="249" t="str">
        <f>IF(AA327="Yes",COUNTIF($AA$6:AA327,"Yes"),"")</f>
        <v/>
      </c>
      <c r="AQ327" s="249" t="str">
        <f>IF(AC327="Yes",COUNTIF($AC$6:AC327,"Yes"),"")</f>
        <v/>
      </c>
    </row>
    <row r="328" spans="1:43">
      <c r="A328" s="249"/>
      <c r="B328" s="249"/>
      <c r="C328" s="249"/>
      <c r="D328" s="249"/>
      <c r="E328" s="249"/>
      <c r="F328" s="249"/>
      <c r="G328" s="249"/>
      <c r="H328" s="249"/>
      <c r="I328" s="249"/>
      <c r="J328" s="249"/>
      <c r="K328" s="249"/>
      <c r="L328" s="249"/>
      <c r="M328" s="249"/>
      <c r="N328" s="249"/>
      <c r="O328" s="249"/>
      <c r="P328" s="537"/>
      <c r="Q328" s="537"/>
      <c r="R328" s="537"/>
      <c r="S328" s="538" t="str">
        <f t="shared" ca="1" si="14"/>
        <v/>
      </c>
      <c r="T328" s="538" t="str">
        <f t="shared" ca="1" si="15"/>
        <v/>
      </c>
      <c r="U328" s="249"/>
      <c r="V328" s="249"/>
      <c r="W328" s="249"/>
      <c r="X328" s="249"/>
      <c r="Y328" s="249"/>
      <c r="Z328" s="249"/>
      <c r="AA328" s="249"/>
      <c r="AB328" s="249"/>
      <c r="AC328" s="249"/>
      <c r="AD328" s="249"/>
      <c r="AE328" s="249"/>
      <c r="AF328" s="249"/>
      <c r="AG328" s="249"/>
      <c r="AH328" s="249"/>
      <c r="AI328" s="249"/>
      <c r="AJ328" s="249"/>
      <c r="AK328" s="249"/>
      <c r="AL328" s="249"/>
      <c r="AM328" s="249"/>
      <c r="AN328" s="537"/>
      <c r="AO328" s="249" t="str">
        <f>IF(Z328="Yes",COUNTIF($Z$6:Z328,"Yes"),"")</f>
        <v/>
      </c>
      <c r="AP328" s="249" t="str">
        <f>IF(AA328="Yes",COUNTIF($AA$6:AA328,"Yes"),"")</f>
        <v/>
      </c>
      <c r="AQ328" s="249" t="str">
        <f>IF(AC328="Yes",COUNTIF($AC$6:AC328,"Yes"),"")</f>
        <v/>
      </c>
    </row>
    <row r="329" spans="1:43">
      <c r="A329" s="249"/>
      <c r="B329" s="249"/>
      <c r="C329" s="249"/>
      <c r="D329" s="249"/>
      <c r="E329" s="249"/>
      <c r="F329" s="249"/>
      <c r="G329" s="249"/>
      <c r="H329" s="249"/>
      <c r="I329" s="249"/>
      <c r="J329" s="249"/>
      <c r="K329" s="249"/>
      <c r="L329" s="249"/>
      <c r="M329" s="249"/>
      <c r="N329" s="249"/>
      <c r="O329" s="249"/>
      <c r="P329" s="537"/>
      <c r="Q329" s="537"/>
      <c r="R329" s="537"/>
      <c r="S329" s="538" t="str">
        <f t="shared" ca="1" si="14"/>
        <v/>
      </c>
      <c r="T329" s="538" t="str">
        <f t="shared" ca="1" si="15"/>
        <v/>
      </c>
      <c r="U329" s="249"/>
      <c r="V329" s="249"/>
      <c r="W329" s="249"/>
      <c r="X329" s="249"/>
      <c r="Y329" s="249"/>
      <c r="Z329" s="249"/>
      <c r="AA329" s="249"/>
      <c r="AB329" s="249"/>
      <c r="AC329" s="249"/>
      <c r="AD329" s="249"/>
      <c r="AE329" s="249"/>
      <c r="AF329" s="249"/>
      <c r="AG329" s="249"/>
      <c r="AH329" s="249"/>
      <c r="AI329" s="249"/>
      <c r="AJ329" s="249"/>
      <c r="AK329" s="249"/>
      <c r="AL329" s="249"/>
      <c r="AM329" s="249"/>
      <c r="AN329" s="537"/>
      <c r="AO329" s="249" t="str">
        <f>IF(Z329="Yes",COUNTIF($Z$6:Z329,"Yes"),"")</f>
        <v/>
      </c>
      <c r="AP329" s="249" t="str">
        <f>IF(AA329="Yes",COUNTIF($AA$6:AA329,"Yes"),"")</f>
        <v/>
      </c>
      <c r="AQ329" s="249" t="str">
        <f>IF(AC329="Yes",COUNTIF($AC$6:AC329,"Yes"),"")</f>
        <v/>
      </c>
    </row>
    <row r="330" spans="1:43">
      <c r="A330" s="249"/>
      <c r="B330" s="249"/>
      <c r="C330" s="249"/>
      <c r="D330" s="249"/>
      <c r="E330" s="249"/>
      <c r="F330" s="249"/>
      <c r="G330" s="249"/>
      <c r="H330" s="249"/>
      <c r="I330" s="249"/>
      <c r="J330" s="249"/>
      <c r="K330" s="249"/>
      <c r="L330" s="249"/>
      <c r="M330" s="249"/>
      <c r="N330" s="249"/>
      <c r="O330" s="249"/>
      <c r="P330" s="537"/>
      <c r="Q330" s="537"/>
      <c r="R330" s="537"/>
      <c r="S330" s="538" t="str">
        <f t="shared" ca="1" si="14"/>
        <v/>
      </c>
      <c r="T330" s="538" t="str">
        <f t="shared" ca="1" si="15"/>
        <v/>
      </c>
      <c r="U330" s="249"/>
      <c r="V330" s="249"/>
      <c r="W330" s="249"/>
      <c r="X330" s="249"/>
      <c r="Y330" s="249"/>
      <c r="Z330" s="249"/>
      <c r="AA330" s="249"/>
      <c r="AB330" s="249"/>
      <c r="AC330" s="249"/>
      <c r="AD330" s="249"/>
      <c r="AE330" s="249"/>
      <c r="AF330" s="249"/>
      <c r="AG330" s="249"/>
      <c r="AH330" s="249"/>
      <c r="AI330" s="249"/>
      <c r="AJ330" s="249"/>
      <c r="AK330" s="249"/>
      <c r="AL330" s="249"/>
      <c r="AM330" s="249"/>
      <c r="AN330" s="537"/>
      <c r="AO330" s="249" t="str">
        <f>IF(Z330="Yes",COUNTIF($Z$6:Z330,"Yes"),"")</f>
        <v/>
      </c>
      <c r="AP330" s="249" t="str">
        <f>IF(AA330="Yes",COUNTIF($AA$6:AA330,"Yes"),"")</f>
        <v/>
      </c>
      <c r="AQ330" s="249" t="str">
        <f>IF(AC330="Yes",COUNTIF($AC$6:AC330,"Yes"),"")</f>
        <v/>
      </c>
    </row>
    <row r="331" spans="1:43">
      <c r="A331" s="249"/>
      <c r="B331" s="249"/>
      <c r="C331" s="249"/>
      <c r="D331" s="249"/>
      <c r="E331" s="249"/>
      <c r="F331" s="249"/>
      <c r="G331" s="249"/>
      <c r="H331" s="249"/>
      <c r="I331" s="249"/>
      <c r="J331" s="249"/>
      <c r="K331" s="249"/>
      <c r="L331" s="249"/>
      <c r="M331" s="249"/>
      <c r="N331" s="249"/>
      <c r="O331" s="249"/>
      <c r="P331" s="537"/>
      <c r="Q331" s="537"/>
      <c r="R331" s="537"/>
      <c r="S331" s="538" t="str">
        <f t="shared" ca="1" si="14"/>
        <v/>
      </c>
      <c r="T331" s="538" t="str">
        <f t="shared" ca="1" si="15"/>
        <v/>
      </c>
      <c r="U331" s="249"/>
      <c r="V331" s="249"/>
      <c r="W331" s="249"/>
      <c r="X331" s="249"/>
      <c r="Y331" s="249"/>
      <c r="Z331" s="249"/>
      <c r="AA331" s="249"/>
      <c r="AB331" s="249"/>
      <c r="AC331" s="249"/>
      <c r="AD331" s="249"/>
      <c r="AE331" s="249"/>
      <c r="AF331" s="249"/>
      <c r="AG331" s="249"/>
      <c r="AH331" s="249"/>
      <c r="AI331" s="249"/>
      <c r="AJ331" s="249"/>
      <c r="AK331" s="249"/>
      <c r="AL331" s="249"/>
      <c r="AM331" s="249"/>
      <c r="AN331" s="537"/>
      <c r="AO331" s="249" t="str">
        <f>IF(Z331="Yes",COUNTIF($Z$6:Z331,"Yes"),"")</f>
        <v/>
      </c>
      <c r="AP331" s="249" t="str">
        <f>IF(AA331="Yes",COUNTIF($AA$6:AA331,"Yes"),"")</f>
        <v/>
      </c>
      <c r="AQ331" s="249" t="str">
        <f>IF(AC331="Yes",COUNTIF($AC$6:AC331,"Yes"),"")</f>
        <v/>
      </c>
    </row>
    <row r="332" spans="1:43">
      <c r="A332" s="249"/>
      <c r="B332" s="249"/>
      <c r="C332" s="249"/>
      <c r="D332" s="249"/>
      <c r="E332" s="249"/>
      <c r="F332" s="249"/>
      <c r="G332" s="249"/>
      <c r="H332" s="249"/>
      <c r="I332" s="249"/>
      <c r="J332" s="249"/>
      <c r="K332" s="249"/>
      <c r="L332" s="249"/>
      <c r="M332" s="249"/>
      <c r="N332" s="249"/>
      <c r="O332" s="249"/>
      <c r="P332" s="537"/>
      <c r="Q332" s="537"/>
      <c r="R332" s="537"/>
      <c r="S332" s="538" t="str">
        <f t="shared" ca="1" si="14"/>
        <v/>
      </c>
      <c r="T332" s="538" t="str">
        <f t="shared" ca="1" si="15"/>
        <v/>
      </c>
      <c r="U332" s="249"/>
      <c r="V332" s="249"/>
      <c r="W332" s="249"/>
      <c r="X332" s="249"/>
      <c r="Y332" s="249"/>
      <c r="Z332" s="249"/>
      <c r="AA332" s="249"/>
      <c r="AB332" s="249"/>
      <c r="AC332" s="249"/>
      <c r="AD332" s="249"/>
      <c r="AE332" s="249"/>
      <c r="AF332" s="249"/>
      <c r="AG332" s="249"/>
      <c r="AH332" s="249"/>
      <c r="AI332" s="249"/>
      <c r="AJ332" s="249"/>
      <c r="AK332" s="249"/>
      <c r="AL332" s="249"/>
      <c r="AM332" s="249"/>
      <c r="AN332" s="537"/>
      <c r="AO332" s="249" t="str">
        <f>IF(Z332="Yes",COUNTIF($Z$6:Z332,"Yes"),"")</f>
        <v/>
      </c>
      <c r="AP332" s="249" t="str">
        <f>IF(AA332="Yes",COUNTIF($AA$6:AA332,"Yes"),"")</f>
        <v/>
      </c>
      <c r="AQ332" s="249" t="str">
        <f>IF(AC332="Yes",COUNTIF($AC$6:AC332,"Yes"),"")</f>
        <v/>
      </c>
    </row>
    <row r="333" spans="1:43">
      <c r="A333" s="249"/>
      <c r="B333" s="249"/>
      <c r="C333" s="249"/>
      <c r="D333" s="249"/>
      <c r="E333" s="249"/>
      <c r="F333" s="249"/>
      <c r="G333" s="249"/>
      <c r="H333" s="249"/>
      <c r="I333" s="249"/>
      <c r="J333" s="249"/>
      <c r="K333" s="249"/>
      <c r="L333" s="249"/>
      <c r="M333" s="249"/>
      <c r="N333" s="249"/>
      <c r="O333" s="249"/>
      <c r="P333" s="537"/>
      <c r="Q333" s="537"/>
      <c r="R333" s="537"/>
      <c r="S333" s="538" t="str">
        <f t="shared" ca="1" si="14"/>
        <v/>
      </c>
      <c r="T333" s="538" t="str">
        <f t="shared" ca="1" si="15"/>
        <v/>
      </c>
      <c r="U333" s="249"/>
      <c r="V333" s="249"/>
      <c r="W333" s="249"/>
      <c r="X333" s="249"/>
      <c r="Y333" s="249"/>
      <c r="Z333" s="249"/>
      <c r="AA333" s="249"/>
      <c r="AB333" s="249"/>
      <c r="AC333" s="249"/>
      <c r="AD333" s="249"/>
      <c r="AE333" s="249"/>
      <c r="AF333" s="249"/>
      <c r="AG333" s="249"/>
      <c r="AH333" s="249"/>
      <c r="AI333" s="249"/>
      <c r="AJ333" s="249"/>
      <c r="AK333" s="249"/>
      <c r="AL333" s="249"/>
      <c r="AM333" s="249"/>
      <c r="AN333" s="537"/>
      <c r="AO333" s="249" t="str">
        <f>IF(Z333="Yes",COUNTIF($Z$6:Z333,"Yes"),"")</f>
        <v/>
      </c>
      <c r="AP333" s="249" t="str">
        <f>IF(AA333="Yes",COUNTIF($AA$6:AA333,"Yes"),"")</f>
        <v/>
      </c>
      <c r="AQ333" s="249" t="str">
        <f>IF(AC333="Yes",COUNTIF($AC$6:AC333,"Yes"),"")</f>
        <v/>
      </c>
    </row>
    <row r="334" spans="1:43">
      <c r="A334" s="249"/>
      <c r="B334" s="249"/>
      <c r="C334" s="249"/>
      <c r="D334" s="249"/>
      <c r="E334" s="249"/>
      <c r="F334" s="249"/>
      <c r="G334" s="249"/>
      <c r="H334" s="249"/>
      <c r="I334" s="249"/>
      <c r="J334" s="249"/>
      <c r="K334" s="249"/>
      <c r="L334" s="249"/>
      <c r="M334" s="249"/>
      <c r="N334" s="249"/>
      <c r="O334" s="249"/>
      <c r="P334" s="537"/>
      <c r="Q334" s="537"/>
      <c r="R334" s="537"/>
      <c r="S334" s="538" t="str">
        <f t="shared" ca="1" si="14"/>
        <v/>
      </c>
      <c r="T334" s="538" t="str">
        <f t="shared" ca="1" si="15"/>
        <v/>
      </c>
      <c r="U334" s="249"/>
      <c r="V334" s="249"/>
      <c r="W334" s="249"/>
      <c r="X334" s="249"/>
      <c r="Y334" s="249"/>
      <c r="Z334" s="249"/>
      <c r="AA334" s="249"/>
      <c r="AB334" s="249"/>
      <c r="AC334" s="249"/>
      <c r="AD334" s="249"/>
      <c r="AE334" s="249"/>
      <c r="AF334" s="249"/>
      <c r="AG334" s="249"/>
      <c r="AH334" s="249"/>
      <c r="AI334" s="249"/>
      <c r="AJ334" s="249"/>
      <c r="AK334" s="249"/>
      <c r="AL334" s="249"/>
      <c r="AM334" s="249"/>
      <c r="AN334" s="537"/>
      <c r="AO334" s="249" t="str">
        <f>IF(Z334="Yes",COUNTIF($Z$6:Z334,"Yes"),"")</f>
        <v/>
      </c>
      <c r="AP334" s="249" t="str">
        <f>IF(AA334="Yes",COUNTIF($AA$6:AA334,"Yes"),"")</f>
        <v/>
      </c>
      <c r="AQ334" s="249" t="str">
        <f>IF(AC334="Yes",COUNTIF($AC$6:AC334,"Yes"),"")</f>
        <v/>
      </c>
    </row>
    <row r="335" spans="1:43">
      <c r="A335" s="249"/>
      <c r="B335" s="249"/>
      <c r="C335" s="249"/>
      <c r="D335" s="249"/>
      <c r="E335" s="249"/>
      <c r="F335" s="249"/>
      <c r="G335" s="249"/>
      <c r="H335" s="249"/>
      <c r="I335" s="249"/>
      <c r="J335" s="249"/>
      <c r="K335" s="249"/>
      <c r="L335" s="249"/>
      <c r="M335" s="249"/>
      <c r="N335" s="249"/>
      <c r="O335" s="249"/>
      <c r="P335" s="537"/>
      <c r="Q335" s="537"/>
      <c r="R335" s="537"/>
      <c r="S335" s="538" t="str">
        <f t="shared" ca="1" si="14"/>
        <v/>
      </c>
      <c r="T335" s="538" t="str">
        <f t="shared" ca="1" si="15"/>
        <v/>
      </c>
      <c r="U335" s="249"/>
      <c r="V335" s="249"/>
      <c r="W335" s="249"/>
      <c r="X335" s="249"/>
      <c r="Y335" s="249"/>
      <c r="Z335" s="249"/>
      <c r="AA335" s="249"/>
      <c r="AB335" s="249"/>
      <c r="AC335" s="249"/>
      <c r="AD335" s="249"/>
      <c r="AE335" s="249"/>
      <c r="AF335" s="249"/>
      <c r="AG335" s="249"/>
      <c r="AH335" s="249"/>
      <c r="AI335" s="249"/>
      <c r="AJ335" s="249"/>
      <c r="AK335" s="249"/>
      <c r="AL335" s="249"/>
      <c r="AM335" s="249"/>
      <c r="AN335" s="537"/>
      <c r="AO335" s="249" t="str">
        <f>IF(Z335="Yes",COUNTIF($Z$6:Z335,"Yes"),"")</f>
        <v/>
      </c>
      <c r="AP335" s="249" t="str">
        <f>IF(AA335="Yes",COUNTIF($AA$6:AA335,"Yes"),"")</f>
        <v/>
      </c>
      <c r="AQ335" s="249" t="str">
        <f>IF(AC335="Yes",COUNTIF($AC$6:AC335,"Yes"),"")</f>
        <v/>
      </c>
    </row>
    <row r="336" spans="1:43">
      <c r="A336" s="249"/>
      <c r="B336" s="249"/>
      <c r="C336" s="249"/>
      <c r="D336" s="249"/>
      <c r="E336" s="249"/>
      <c r="F336" s="249"/>
      <c r="G336" s="249"/>
      <c r="H336" s="249"/>
      <c r="I336" s="249"/>
      <c r="J336" s="249"/>
      <c r="K336" s="249"/>
      <c r="L336" s="249"/>
      <c r="M336" s="249"/>
      <c r="N336" s="249"/>
      <c r="O336" s="249"/>
      <c r="P336" s="537"/>
      <c r="Q336" s="537"/>
      <c r="R336" s="537"/>
      <c r="S336" s="538" t="str">
        <f t="shared" ca="1" si="14"/>
        <v/>
      </c>
      <c r="T336" s="538" t="str">
        <f t="shared" ca="1" si="15"/>
        <v/>
      </c>
      <c r="U336" s="249"/>
      <c r="V336" s="249"/>
      <c r="W336" s="249"/>
      <c r="X336" s="249"/>
      <c r="Y336" s="249"/>
      <c r="Z336" s="249"/>
      <c r="AA336" s="249"/>
      <c r="AB336" s="249"/>
      <c r="AC336" s="249"/>
      <c r="AD336" s="249"/>
      <c r="AE336" s="249"/>
      <c r="AF336" s="249"/>
      <c r="AG336" s="249"/>
      <c r="AH336" s="249"/>
      <c r="AI336" s="249"/>
      <c r="AJ336" s="249"/>
      <c r="AK336" s="249"/>
      <c r="AL336" s="249"/>
      <c r="AM336" s="249"/>
      <c r="AN336" s="537"/>
      <c r="AO336" s="249" t="str">
        <f>IF(Z336="Yes",COUNTIF($Z$6:Z336,"Yes"),"")</f>
        <v/>
      </c>
      <c r="AP336" s="249" t="str">
        <f>IF(AA336="Yes",COUNTIF($AA$6:AA336,"Yes"),"")</f>
        <v/>
      </c>
      <c r="AQ336" s="249" t="str">
        <f>IF(AC336="Yes",COUNTIF($AC$6:AC336,"Yes"),"")</f>
        <v/>
      </c>
    </row>
    <row r="337" spans="1:43">
      <c r="A337" s="249"/>
      <c r="B337" s="249"/>
      <c r="C337" s="249"/>
      <c r="D337" s="249"/>
      <c r="E337" s="249"/>
      <c r="F337" s="249"/>
      <c r="G337" s="249"/>
      <c r="H337" s="249"/>
      <c r="I337" s="249"/>
      <c r="J337" s="249"/>
      <c r="K337" s="249"/>
      <c r="L337" s="249"/>
      <c r="M337" s="249"/>
      <c r="N337" s="249"/>
      <c r="O337" s="249"/>
      <c r="P337" s="537"/>
      <c r="Q337" s="537"/>
      <c r="R337" s="537"/>
      <c r="S337" s="538" t="str">
        <f t="shared" ca="1" si="14"/>
        <v/>
      </c>
      <c r="T337" s="538" t="str">
        <f t="shared" ca="1" si="15"/>
        <v/>
      </c>
      <c r="U337" s="249"/>
      <c r="V337" s="249"/>
      <c r="W337" s="249"/>
      <c r="X337" s="249"/>
      <c r="Y337" s="249"/>
      <c r="Z337" s="249"/>
      <c r="AA337" s="249"/>
      <c r="AB337" s="249"/>
      <c r="AC337" s="249"/>
      <c r="AD337" s="249"/>
      <c r="AE337" s="249"/>
      <c r="AF337" s="249"/>
      <c r="AG337" s="249"/>
      <c r="AH337" s="249"/>
      <c r="AI337" s="249"/>
      <c r="AJ337" s="249"/>
      <c r="AK337" s="249"/>
      <c r="AL337" s="249"/>
      <c r="AM337" s="249"/>
      <c r="AN337" s="537"/>
      <c r="AO337" s="249" t="str">
        <f>IF(Z337="Yes",COUNTIF($Z$6:Z337,"Yes"),"")</f>
        <v/>
      </c>
      <c r="AP337" s="249" t="str">
        <f>IF(AA337="Yes",COUNTIF($AA$6:AA337,"Yes"),"")</f>
        <v/>
      </c>
      <c r="AQ337" s="249" t="str">
        <f>IF(AC337="Yes",COUNTIF($AC$6:AC337,"Yes"),"")</f>
        <v/>
      </c>
    </row>
    <row r="338" spans="1:43">
      <c r="A338" s="249"/>
      <c r="B338" s="249"/>
      <c r="C338" s="249"/>
      <c r="D338" s="249"/>
      <c r="E338" s="249"/>
      <c r="F338" s="249"/>
      <c r="G338" s="249"/>
      <c r="H338" s="249"/>
      <c r="I338" s="249"/>
      <c r="J338" s="249"/>
      <c r="K338" s="249"/>
      <c r="L338" s="249"/>
      <c r="M338" s="249"/>
      <c r="N338" s="249"/>
      <c r="O338" s="249"/>
      <c r="P338" s="537"/>
      <c r="Q338" s="537"/>
      <c r="R338" s="537"/>
      <c r="S338" s="538" t="str">
        <f t="shared" ca="1" si="14"/>
        <v/>
      </c>
      <c r="T338" s="538" t="str">
        <f t="shared" ca="1" si="15"/>
        <v/>
      </c>
      <c r="U338" s="249"/>
      <c r="V338" s="249"/>
      <c r="W338" s="249"/>
      <c r="X338" s="249"/>
      <c r="Y338" s="249"/>
      <c r="Z338" s="249"/>
      <c r="AA338" s="249"/>
      <c r="AB338" s="249"/>
      <c r="AC338" s="249"/>
      <c r="AD338" s="249"/>
      <c r="AE338" s="249"/>
      <c r="AF338" s="249"/>
      <c r="AG338" s="249"/>
      <c r="AH338" s="249"/>
      <c r="AI338" s="249"/>
      <c r="AJ338" s="249"/>
      <c r="AK338" s="249"/>
      <c r="AL338" s="249"/>
      <c r="AM338" s="249"/>
      <c r="AN338" s="537"/>
      <c r="AO338" s="249" t="str">
        <f>IF(Z338="Yes",COUNTIF($Z$6:Z338,"Yes"),"")</f>
        <v/>
      </c>
      <c r="AP338" s="249" t="str">
        <f>IF(AA338="Yes",COUNTIF($AA$6:AA338,"Yes"),"")</f>
        <v/>
      </c>
      <c r="AQ338" s="249" t="str">
        <f>IF(AC338="Yes",COUNTIF($AC$6:AC338,"Yes"),"")</f>
        <v/>
      </c>
    </row>
    <row r="339" spans="1:43">
      <c r="A339" s="249"/>
      <c r="B339" s="249"/>
      <c r="C339" s="249"/>
      <c r="D339" s="249"/>
      <c r="E339" s="249"/>
      <c r="F339" s="249"/>
      <c r="G339" s="249"/>
      <c r="H339" s="249"/>
      <c r="I339" s="249"/>
      <c r="J339" s="249"/>
      <c r="K339" s="249"/>
      <c r="L339" s="249"/>
      <c r="M339" s="249"/>
      <c r="N339" s="249"/>
      <c r="O339" s="249"/>
      <c r="P339" s="537"/>
      <c r="Q339" s="537"/>
      <c r="R339" s="537"/>
      <c r="S339" s="538" t="str">
        <f t="shared" ca="1" si="14"/>
        <v/>
      </c>
      <c r="T339" s="538" t="str">
        <f t="shared" ca="1" si="15"/>
        <v/>
      </c>
      <c r="U339" s="249"/>
      <c r="V339" s="249"/>
      <c r="W339" s="249"/>
      <c r="X339" s="249"/>
      <c r="Y339" s="249"/>
      <c r="Z339" s="249"/>
      <c r="AA339" s="249"/>
      <c r="AB339" s="249"/>
      <c r="AC339" s="249"/>
      <c r="AD339" s="249"/>
      <c r="AE339" s="249"/>
      <c r="AF339" s="249"/>
      <c r="AG339" s="249"/>
      <c r="AH339" s="249"/>
      <c r="AI339" s="249"/>
      <c r="AJ339" s="249"/>
      <c r="AK339" s="249"/>
      <c r="AL339" s="249"/>
      <c r="AM339" s="249"/>
      <c r="AN339" s="537"/>
      <c r="AO339" s="249" t="str">
        <f>IF(Z339="Yes",COUNTIF($Z$6:Z339,"Yes"),"")</f>
        <v/>
      </c>
      <c r="AP339" s="249" t="str">
        <f>IF(AA339="Yes",COUNTIF($AA$6:AA339,"Yes"),"")</f>
        <v/>
      </c>
      <c r="AQ339" s="249" t="str">
        <f>IF(AC339="Yes",COUNTIF($AC$6:AC339,"Yes"),"")</f>
        <v/>
      </c>
    </row>
    <row r="340" spans="1:43">
      <c r="A340" s="249"/>
      <c r="B340" s="249"/>
      <c r="C340" s="249"/>
      <c r="D340" s="249"/>
      <c r="E340" s="249"/>
      <c r="F340" s="249"/>
      <c r="G340" s="249"/>
      <c r="H340" s="249"/>
      <c r="I340" s="249"/>
      <c r="J340" s="249"/>
      <c r="K340" s="249"/>
      <c r="L340" s="249"/>
      <c r="M340" s="249"/>
      <c r="N340" s="249"/>
      <c r="O340" s="249"/>
      <c r="P340" s="537"/>
      <c r="Q340" s="537"/>
      <c r="R340" s="537"/>
      <c r="S340" s="538" t="str">
        <f t="shared" ca="1" si="14"/>
        <v/>
      </c>
      <c r="T340" s="538" t="str">
        <f t="shared" ca="1" si="15"/>
        <v/>
      </c>
      <c r="U340" s="249"/>
      <c r="V340" s="249"/>
      <c r="W340" s="249"/>
      <c r="X340" s="249"/>
      <c r="Y340" s="249"/>
      <c r="Z340" s="249"/>
      <c r="AA340" s="249"/>
      <c r="AB340" s="249"/>
      <c r="AC340" s="249"/>
      <c r="AD340" s="249"/>
      <c r="AE340" s="249"/>
      <c r="AF340" s="249"/>
      <c r="AG340" s="249"/>
      <c r="AH340" s="249"/>
      <c r="AI340" s="249"/>
      <c r="AJ340" s="249"/>
      <c r="AK340" s="249"/>
      <c r="AL340" s="249"/>
      <c r="AM340" s="249"/>
      <c r="AN340" s="537"/>
      <c r="AO340" s="249" t="str">
        <f>IF(Z340="Yes",COUNTIF($Z$6:Z340,"Yes"),"")</f>
        <v/>
      </c>
      <c r="AP340" s="249" t="str">
        <f>IF(AA340="Yes",COUNTIF($AA$6:AA340,"Yes"),"")</f>
        <v/>
      </c>
      <c r="AQ340" s="249" t="str">
        <f>IF(AC340="Yes",COUNTIF($AC$6:AC340,"Yes"),"")</f>
        <v/>
      </c>
    </row>
    <row r="341" spans="1:43">
      <c r="A341" s="249"/>
      <c r="B341" s="249"/>
      <c r="C341" s="249"/>
      <c r="D341" s="249"/>
      <c r="E341" s="249"/>
      <c r="F341" s="249"/>
      <c r="G341" s="249"/>
      <c r="H341" s="249"/>
      <c r="I341" s="249"/>
      <c r="J341" s="249"/>
      <c r="K341" s="249"/>
      <c r="L341" s="249"/>
      <c r="M341" s="249"/>
      <c r="N341" s="249"/>
      <c r="O341" s="249"/>
      <c r="P341" s="537"/>
      <c r="Q341" s="537"/>
      <c r="R341" s="537"/>
      <c r="S341" s="538" t="str">
        <f t="shared" ca="1" si="14"/>
        <v/>
      </c>
      <c r="T341" s="538" t="str">
        <f t="shared" ca="1" si="15"/>
        <v/>
      </c>
      <c r="U341" s="249"/>
      <c r="V341" s="249"/>
      <c r="W341" s="249"/>
      <c r="X341" s="249"/>
      <c r="Y341" s="249"/>
      <c r="Z341" s="249"/>
      <c r="AA341" s="249"/>
      <c r="AB341" s="249"/>
      <c r="AC341" s="249"/>
      <c r="AD341" s="249"/>
      <c r="AE341" s="249"/>
      <c r="AF341" s="249"/>
      <c r="AG341" s="249"/>
      <c r="AH341" s="249"/>
      <c r="AI341" s="249"/>
      <c r="AJ341" s="249"/>
      <c r="AK341" s="249"/>
      <c r="AL341" s="249"/>
      <c r="AM341" s="249"/>
      <c r="AN341" s="537"/>
      <c r="AO341" s="249" t="str">
        <f>IF(Z341="Yes",COUNTIF($Z$6:Z341,"Yes"),"")</f>
        <v/>
      </c>
      <c r="AP341" s="249" t="str">
        <f>IF(AA341="Yes",COUNTIF($AA$6:AA341,"Yes"),"")</f>
        <v/>
      </c>
      <c r="AQ341" s="249" t="str">
        <f>IF(AC341="Yes",COUNTIF($AC$6:AC341,"Yes"),"")</f>
        <v/>
      </c>
    </row>
    <row r="342" spans="1:43">
      <c r="A342" s="249"/>
      <c r="B342" s="249"/>
      <c r="C342" s="249"/>
      <c r="D342" s="249"/>
      <c r="E342" s="249"/>
      <c r="F342" s="249"/>
      <c r="G342" s="249"/>
      <c r="H342" s="249"/>
      <c r="I342" s="249"/>
      <c r="J342" s="249"/>
      <c r="K342" s="249"/>
      <c r="L342" s="249"/>
      <c r="M342" s="249"/>
      <c r="N342" s="249"/>
      <c r="O342" s="249"/>
      <c r="P342" s="537"/>
      <c r="Q342" s="537"/>
      <c r="R342" s="537"/>
      <c r="S342" s="538" t="str">
        <f t="shared" ca="1" si="14"/>
        <v/>
      </c>
      <c r="T342" s="538" t="str">
        <f t="shared" ca="1" si="15"/>
        <v/>
      </c>
      <c r="U342" s="249"/>
      <c r="V342" s="249"/>
      <c r="W342" s="249"/>
      <c r="X342" s="249"/>
      <c r="Y342" s="249"/>
      <c r="Z342" s="249"/>
      <c r="AA342" s="249"/>
      <c r="AB342" s="249"/>
      <c r="AC342" s="249"/>
      <c r="AD342" s="249"/>
      <c r="AE342" s="249"/>
      <c r="AF342" s="249"/>
      <c r="AG342" s="249"/>
      <c r="AH342" s="249"/>
      <c r="AI342" s="249"/>
      <c r="AJ342" s="249"/>
      <c r="AK342" s="249"/>
      <c r="AL342" s="249"/>
      <c r="AM342" s="249"/>
      <c r="AN342" s="537"/>
      <c r="AO342" s="249" t="str">
        <f>IF(Z342="Yes",COUNTIF($Z$6:Z342,"Yes"),"")</f>
        <v/>
      </c>
      <c r="AP342" s="249" t="str">
        <f>IF(AA342="Yes",COUNTIF($AA$6:AA342,"Yes"),"")</f>
        <v/>
      </c>
      <c r="AQ342" s="249" t="str">
        <f>IF(AC342="Yes",COUNTIF($AC$6:AC342,"Yes"),"")</f>
        <v/>
      </c>
    </row>
    <row r="343" spans="1:43">
      <c r="A343" s="249"/>
      <c r="B343" s="249"/>
      <c r="C343" s="249"/>
      <c r="D343" s="249"/>
      <c r="E343" s="249"/>
      <c r="F343" s="249"/>
      <c r="G343" s="249"/>
      <c r="H343" s="249"/>
      <c r="I343" s="249"/>
      <c r="J343" s="249"/>
      <c r="K343" s="249"/>
      <c r="L343" s="249"/>
      <c r="M343" s="249"/>
      <c r="N343" s="249"/>
      <c r="O343" s="249"/>
      <c r="P343" s="537"/>
      <c r="Q343" s="537"/>
      <c r="R343" s="537"/>
      <c r="S343" s="538" t="str">
        <f t="shared" ca="1" si="14"/>
        <v/>
      </c>
      <c r="T343" s="538" t="str">
        <f t="shared" ca="1" si="15"/>
        <v/>
      </c>
      <c r="U343" s="249"/>
      <c r="V343" s="249"/>
      <c r="W343" s="249"/>
      <c r="X343" s="249"/>
      <c r="Y343" s="249"/>
      <c r="Z343" s="249"/>
      <c r="AA343" s="249"/>
      <c r="AB343" s="249"/>
      <c r="AC343" s="249"/>
      <c r="AD343" s="249"/>
      <c r="AE343" s="249"/>
      <c r="AF343" s="249"/>
      <c r="AG343" s="249"/>
      <c r="AH343" s="249"/>
      <c r="AI343" s="249"/>
      <c r="AJ343" s="249"/>
      <c r="AK343" s="249"/>
      <c r="AL343" s="249"/>
      <c r="AM343" s="249"/>
      <c r="AN343" s="537"/>
      <c r="AO343" s="249" t="str">
        <f>IF(Z343="Yes",COUNTIF($Z$6:Z343,"Yes"),"")</f>
        <v/>
      </c>
      <c r="AP343" s="249" t="str">
        <f>IF(AA343="Yes",COUNTIF($AA$6:AA343,"Yes"),"")</f>
        <v/>
      </c>
      <c r="AQ343" s="249" t="str">
        <f>IF(AC343="Yes",COUNTIF($AC$6:AC343,"Yes"),"")</f>
        <v/>
      </c>
    </row>
    <row r="344" spans="1:43">
      <c r="A344" s="249"/>
      <c r="B344" s="249"/>
      <c r="C344" s="249"/>
      <c r="D344" s="249"/>
      <c r="E344" s="249"/>
      <c r="F344" s="249"/>
      <c r="G344" s="249"/>
      <c r="H344" s="249"/>
      <c r="I344" s="249"/>
      <c r="J344" s="249"/>
      <c r="K344" s="249"/>
      <c r="L344" s="249"/>
      <c r="M344" s="249"/>
      <c r="N344" s="249"/>
      <c r="O344" s="249"/>
      <c r="P344" s="537"/>
      <c r="Q344" s="537"/>
      <c r="R344" s="537"/>
      <c r="S344" s="538" t="str">
        <f t="shared" ca="1" si="14"/>
        <v/>
      </c>
      <c r="T344" s="538" t="str">
        <f t="shared" ca="1" si="15"/>
        <v/>
      </c>
      <c r="U344" s="249"/>
      <c r="V344" s="249"/>
      <c r="W344" s="249"/>
      <c r="X344" s="249"/>
      <c r="Y344" s="249"/>
      <c r="Z344" s="249"/>
      <c r="AA344" s="249"/>
      <c r="AB344" s="249"/>
      <c r="AC344" s="249"/>
      <c r="AD344" s="249"/>
      <c r="AE344" s="249"/>
      <c r="AF344" s="249"/>
      <c r="AG344" s="249"/>
      <c r="AH344" s="249"/>
      <c r="AI344" s="249"/>
      <c r="AJ344" s="249"/>
      <c r="AK344" s="249"/>
      <c r="AL344" s="249"/>
      <c r="AM344" s="249"/>
      <c r="AN344" s="537"/>
      <c r="AO344" s="249" t="str">
        <f>IF(Z344="Yes",COUNTIF($Z$6:Z344,"Yes"),"")</f>
        <v/>
      </c>
      <c r="AP344" s="249" t="str">
        <f>IF(AA344="Yes",COUNTIF($AA$6:AA344,"Yes"),"")</f>
        <v/>
      </c>
      <c r="AQ344" s="249" t="str">
        <f>IF(AC344="Yes",COUNTIF($AC$6:AC344,"Yes"),"")</f>
        <v/>
      </c>
    </row>
    <row r="345" spans="1:43">
      <c r="A345" s="249"/>
      <c r="B345" s="249"/>
      <c r="C345" s="249"/>
      <c r="D345" s="249"/>
      <c r="E345" s="249"/>
      <c r="F345" s="249"/>
      <c r="G345" s="249"/>
      <c r="H345" s="249"/>
      <c r="I345" s="249"/>
      <c r="J345" s="249"/>
      <c r="K345" s="249"/>
      <c r="L345" s="249"/>
      <c r="M345" s="249"/>
      <c r="N345" s="249"/>
      <c r="O345" s="249"/>
      <c r="P345" s="537"/>
      <c r="Q345" s="537"/>
      <c r="R345" s="537"/>
      <c r="S345" s="538" t="str">
        <f t="shared" ca="1" si="14"/>
        <v/>
      </c>
      <c r="T345" s="538" t="str">
        <f t="shared" ca="1" si="15"/>
        <v/>
      </c>
      <c r="U345" s="249"/>
      <c r="V345" s="249"/>
      <c r="W345" s="249"/>
      <c r="X345" s="249"/>
      <c r="Y345" s="249"/>
      <c r="Z345" s="249"/>
      <c r="AA345" s="249"/>
      <c r="AB345" s="249"/>
      <c r="AC345" s="249"/>
      <c r="AD345" s="249"/>
      <c r="AE345" s="249"/>
      <c r="AF345" s="249"/>
      <c r="AG345" s="249"/>
      <c r="AH345" s="249"/>
      <c r="AI345" s="249"/>
      <c r="AJ345" s="249"/>
      <c r="AK345" s="249"/>
      <c r="AL345" s="249"/>
      <c r="AM345" s="249"/>
      <c r="AN345" s="537"/>
      <c r="AO345" s="249" t="str">
        <f>IF(Z345="Yes",COUNTIF($Z$6:Z345,"Yes"),"")</f>
        <v/>
      </c>
      <c r="AP345" s="249" t="str">
        <f>IF(AA345="Yes",COUNTIF($AA$6:AA345,"Yes"),"")</f>
        <v/>
      </c>
      <c r="AQ345" s="249" t="str">
        <f>IF(AC345="Yes",COUNTIF($AC$6:AC345,"Yes"),"")</f>
        <v/>
      </c>
    </row>
    <row r="346" spans="1:43">
      <c r="A346" s="249"/>
      <c r="B346" s="249"/>
      <c r="C346" s="249"/>
      <c r="D346" s="249"/>
      <c r="E346" s="249"/>
      <c r="F346" s="249"/>
      <c r="G346" s="249"/>
      <c r="H346" s="249"/>
      <c r="I346" s="249"/>
      <c r="J346" s="249"/>
      <c r="K346" s="249"/>
      <c r="L346" s="249"/>
      <c r="M346" s="249"/>
      <c r="N346" s="249"/>
      <c r="O346" s="249"/>
      <c r="P346" s="537"/>
      <c r="Q346" s="537"/>
      <c r="R346" s="537"/>
      <c r="S346" s="538" t="str">
        <f t="shared" ca="1" si="14"/>
        <v/>
      </c>
      <c r="T346" s="538" t="str">
        <f t="shared" ca="1" si="15"/>
        <v/>
      </c>
      <c r="U346" s="249"/>
      <c r="V346" s="249"/>
      <c r="W346" s="249"/>
      <c r="X346" s="249"/>
      <c r="Y346" s="249"/>
      <c r="Z346" s="249"/>
      <c r="AA346" s="249"/>
      <c r="AB346" s="249"/>
      <c r="AC346" s="249"/>
      <c r="AD346" s="249"/>
      <c r="AE346" s="249"/>
      <c r="AF346" s="249"/>
      <c r="AG346" s="249"/>
      <c r="AH346" s="249"/>
      <c r="AI346" s="249"/>
      <c r="AJ346" s="249"/>
      <c r="AK346" s="249"/>
      <c r="AL346" s="249"/>
      <c r="AM346" s="249"/>
      <c r="AN346" s="537"/>
      <c r="AO346" s="249" t="str">
        <f>IF(Z346="Yes",COUNTIF($Z$6:Z346,"Yes"),"")</f>
        <v/>
      </c>
      <c r="AP346" s="249" t="str">
        <f>IF(AA346="Yes",COUNTIF($AA$6:AA346,"Yes"),"")</f>
        <v/>
      </c>
      <c r="AQ346" s="249" t="str">
        <f>IF(AC346="Yes",COUNTIF($AC$6:AC346,"Yes"),"")</f>
        <v/>
      </c>
    </row>
    <row r="347" spans="1:43">
      <c r="A347" s="249"/>
      <c r="B347" s="249"/>
      <c r="C347" s="249"/>
      <c r="D347" s="249"/>
      <c r="E347" s="249"/>
      <c r="F347" s="249"/>
      <c r="G347" s="249"/>
      <c r="H347" s="249"/>
      <c r="I347" s="249"/>
      <c r="J347" s="249"/>
      <c r="K347" s="249"/>
      <c r="L347" s="249"/>
      <c r="M347" s="249"/>
      <c r="N347" s="249"/>
      <c r="O347" s="249"/>
      <c r="P347" s="537"/>
      <c r="Q347" s="537"/>
      <c r="R347" s="537"/>
      <c r="S347" s="538" t="str">
        <f t="shared" ca="1" si="14"/>
        <v/>
      </c>
      <c r="T347" s="538" t="str">
        <f t="shared" ca="1" si="15"/>
        <v/>
      </c>
      <c r="U347" s="249"/>
      <c r="V347" s="249"/>
      <c r="W347" s="249"/>
      <c r="X347" s="249"/>
      <c r="Y347" s="249"/>
      <c r="Z347" s="249"/>
      <c r="AA347" s="249"/>
      <c r="AB347" s="249"/>
      <c r="AC347" s="249"/>
      <c r="AD347" s="249"/>
      <c r="AE347" s="249"/>
      <c r="AF347" s="249"/>
      <c r="AG347" s="249"/>
      <c r="AH347" s="249"/>
      <c r="AI347" s="249"/>
      <c r="AJ347" s="249"/>
      <c r="AK347" s="249"/>
      <c r="AL347" s="249"/>
      <c r="AM347" s="249"/>
      <c r="AN347" s="537"/>
      <c r="AO347" s="249" t="str">
        <f>IF(Z347="Yes",COUNTIF($Z$6:Z347,"Yes"),"")</f>
        <v/>
      </c>
      <c r="AP347" s="249" t="str">
        <f>IF(AA347="Yes",COUNTIF($AA$6:AA347,"Yes"),"")</f>
        <v/>
      </c>
      <c r="AQ347" s="249" t="str">
        <f>IF(AC347="Yes",COUNTIF($AC$6:AC347,"Yes"),"")</f>
        <v/>
      </c>
    </row>
    <row r="348" spans="1:43">
      <c r="A348" s="249"/>
      <c r="B348" s="249"/>
      <c r="C348" s="249"/>
      <c r="D348" s="249"/>
      <c r="E348" s="249"/>
      <c r="F348" s="249"/>
      <c r="G348" s="249"/>
      <c r="H348" s="249"/>
      <c r="I348" s="249"/>
      <c r="J348" s="249"/>
      <c r="K348" s="249"/>
      <c r="L348" s="249"/>
      <c r="M348" s="249"/>
      <c r="N348" s="249"/>
      <c r="O348" s="249"/>
      <c r="P348" s="537"/>
      <c r="Q348" s="537"/>
      <c r="R348" s="537"/>
      <c r="S348" s="538" t="str">
        <f t="shared" ca="1" si="14"/>
        <v/>
      </c>
      <c r="T348" s="538" t="str">
        <f t="shared" ca="1" si="15"/>
        <v/>
      </c>
      <c r="U348" s="249"/>
      <c r="V348" s="249"/>
      <c r="W348" s="249"/>
      <c r="X348" s="249"/>
      <c r="Y348" s="249"/>
      <c r="Z348" s="249"/>
      <c r="AA348" s="249"/>
      <c r="AB348" s="249"/>
      <c r="AC348" s="249"/>
      <c r="AD348" s="249"/>
      <c r="AE348" s="249"/>
      <c r="AF348" s="249"/>
      <c r="AG348" s="249"/>
      <c r="AH348" s="249"/>
      <c r="AI348" s="249"/>
      <c r="AJ348" s="249"/>
      <c r="AK348" s="249"/>
      <c r="AL348" s="249"/>
      <c r="AM348" s="249"/>
      <c r="AN348" s="537"/>
      <c r="AO348" s="249" t="str">
        <f>IF(Z348="Yes",COUNTIF($Z$6:Z348,"Yes"),"")</f>
        <v/>
      </c>
      <c r="AP348" s="249" t="str">
        <f>IF(AA348="Yes",COUNTIF($AA$6:AA348,"Yes"),"")</f>
        <v/>
      </c>
      <c r="AQ348" s="249" t="str">
        <f>IF(AC348="Yes",COUNTIF($AC$6:AC348,"Yes"),"")</f>
        <v/>
      </c>
    </row>
    <row r="349" spans="1:43">
      <c r="A349" s="249"/>
      <c r="B349" s="249"/>
      <c r="C349" s="249"/>
      <c r="D349" s="249"/>
      <c r="E349" s="249"/>
      <c r="F349" s="249"/>
      <c r="G349" s="249"/>
      <c r="H349" s="249"/>
      <c r="I349" s="249"/>
      <c r="J349" s="249"/>
      <c r="K349" s="249"/>
      <c r="L349" s="249"/>
      <c r="M349" s="249"/>
      <c r="N349" s="249"/>
      <c r="O349" s="249"/>
      <c r="P349" s="537"/>
      <c r="Q349" s="537"/>
      <c r="R349" s="537"/>
      <c r="S349" s="538" t="str">
        <f t="shared" ca="1" si="14"/>
        <v/>
      </c>
      <c r="T349" s="538" t="str">
        <f t="shared" ca="1" si="15"/>
        <v/>
      </c>
      <c r="U349" s="249"/>
      <c r="V349" s="249"/>
      <c r="W349" s="249"/>
      <c r="X349" s="249"/>
      <c r="Y349" s="249"/>
      <c r="Z349" s="249"/>
      <c r="AA349" s="249"/>
      <c r="AB349" s="249"/>
      <c r="AC349" s="249"/>
      <c r="AD349" s="249"/>
      <c r="AE349" s="249"/>
      <c r="AF349" s="249"/>
      <c r="AG349" s="249"/>
      <c r="AH349" s="249"/>
      <c r="AI349" s="249"/>
      <c r="AJ349" s="249"/>
      <c r="AK349" s="249"/>
      <c r="AL349" s="249"/>
      <c r="AM349" s="249"/>
      <c r="AN349" s="537"/>
      <c r="AO349" s="249" t="str">
        <f>IF(Z349="Yes",COUNTIF($Z$6:Z349,"Yes"),"")</f>
        <v/>
      </c>
      <c r="AP349" s="249" t="str">
        <f>IF(AA349="Yes",COUNTIF($AA$6:AA349,"Yes"),"")</f>
        <v/>
      </c>
      <c r="AQ349" s="249" t="str">
        <f>IF(AC349="Yes",COUNTIF($AC$6:AC349,"Yes"),"")</f>
        <v/>
      </c>
    </row>
    <row r="350" spans="1:43">
      <c r="A350" s="249"/>
      <c r="B350" s="249"/>
      <c r="C350" s="249"/>
      <c r="D350" s="249"/>
      <c r="E350" s="249"/>
      <c r="F350" s="249"/>
      <c r="G350" s="249"/>
      <c r="H350" s="249"/>
      <c r="I350" s="249"/>
      <c r="J350" s="249"/>
      <c r="K350" s="249"/>
      <c r="L350" s="249"/>
      <c r="M350" s="249"/>
      <c r="N350" s="249"/>
      <c r="O350" s="249"/>
      <c r="P350" s="537"/>
      <c r="Q350" s="537"/>
      <c r="R350" s="537"/>
      <c r="S350" s="538" t="str">
        <f t="shared" ca="1" si="14"/>
        <v/>
      </c>
      <c r="T350" s="538" t="str">
        <f t="shared" ca="1" si="15"/>
        <v/>
      </c>
      <c r="U350" s="249"/>
      <c r="V350" s="249"/>
      <c r="W350" s="249"/>
      <c r="X350" s="249"/>
      <c r="Y350" s="249"/>
      <c r="Z350" s="249"/>
      <c r="AA350" s="249"/>
      <c r="AB350" s="249"/>
      <c r="AC350" s="249"/>
      <c r="AD350" s="249"/>
      <c r="AE350" s="249"/>
      <c r="AF350" s="249"/>
      <c r="AG350" s="249"/>
      <c r="AH350" s="249"/>
      <c r="AI350" s="249"/>
      <c r="AJ350" s="249"/>
      <c r="AK350" s="249"/>
      <c r="AL350" s="249"/>
      <c r="AM350" s="249"/>
      <c r="AN350" s="537"/>
      <c r="AO350" s="249" t="str">
        <f>IF(Z350="Yes",COUNTIF($Z$6:Z350,"Yes"),"")</f>
        <v/>
      </c>
      <c r="AP350" s="249" t="str">
        <f>IF(AA350="Yes",COUNTIF($AA$6:AA350,"Yes"),"")</f>
        <v/>
      </c>
      <c r="AQ350" s="249" t="str">
        <f>IF(AC350="Yes",COUNTIF($AC$6:AC350,"Yes"),"")</f>
        <v/>
      </c>
    </row>
    <row r="351" spans="1:43">
      <c r="A351" s="249"/>
      <c r="B351" s="249"/>
      <c r="C351" s="249"/>
      <c r="D351" s="249"/>
      <c r="E351" s="249"/>
      <c r="F351" s="249"/>
      <c r="G351" s="249"/>
      <c r="H351" s="249"/>
      <c r="I351" s="249"/>
      <c r="J351" s="249"/>
      <c r="K351" s="249"/>
      <c r="L351" s="249"/>
      <c r="M351" s="249"/>
      <c r="N351" s="249"/>
      <c r="O351" s="249"/>
      <c r="P351" s="537"/>
      <c r="Q351" s="537"/>
      <c r="R351" s="537"/>
      <c r="S351" s="538" t="str">
        <f t="shared" ca="1" si="14"/>
        <v/>
      </c>
      <c r="T351" s="538" t="str">
        <f t="shared" ca="1" si="15"/>
        <v/>
      </c>
      <c r="U351" s="249"/>
      <c r="V351" s="249"/>
      <c r="W351" s="249"/>
      <c r="X351" s="249"/>
      <c r="Y351" s="249"/>
      <c r="Z351" s="249"/>
      <c r="AA351" s="249"/>
      <c r="AB351" s="249"/>
      <c r="AC351" s="249"/>
      <c r="AD351" s="249"/>
      <c r="AE351" s="249"/>
      <c r="AF351" s="249"/>
      <c r="AG351" s="249"/>
      <c r="AH351" s="249"/>
      <c r="AI351" s="249"/>
      <c r="AJ351" s="249"/>
      <c r="AK351" s="249"/>
      <c r="AL351" s="249"/>
      <c r="AM351" s="249"/>
      <c r="AN351" s="537"/>
      <c r="AO351" s="249" t="str">
        <f>IF(Z351="Yes",COUNTIF($Z$6:Z351,"Yes"),"")</f>
        <v/>
      </c>
      <c r="AP351" s="249" t="str">
        <f>IF(AA351="Yes",COUNTIF($AA$6:AA351,"Yes"),"")</f>
        <v/>
      </c>
      <c r="AQ351" s="249" t="str">
        <f>IF(AC351="Yes",COUNTIF($AC$6:AC351,"Yes"),"")</f>
        <v/>
      </c>
    </row>
    <row r="352" spans="1:43">
      <c r="A352" s="249"/>
      <c r="B352" s="249"/>
      <c r="C352" s="249"/>
      <c r="D352" s="249"/>
      <c r="E352" s="249"/>
      <c r="F352" s="249"/>
      <c r="G352" s="249"/>
      <c r="H352" s="249"/>
      <c r="I352" s="249"/>
      <c r="J352" s="249"/>
      <c r="K352" s="249"/>
      <c r="L352" s="249"/>
      <c r="M352" s="249"/>
      <c r="N352" s="249"/>
      <c r="O352" s="249"/>
      <c r="P352" s="537"/>
      <c r="Q352" s="537"/>
      <c r="R352" s="537"/>
      <c r="S352" s="538" t="str">
        <f t="shared" ca="1" si="14"/>
        <v/>
      </c>
      <c r="T352" s="538" t="str">
        <f t="shared" ca="1" si="15"/>
        <v/>
      </c>
      <c r="U352" s="249"/>
      <c r="V352" s="249"/>
      <c r="W352" s="249"/>
      <c r="X352" s="249"/>
      <c r="Y352" s="249"/>
      <c r="Z352" s="249"/>
      <c r="AA352" s="249"/>
      <c r="AB352" s="249"/>
      <c r="AC352" s="249"/>
      <c r="AD352" s="249"/>
      <c r="AE352" s="249"/>
      <c r="AF352" s="249"/>
      <c r="AG352" s="249"/>
      <c r="AH352" s="249"/>
      <c r="AI352" s="249"/>
      <c r="AJ352" s="249"/>
      <c r="AK352" s="249"/>
      <c r="AL352" s="249"/>
      <c r="AM352" s="249"/>
      <c r="AN352" s="537"/>
      <c r="AO352" s="249" t="str">
        <f>IF(Z352="Yes",COUNTIF($Z$6:Z352,"Yes"),"")</f>
        <v/>
      </c>
      <c r="AP352" s="249" t="str">
        <f>IF(AA352="Yes",COUNTIF($AA$6:AA352,"Yes"),"")</f>
        <v/>
      </c>
      <c r="AQ352" s="249" t="str">
        <f>IF(AC352="Yes",COUNTIF($AC$6:AC352,"Yes"),"")</f>
        <v/>
      </c>
    </row>
    <row r="353" spans="1:43">
      <c r="A353" s="249"/>
      <c r="B353" s="249"/>
      <c r="C353" s="249"/>
      <c r="D353" s="249"/>
      <c r="E353" s="249"/>
      <c r="F353" s="249"/>
      <c r="G353" s="249"/>
      <c r="H353" s="249"/>
      <c r="I353" s="249"/>
      <c r="J353" s="249"/>
      <c r="K353" s="249"/>
      <c r="L353" s="249"/>
      <c r="M353" s="249"/>
      <c r="N353" s="249"/>
      <c r="O353" s="249"/>
      <c r="P353" s="537"/>
      <c r="Q353" s="537"/>
      <c r="R353" s="537"/>
      <c r="S353" s="538" t="str">
        <f t="shared" ca="1" si="14"/>
        <v/>
      </c>
      <c r="T353" s="538" t="str">
        <f t="shared" ca="1" si="15"/>
        <v/>
      </c>
      <c r="U353" s="249"/>
      <c r="V353" s="249"/>
      <c r="W353" s="249"/>
      <c r="X353" s="249"/>
      <c r="Y353" s="249"/>
      <c r="Z353" s="249"/>
      <c r="AA353" s="249"/>
      <c r="AB353" s="249"/>
      <c r="AC353" s="249"/>
      <c r="AD353" s="249"/>
      <c r="AE353" s="249"/>
      <c r="AF353" s="249"/>
      <c r="AG353" s="249"/>
      <c r="AH353" s="249"/>
      <c r="AI353" s="249"/>
      <c r="AJ353" s="249"/>
      <c r="AK353" s="249"/>
      <c r="AL353" s="249"/>
      <c r="AM353" s="249"/>
      <c r="AN353" s="537"/>
      <c r="AO353" s="249" t="str">
        <f>IF(Z353="Yes",COUNTIF($Z$6:Z353,"Yes"),"")</f>
        <v/>
      </c>
      <c r="AP353" s="249" t="str">
        <f>IF(AA353="Yes",COUNTIF($AA$6:AA353,"Yes"),"")</f>
        <v/>
      </c>
      <c r="AQ353" s="249" t="str">
        <f>IF(AC353="Yes",COUNTIF($AC$6:AC353,"Yes"),"")</f>
        <v/>
      </c>
    </row>
    <row r="354" spans="1:43">
      <c r="A354" s="249"/>
      <c r="B354" s="249"/>
      <c r="C354" s="249"/>
      <c r="D354" s="249"/>
      <c r="E354" s="249"/>
      <c r="F354" s="249"/>
      <c r="G354" s="249"/>
      <c r="H354" s="249"/>
      <c r="I354" s="249"/>
      <c r="J354" s="249"/>
      <c r="K354" s="249"/>
      <c r="L354" s="249"/>
      <c r="M354" s="249"/>
      <c r="N354" s="249"/>
      <c r="O354" s="249"/>
      <c r="P354" s="537"/>
      <c r="Q354" s="537"/>
      <c r="R354" s="537"/>
      <c r="S354" s="538" t="str">
        <f t="shared" ca="1" si="14"/>
        <v/>
      </c>
      <c r="T354" s="538" t="str">
        <f t="shared" ca="1" si="15"/>
        <v/>
      </c>
      <c r="U354" s="249"/>
      <c r="V354" s="249"/>
      <c r="W354" s="249"/>
      <c r="X354" s="249"/>
      <c r="Y354" s="249"/>
      <c r="Z354" s="249"/>
      <c r="AA354" s="249"/>
      <c r="AB354" s="249"/>
      <c r="AC354" s="249"/>
      <c r="AD354" s="249"/>
      <c r="AE354" s="249"/>
      <c r="AF354" s="249"/>
      <c r="AG354" s="249"/>
      <c r="AH354" s="249"/>
      <c r="AI354" s="249"/>
      <c r="AJ354" s="249"/>
      <c r="AK354" s="249"/>
      <c r="AL354" s="249"/>
      <c r="AM354" s="249"/>
      <c r="AN354" s="537"/>
      <c r="AO354" s="249" t="str">
        <f>IF(Z354="Yes",COUNTIF($Z$6:Z354,"Yes"),"")</f>
        <v/>
      </c>
      <c r="AP354" s="249" t="str">
        <f>IF(AA354="Yes",COUNTIF($AA$6:AA354,"Yes"),"")</f>
        <v/>
      </c>
      <c r="AQ354" s="249" t="str">
        <f>IF(AC354="Yes",COUNTIF($AC$6:AC354,"Yes"),"")</f>
        <v/>
      </c>
    </row>
    <row r="355" spans="1:43">
      <c r="A355" s="249"/>
      <c r="B355" s="249"/>
      <c r="C355" s="249"/>
      <c r="D355" s="249"/>
      <c r="E355" s="249"/>
      <c r="F355" s="249"/>
      <c r="G355" s="249"/>
      <c r="H355" s="249"/>
      <c r="I355" s="249"/>
      <c r="J355" s="249"/>
      <c r="K355" s="249"/>
      <c r="L355" s="249"/>
      <c r="M355" s="249"/>
      <c r="N355" s="249"/>
      <c r="O355" s="249"/>
      <c r="P355" s="537"/>
      <c r="Q355" s="537"/>
      <c r="R355" s="537"/>
      <c r="S355" s="538" t="str">
        <f t="shared" ca="1" si="14"/>
        <v/>
      </c>
      <c r="T355" s="538" t="str">
        <f t="shared" ca="1" si="15"/>
        <v/>
      </c>
      <c r="U355" s="249"/>
      <c r="V355" s="249"/>
      <c r="W355" s="249"/>
      <c r="X355" s="249"/>
      <c r="Y355" s="249"/>
      <c r="Z355" s="249"/>
      <c r="AA355" s="249"/>
      <c r="AB355" s="249"/>
      <c r="AC355" s="249"/>
      <c r="AD355" s="249"/>
      <c r="AE355" s="249"/>
      <c r="AF355" s="249"/>
      <c r="AG355" s="249"/>
      <c r="AH355" s="249"/>
      <c r="AI355" s="249"/>
      <c r="AJ355" s="249"/>
      <c r="AK355" s="249"/>
      <c r="AL355" s="249"/>
      <c r="AM355" s="249"/>
      <c r="AN355" s="537"/>
      <c r="AO355" s="249" t="str">
        <f>IF(Z355="Yes",COUNTIF($Z$6:Z355,"Yes"),"")</f>
        <v/>
      </c>
      <c r="AP355" s="249" t="str">
        <f>IF(AA355="Yes",COUNTIF($AA$6:AA355,"Yes"),"")</f>
        <v/>
      </c>
      <c r="AQ355" s="249" t="str">
        <f>IF(AC355="Yes",COUNTIF($AC$6:AC355,"Yes"),"")</f>
        <v/>
      </c>
    </row>
    <row r="356" spans="1:43">
      <c r="A356" s="249"/>
      <c r="B356" s="249"/>
      <c r="C356" s="249"/>
      <c r="D356" s="249"/>
      <c r="E356" s="249"/>
      <c r="F356" s="249"/>
      <c r="G356" s="249"/>
      <c r="H356" s="249"/>
      <c r="I356" s="249"/>
      <c r="J356" s="249"/>
      <c r="K356" s="249"/>
      <c r="L356" s="249"/>
      <c r="M356" s="249"/>
      <c r="N356" s="249"/>
      <c r="O356" s="249"/>
      <c r="P356" s="537"/>
      <c r="Q356" s="537"/>
      <c r="R356" s="537"/>
      <c r="S356" s="538" t="str">
        <f t="shared" ca="1" si="14"/>
        <v/>
      </c>
      <c r="T356" s="538" t="str">
        <f t="shared" ca="1" si="15"/>
        <v/>
      </c>
      <c r="U356" s="249"/>
      <c r="V356" s="249"/>
      <c r="W356" s="249"/>
      <c r="X356" s="249"/>
      <c r="Y356" s="249"/>
      <c r="Z356" s="249"/>
      <c r="AA356" s="249"/>
      <c r="AB356" s="249"/>
      <c r="AC356" s="249"/>
      <c r="AD356" s="249"/>
      <c r="AE356" s="249"/>
      <c r="AF356" s="249"/>
      <c r="AG356" s="249"/>
      <c r="AH356" s="249"/>
      <c r="AI356" s="249"/>
      <c r="AJ356" s="249"/>
      <c r="AK356" s="249"/>
      <c r="AL356" s="249"/>
      <c r="AM356" s="249"/>
      <c r="AN356" s="537"/>
      <c r="AO356" s="249" t="str">
        <f>IF(Z356="Yes",COUNTIF($Z$6:Z356,"Yes"),"")</f>
        <v/>
      </c>
      <c r="AP356" s="249" t="str">
        <f>IF(AA356="Yes",COUNTIF($AA$6:AA356,"Yes"),"")</f>
        <v/>
      </c>
      <c r="AQ356" s="249" t="str">
        <f>IF(AC356="Yes",COUNTIF($AC$6:AC356,"Yes"),"")</f>
        <v/>
      </c>
    </row>
    <row r="357" spans="1:43">
      <c r="A357" s="249"/>
      <c r="B357" s="249"/>
      <c r="C357" s="249"/>
      <c r="D357" s="249"/>
      <c r="E357" s="249"/>
      <c r="F357" s="249"/>
      <c r="G357" s="249"/>
      <c r="H357" s="249"/>
      <c r="I357" s="249"/>
      <c r="J357" s="249"/>
      <c r="K357" s="249"/>
      <c r="L357" s="249"/>
      <c r="M357" s="249"/>
      <c r="N357" s="249"/>
      <c r="O357" s="249"/>
      <c r="P357" s="537"/>
      <c r="Q357" s="537"/>
      <c r="R357" s="537"/>
      <c r="S357" s="538" t="str">
        <f t="shared" ca="1" si="14"/>
        <v/>
      </c>
      <c r="T357" s="538" t="str">
        <f t="shared" ca="1" si="15"/>
        <v/>
      </c>
      <c r="U357" s="249"/>
      <c r="V357" s="249"/>
      <c r="W357" s="249"/>
      <c r="X357" s="249"/>
      <c r="Y357" s="249"/>
      <c r="Z357" s="249"/>
      <c r="AA357" s="249"/>
      <c r="AB357" s="249"/>
      <c r="AC357" s="249"/>
      <c r="AD357" s="249"/>
      <c r="AE357" s="249"/>
      <c r="AF357" s="249"/>
      <c r="AG357" s="249"/>
      <c r="AH357" s="249"/>
      <c r="AI357" s="249"/>
      <c r="AJ357" s="249"/>
      <c r="AK357" s="249"/>
      <c r="AL357" s="249"/>
      <c r="AM357" s="249"/>
      <c r="AN357" s="537"/>
      <c r="AO357" s="249" t="str">
        <f>IF(Z357="Yes",COUNTIF($Z$6:Z357,"Yes"),"")</f>
        <v/>
      </c>
      <c r="AP357" s="249" t="str">
        <f>IF(AA357="Yes",COUNTIF($AA$6:AA357,"Yes"),"")</f>
        <v/>
      </c>
      <c r="AQ357" s="249" t="str">
        <f>IF(AC357="Yes",COUNTIF($AC$6:AC357,"Yes"),"")</f>
        <v/>
      </c>
    </row>
    <row r="358" spans="1:43">
      <c r="A358" s="249"/>
      <c r="B358" s="249"/>
      <c r="C358" s="249"/>
      <c r="D358" s="249"/>
      <c r="E358" s="249"/>
      <c r="F358" s="249"/>
      <c r="G358" s="249"/>
      <c r="H358" s="249"/>
      <c r="I358" s="249"/>
      <c r="J358" s="249"/>
      <c r="K358" s="249"/>
      <c r="L358" s="249"/>
      <c r="M358" s="249"/>
      <c r="N358" s="249"/>
      <c r="O358" s="249"/>
      <c r="P358" s="537"/>
      <c r="Q358" s="537"/>
      <c r="R358" s="537"/>
      <c r="S358" s="538" t="str">
        <f t="shared" ca="1" si="14"/>
        <v/>
      </c>
      <c r="T358" s="538" t="str">
        <f t="shared" ca="1" si="15"/>
        <v/>
      </c>
      <c r="U358" s="249"/>
      <c r="V358" s="249"/>
      <c r="W358" s="249"/>
      <c r="X358" s="249"/>
      <c r="Y358" s="249"/>
      <c r="Z358" s="249"/>
      <c r="AA358" s="249"/>
      <c r="AB358" s="249"/>
      <c r="AC358" s="249"/>
      <c r="AD358" s="249"/>
      <c r="AE358" s="249"/>
      <c r="AF358" s="249"/>
      <c r="AG358" s="249"/>
      <c r="AH358" s="249"/>
      <c r="AI358" s="249"/>
      <c r="AJ358" s="249"/>
      <c r="AK358" s="249"/>
      <c r="AL358" s="249"/>
      <c r="AM358" s="249"/>
      <c r="AN358" s="537"/>
      <c r="AO358" s="249" t="str">
        <f>IF(Z358="Yes",COUNTIF($Z$6:Z358,"Yes"),"")</f>
        <v/>
      </c>
      <c r="AP358" s="249" t="str">
        <f>IF(AA358="Yes",COUNTIF($AA$6:AA358,"Yes"),"")</f>
        <v/>
      </c>
      <c r="AQ358" s="249" t="str">
        <f>IF(AC358="Yes",COUNTIF($AC$6:AC358,"Yes"),"")</f>
        <v/>
      </c>
    </row>
    <row r="359" spans="1:43">
      <c r="A359" s="249"/>
      <c r="B359" s="249"/>
      <c r="C359" s="249"/>
      <c r="D359" s="249"/>
      <c r="E359" s="249"/>
      <c r="F359" s="249"/>
      <c r="G359" s="249"/>
      <c r="H359" s="249"/>
      <c r="I359" s="249"/>
      <c r="J359" s="249"/>
      <c r="K359" s="249"/>
      <c r="L359" s="249"/>
      <c r="M359" s="249"/>
      <c r="N359" s="249"/>
      <c r="O359" s="249"/>
      <c r="P359" s="537"/>
      <c r="Q359" s="537"/>
      <c r="R359" s="537"/>
      <c r="S359" s="538" t="str">
        <f t="shared" ca="1" si="14"/>
        <v/>
      </c>
      <c r="T359" s="538" t="str">
        <f t="shared" ca="1" si="15"/>
        <v/>
      </c>
      <c r="U359" s="249"/>
      <c r="V359" s="249"/>
      <c r="W359" s="249"/>
      <c r="X359" s="249"/>
      <c r="Y359" s="249"/>
      <c r="Z359" s="249"/>
      <c r="AA359" s="249"/>
      <c r="AB359" s="249"/>
      <c r="AC359" s="249"/>
      <c r="AD359" s="249"/>
      <c r="AE359" s="249"/>
      <c r="AF359" s="249"/>
      <c r="AG359" s="249"/>
      <c r="AH359" s="249"/>
      <c r="AI359" s="249"/>
      <c r="AJ359" s="249"/>
      <c r="AK359" s="249"/>
      <c r="AL359" s="249"/>
      <c r="AM359" s="249"/>
      <c r="AN359" s="537"/>
      <c r="AO359" s="249" t="str">
        <f>IF(Z359="Yes",COUNTIF($Z$6:Z359,"Yes"),"")</f>
        <v/>
      </c>
      <c r="AP359" s="249" t="str">
        <f>IF(AA359="Yes",COUNTIF($AA$6:AA359,"Yes"),"")</f>
        <v/>
      </c>
      <c r="AQ359" s="249" t="str">
        <f>IF(AC359="Yes",COUNTIF($AC$6:AC359,"Yes"),"")</f>
        <v/>
      </c>
    </row>
    <row r="360" spans="1:43">
      <c r="A360" s="249"/>
      <c r="B360" s="249"/>
      <c r="C360" s="249"/>
      <c r="D360" s="249"/>
      <c r="E360" s="249"/>
      <c r="F360" s="249"/>
      <c r="G360" s="249"/>
      <c r="H360" s="249"/>
      <c r="I360" s="249"/>
      <c r="J360" s="249"/>
      <c r="K360" s="249"/>
      <c r="L360" s="249"/>
      <c r="M360" s="249"/>
      <c r="N360" s="249"/>
      <c r="O360" s="249"/>
      <c r="P360" s="537"/>
      <c r="Q360" s="537"/>
      <c r="R360" s="537"/>
      <c r="S360" s="538" t="str">
        <f t="shared" ca="1" si="14"/>
        <v/>
      </c>
      <c r="T360" s="538" t="str">
        <f t="shared" ca="1" si="15"/>
        <v/>
      </c>
      <c r="U360" s="249"/>
      <c r="V360" s="249"/>
      <c r="W360" s="249"/>
      <c r="X360" s="249"/>
      <c r="Y360" s="249"/>
      <c r="Z360" s="249"/>
      <c r="AA360" s="249"/>
      <c r="AB360" s="249"/>
      <c r="AC360" s="249"/>
      <c r="AD360" s="249"/>
      <c r="AE360" s="249"/>
      <c r="AF360" s="249"/>
      <c r="AG360" s="249"/>
      <c r="AH360" s="249"/>
      <c r="AI360" s="249"/>
      <c r="AJ360" s="249"/>
      <c r="AK360" s="249"/>
      <c r="AL360" s="249"/>
      <c r="AM360" s="249"/>
      <c r="AN360" s="537"/>
      <c r="AO360" s="249" t="str">
        <f>IF(Z360="Yes",COUNTIF($Z$6:Z360,"Yes"),"")</f>
        <v/>
      </c>
      <c r="AP360" s="249" t="str">
        <f>IF(AA360="Yes",COUNTIF($AA$6:AA360,"Yes"),"")</f>
        <v/>
      </c>
      <c r="AQ360" s="249" t="str">
        <f>IF(AC360="Yes",COUNTIF($AC$6:AC360,"Yes"),"")</f>
        <v/>
      </c>
    </row>
    <row r="361" spans="1:43">
      <c r="A361" s="249"/>
      <c r="B361" s="249"/>
      <c r="C361" s="249"/>
      <c r="D361" s="249"/>
      <c r="E361" s="249"/>
      <c r="F361" s="249"/>
      <c r="G361" s="249"/>
      <c r="H361" s="249"/>
      <c r="I361" s="249"/>
      <c r="J361" s="249"/>
      <c r="K361" s="249"/>
      <c r="L361" s="249"/>
      <c r="M361" s="249"/>
      <c r="N361" s="249"/>
      <c r="O361" s="249"/>
      <c r="P361" s="537"/>
      <c r="Q361" s="537"/>
      <c r="R361" s="537"/>
      <c r="S361" s="538" t="str">
        <f t="shared" ca="1" si="14"/>
        <v/>
      </c>
      <c r="T361" s="538" t="str">
        <f t="shared" ca="1" si="15"/>
        <v/>
      </c>
      <c r="U361" s="249"/>
      <c r="V361" s="249"/>
      <c r="W361" s="249"/>
      <c r="X361" s="249"/>
      <c r="Y361" s="249"/>
      <c r="Z361" s="249"/>
      <c r="AA361" s="249"/>
      <c r="AB361" s="249"/>
      <c r="AC361" s="249"/>
      <c r="AD361" s="249"/>
      <c r="AE361" s="249"/>
      <c r="AF361" s="249"/>
      <c r="AG361" s="249"/>
      <c r="AH361" s="249"/>
      <c r="AI361" s="249"/>
      <c r="AJ361" s="249"/>
      <c r="AK361" s="249"/>
      <c r="AL361" s="249"/>
      <c r="AM361" s="249"/>
      <c r="AN361" s="537"/>
      <c r="AO361" s="249" t="str">
        <f>IF(Z361="Yes",COUNTIF($Z$6:Z361,"Yes"),"")</f>
        <v/>
      </c>
      <c r="AP361" s="249" t="str">
        <f>IF(AA361="Yes",COUNTIF($AA$6:AA361,"Yes"),"")</f>
        <v/>
      </c>
      <c r="AQ361" s="249" t="str">
        <f>IF(AC361="Yes",COUNTIF($AC$6:AC361,"Yes"),"")</f>
        <v/>
      </c>
    </row>
    <row r="362" spans="1:43">
      <c r="A362" s="249"/>
      <c r="B362" s="249"/>
      <c r="C362" s="249"/>
      <c r="D362" s="249"/>
      <c r="E362" s="249"/>
      <c r="F362" s="249"/>
      <c r="G362" s="249"/>
      <c r="H362" s="249"/>
      <c r="I362" s="249"/>
      <c r="J362" s="249"/>
      <c r="K362" s="249"/>
      <c r="L362" s="249"/>
      <c r="M362" s="249"/>
      <c r="N362" s="249"/>
      <c r="O362" s="249"/>
      <c r="P362" s="537"/>
      <c r="Q362" s="537"/>
      <c r="R362" s="537"/>
      <c r="S362" s="538" t="str">
        <f t="shared" ca="1" si="14"/>
        <v/>
      </c>
      <c r="T362" s="538" t="str">
        <f t="shared" ca="1" si="15"/>
        <v/>
      </c>
      <c r="U362" s="249"/>
      <c r="V362" s="249"/>
      <c r="W362" s="249"/>
      <c r="X362" s="249"/>
      <c r="Y362" s="249"/>
      <c r="Z362" s="249"/>
      <c r="AA362" s="249"/>
      <c r="AB362" s="249"/>
      <c r="AC362" s="249"/>
      <c r="AD362" s="249"/>
      <c r="AE362" s="249"/>
      <c r="AF362" s="249"/>
      <c r="AG362" s="249"/>
      <c r="AH362" s="249"/>
      <c r="AI362" s="249"/>
      <c r="AJ362" s="249"/>
      <c r="AK362" s="249"/>
      <c r="AL362" s="249"/>
      <c r="AM362" s="249"/>
      <c r="AN362" s="537"/>
      <c r="AO362" s="249" t="str">
        <f>IF(Z362="Yes",COUNTIF($Z$6:Z362,"Yes"),"")</f>
        <v/>
      </c>
      <c r="AP362" s="249" t="str">
        <f>IF(AA362="Yes",COUNTIF($AA$6:AA362,"Yes"),"")</f>
        <v/>
      </c>
      <c r="AQ362" s="249" t="str">
        <f>IF(AC362="Yes",COUNTIF($AC$6:AC362,"Yes"),"")</f>
        <v/>
      </c>
    </row>
    <row r="363" spans="1:43">
      <c r="A363" s="249"/>
      <c r="B363" s="249"/>
      <c r="C363" s="249"/>
      <c r="D363" s="249"/>
      <c r="E363" s="249"/>
      <c r="F363" s="249"/>
      <c r="G363" s="249"/>
      <c r="H363" s="249"/>
      <c r="I363" s="249"/>
      <c r="J363" s="249"/>
      <c r="K363" s="249"/>
      <c r="L363" s="249"/>
      <c r="M363" s="249"/>
      <c r="N363" s="249"/>
      <c r="O363" s="249"/>
      <c r="P363" s="537"/>
      <c r="Q363" s="537"/>
      <c r="R363" s="537"/>
      <c r="S363" s="538" t="str">
        <f t="shared" ca="1" si="14"/>
        <v/>
      </c>
      <c r="T363" s="538" t="str">
        <f t="shared" ca="1" si="15"/>
        <v/>
      </c>
      <c r="U363" s="249"/>
      <c r="V363" s="249"/>
      <c r="W363" s="249"/>
      <c r="X363" s="249"/>
      <c r="Y363" s="249"/>
      <c r="Z363" s="249"/>
      <c r="AA363" s="249"/>
      <c r="AB363" s="249"/>
      <c r="AC363" s="249"/>
      <c r="AD363" s="249"/>
      <c r="AE363" s="249"/>
      <c r="AF363" s="249"/>
      <c r="AG363" s="249"/>
      <c r="AH363" s="249"/>
      <c r="AI363" s="249"/>
      <c r="AJ363" s="249"/>
      <c r="AK363" s="249"/>
      <c r="AL363" s="249"/>
      <c r="AM363" s="249"/>
      <c r="AN363" s="537"/>
      <c r="AO363" s="249" t="str">
        <f>IF(Z363="Yes",COUNTIF($Z$6:Z363,"Yes"),"")</f>
        <v/>
      </c>
      <c r="AP363" s="249" t="str">
        <f>IF(AA363="Yes",COUNTIF($AA$6:AA363,"Yes"),"")</f>
        <v/>
      </c>
      <c r="AQ363" s="249" t="str">
        <f>IF(AC363="Yes",COUNTIF($AC$6:AC363,"Yes"),"")</f>
        <v/>
      </c>
    </row>
    <row r="364" spans="1:43">
      <c r="A364" s="249"/>
      <c r="B364" s="249"/>
      <c r="C364" s="249"/>
      <c r="D364" s="249"/>
      <c r="E364" s="249"/>
      <c r="F364" s="249"/>
      <c r="G364" s="249"/>
      <c r="H364" s="249"/>
      <c r="I364" s="249"/>
      <c r="J364" s="249"/>
      <c r="K364" s="249"/>
      <c r="L364" s="249"/>
      <c r="M364" s="249"/>
      <c r="N364" s="249"/>
      <c r="O364" s="249"/>
      <c r="P364" s="537"/>
      <c r="Q364" s="537"/>
      <c r="R364" s="537"/>
      <c r="S364" s="538" t="str">
        <f t="shared" ca="1" si="14"/>
        <v/>
      </c>
      <c r="T364" s="538" t="str">
        <f t="shared" ca="1" si="15"/>
        <v/>
      </c>
      <c r="U364" s="249"/>
      <c r="V364" s="249"/>
      <c r="W364" s="249"/>
      <c r="X364" s="249"/>
      <c r="Y364" s="249"/>
      <c r="Z364" s="249"/>
      <c r="AA364" s="249"/>
      <c r="AB364" s="249"/>
      <c r="AC364" s="249"/>
      <c r="AD364" s="249"/>
      <c r="AE364" s="249"/>
      <c r="AF364" s="249"/>
      <c r="AG364" s="249"/>
      <c r="AH364" s="249"/>
      <c r="AI364" s="249"/>
      <c r="AJ364" s="249"/>
      <c r="AK364" s="249"/>
      <c r="AL364" s="249"/>
      <c r="AM364" s="249"/>
      <c r="AN364" s="537"/>
      <c r="AO364" s="249" t="str">
        <f>IF(Z364="Yes",COUNTIF($Z$6:Z364,"Yes"),"")</f>
        <v/>
      </c>
      <c r="AP364" s="249" t="str">
        <f>IF(AA364="Yes",COUNTIF($AA$6:AA364,"Yes"),"")</f>
        <v/>
      </c>
      <c r="AQ364" s="249" t="str">
        <f>IF(AC364="Yes",COUNTIF($AC$6:AC364,"Yes"),"")</f>
        <v/>
      </c>
    </row>
    <row r="365" spans="1:43">
      <c r="A365" s="249"/>
      <c r="B365" s="249"/>
      <c r="C365" s="249"/>
      <c r="D365" s="249"/>
      <c r="E365" s="249"/>
      <c r="F365" s="249"/>
      <c r="G365" s="249"/>
      <c r="H365" s="249"/>
      <c r="I365" s="249"/>
      <c r="J365" s="249"/>
      <c r="K365" s="249"/>
      <c r="L365" s="249"/>
      <c r="M365" s="249"/>
      <c r="N365" s="249"/>
      <c r="O365" s="249"/>
      <c r="P365" s="537"/>
      <c r="Q365" s="537"/>
      <c r="R365" s="537"/>
      <c r="S365" s="538" t="str">
        <f t="shared" ca="1" si="14"/>
        <v/>
      </c>
      <c r="T365" s="538" t="str">
        <f t="shared" ca="1" si="15"/>
        <v/>
      </c>
      <c r="U365" s="249"/>
      <c r="V365" s="249"/>
      <c r="W365" s="249"/>
      <c r="X365" s="249"/>
      <c r="Y365" s="249"/>
      <c r="Z365" s="249"/>
      <c r="AA365" s="249"/>
      <c r="AB365" s="249"/>
      <c r="AC365" s="249"/>
      <c r="AD365" s="249"/>
      <c r="AE365" s="249"/>
      <c r="AF365" s="249"/>
      <c r="AG365" s="249"/>
      <c r="AH365" s="249"/>
      <c r="AI365" s="249"/>
      <c r="AJ365" s="249"/>
      <c r="AK365" s="249"/>
      <c r="AL365" s="249"/>
      <c r="AM365" s="249"/>
      <c r="AN365" s="537"/>
      <c r="AO365" s="249" t="str">
        <f>IF(Z365="Yes",COUNTIF($Z$6:Z365,"Yes"),"")</f>
        <v/>
      </c>
      <c r="AP365" s="249" t="str">
        <f>IF(AA365="Yes",COUNTIF($AA$6:AA365,"Yes"),"")</f>
        <v/>
      </c>
      <c r="AQ365" s="249" t="str">
        <f>IF(AC365="Yes",COUNTIF($AC$6:AC365,"Yes"),"")</f>
        <v/>
      </c>
    </row>
    <row r="366" spans="1:43">
      <c r="A366" s="249"/>
      <c r="B366" s="249"/>
      <c r="C366" s="249"/>
      <c r="D366" s="249"/>
      <c r="E366" s="249"/>
      <c r="F366" s="249"/>
      <c r="G366" s="249"/>
      <c r="H366" s="249"/>
      <c r="I366" s="249"/>
      <c r="J366" s="249"/>
      <c r="K366" s="249"/>
      <c r="L366" s="249"/>
      <c r="M366" s="249"/>
      <c r="N366" s="249"/>
      <c r="O366" s="249"/>
      <c r="P366" s="537"/>
      <c r="Q366" s="537"/>
      <c r="R366" s="537"/>
      <c r="S366" s="538" t="str">
        <f t="shared" ca="1" si="14"/>
        <v/>
      </c>
      <c r="T366" s="538" t="str">
        <f t="shared" ca="1" si="15"/>
        <v/>
      </c>
      <c r="U366" s="249"/>
      <c r="V366" s="249"/>
      <c r="W366" s="249"/>
      <c r="X366" s="249"/>
      <c r="Y366" s="249"/>
      <c r="Z366" s="249"/>
      <c r="AA366" s="249"/>
      <c r="AB366" s="249"/>
      <c r="AC366" s="249"/>
      <c r="AD366" s="249"/>
      <c r="AE366" s="249"/>
      <c r="AF366" s="249"/>
      <c r="AG366" s="249"/>
      <c r="AH366" s="249"/>
      <c r="AI366" s="249"/>
      <c r="AJ366" s="249"/>
      <c r="AK366" s="249"/>
      <c r="AL366" s="249"/>
      <c r="AM366" s="249"/>
      <c r="AN366" s="537"/>
      <c r="AO366" s="249" t="str">
        <f>IF(Z366="Yes",COUNTIF($Z$6:Z366,"Yes"),"")</f>
        <v/>
      </c>
      <c r="AP366" s="249" t="str">
        <f>IF(AA366="Yes",COUNTIF($AA$6:AA366,"Yes"),"")</f>
        <v/>
      </c>
      <c r="AQ366" s="249" t="str">
        <f>IF(AC366="Yes",COUNTIF($AC$6:AC366,"Yes"),"")</f>
        <v/>
      </c>
    </row>
    <row r="367" spans="1:43">
      <c r="A367" s="249"/>
      <c r="B367" s="249"/>
      <c r="C367" s="249"/>
      <c r="D367" s="249"/>
      <c r="E367" s="249"/>
      <c r="F367" s="249"/>
      <c r="G367" s="249"/>
      <c r="H367" s="249"/>
      <c r="I367" s="249"/>
      <c r="J367" s="249"/>
      <c r="K367" s="249"/>
      <c r="L367" s="249"/>
      <c r="M367" s="249"/>
      <c r="N367" s="249"/>
      <c r="O367" s="249"/>
      <c r="P367" s="537"/>
      <c r="Q367" s="537"/>
      <c r="R367" s="537"/>
      <c r="S367" s="538" t="str">
        <f t="shared" ca="1" si="14"/>
        <v/>
      </c>
      <c r="T367" s="538" t="str">
        <f t="shared" ca="1" si="15"/>
        <v/>
      </c>
      <c r="U367" s="249"/>
      <c r="V367" s="249"/>
      <c r="W367" s="249"/>
      <c r="X367" s="249"/>
      <c r="Y367" s="249"/>
      <c r="Z367" s="249"/>
      <c r="AA367" s="249"/>
      <c r="AB367" s="249"/>
      <c r="AC367" s="249"/>
      <c r="AD367" s="249"/>
      <c r="AE367" s="249"/>
      <c r="AF367" s="249"/>
      <c r="AG367" s="249"/>
      <c r="AH367" s="249"/>
      <c r="AI367" s="249"/>
      <c r="AJ367" s="249"/>
      <c r="AK367" s="249"/>
      <c r="AL367" s="249"/>
      <c r="AM367" s="249"/>
      <c r="AN367" s="537"/>
      <c r="AO367" s="249" t="str">
        <f>IF(Z367="Yes",COUNTIF($Z$6:Z367,"Yes"),"")</f>
        <v/>
      </c>
      <c r="AP367" s="249" t="str">
        <f>IF(AA367="Yes",COUNTIF($AA$6:AA367,"Yes"),"")</f>
        <v/>
      </c>
      <c r="AQ367" s="249" t="str">
        <f>IF(AC367="Yes",COUNTIF($AC$6:AC367,"Yes"),"")</f>
        <v/>
      </c>
    </row>
    <row r="368" spans="1:43">
      <c r="A368" s="249"/>
      <c r="B368" s="249"/>
      <c r="C368" s="249"/>
      <c r="D368" s="249"/>
      <c r="E368" s="249"/>
      <c r="F368" s="249"/>
      <c r="G368" s="249"/>
      <c r="H368" s="249"/>
      <c r="I368" s="249"/>
      <c r="J368" s="249"/>
      <c r="K368" s="249"/>
      <c r="L368" s="249"/>
      <c r="M368" s="249"/>
      <c r="N368" s="249"/>
      <c r="O368" s="249"/>
      <c r="P368" s="537"/>
      <c r="Q368" s="537"/>
      <c r="R368" s="537"/>
      <c r="S368" s="538" t="str">
        <f t="shared" ca="1" si="14"/>
        <v/>
      </c>
      <c r="T368" s="538" t="str">
        <f t="shared" ca="1" si="15"/>
        <v/>
      </c>
      <c r="U368" s="249"/>
      <c r="V368" s="249"/>
      <c r="W368" s="249"/>
      <c r="X368" s="249"/>
      <c r="Y368" s="249"/>
      <c r="Z368" s="249"/>
      <c r="AA368" s="249"/>
      <c r="AB368" s="249"/>
      <c r="AC368" s="249"/>
      <c r="AD368" s="249"/>
      <c r="AE368" s="249"/>
      <c r="AF368" s="249"/>
      <c r="AG368" s="249"/>
      <c r="AH368" s="249"/>
      <c r="AI368" s="249"/>
      <c r="AJ368" s="249"/>
      <c r="AK368" s="249"/>
      <c r="AL368" s="249"/>
      <c r="AM368" s="249"/>
      <c r="AN368" s="537"/>
      <c r="AO368" s="249" t="str">
        <f>IF(Z368="Yes",COUNTIF($Z$6:Z368,"Yes"),"")</f>
        <v/>
      </c>
      <c r="AP368" s="249" t="str">
        <f>IF(AA368="Yes",COUNTIF($AA$6:AA368,"Yes"),"")</f>
        <v/>
      </c>
      <c r="AQ368" s="249" t="str">
        <f>IF(AC368="Yes",COUNTIF($AC$6:AC368,"Yes"),"")</f>
        <v/>
      </c>
    </row>
    <row r="369" spans="1:43">
      <c r="A369" s="249"/>
      <c r="B369" s="249"/>
      <c r="C369" s="249"/>
      <c r="D369" s="249"/>
      <c r="E369" s="249"/>
      <c r="F369" s="249"/>
      <c r="G369" s="249"/>
      <c r="H369" s="249"/>
      <c r="I369" s="249"/>
      <c r="J369" s="249"/>
      <c r="K369" s="249"/>
      <c r="L369" s="249"/>
      <c r="M369" s="249"/>
      <c r="N369" s="249"/>
      <c r="O369" s="249"/>
      <c r="P369" s="537"/>
      <c r="Q369" s="537"/>
      <c r="R369" s="537"/>
      <c r="S369" s="538" t="str">
        <f t="shared" ca="1" si="14"/>
        <v/>
      </c>
      <c r="T369" s="538" t="str">
        <f t="shared" ca="1" si="15"/>
        <v/>
      </c>
      <c r="U369" s="249"/>
      <c r="V369" s="249"/>
      <c r="W369" s="249"/>
      <c r="X369" s="249"/>
      <c r="Y369" s="249"/>
      <c r="Z369" s="249"/>
      <c r="AA369" s="249"/>
      <c r="AB369" s="249"/>
      <c r="AC369" s="249"/>
      <c r="AD369" s="249"/>
      <c r="AE369" s="249"/>
      <c r="AF369" s="249"/>
      <c r="AG369" s="249"/>
      <c r="AH369" s="249"/>
      <c r="AI369" s="249"/>
      <c r="AJ369" s="249"/>
      <c r="AK369" s="249"/>
      <c r="AL369" s="249"/>
      <c r="AM369" s="249"/>
      <c r="AN369" s="537"/>
      <c r="AO369" s="249" t="str">
        <f>IF(Z369="Yes",COUNTIF($Z$6:Z369,"Yes"),"")</f>
        <v/>
      </c>
      <c r="AP369" s="249" t="str">
        <f>IF(AA369="Yes",COUNTIF($AA$6:AA369,"Yes"),"")</f>
        <v/>
      </c>
      <c r="AQ369" s="249" t="str">
        <f>IF(AC369="Yes",COUNTIF($AC$6:AC369,"Yes"),"")</f>
        <v/>
      </c>
    </row>
    <row r="370" spans="1:43">
      <c r="A370" s="249"/>
      <c r="B370" s="249"/>
      <c r="C370" s="249"/>
      <c r="D370" s="249"/>
      <c r="E370" s="249"/>
      <c r="F370" s="249"/>
      <c r="G370" s="249"/>
      <c r="H370" s="249"/>
      <c r="I370" s="249"/>
      <c r="J370" s="249"/>
      <c r="K370" s="249"/>
      <c r="L370" s="249"/>
      <c r="M370" s="249"/>
      <c r="N370" s="249"/>
      <c r="O370" s="249"/>
      <c r="P370" s="537"/>
      <c r="Q370" s="537"/>
      <c r="R370" s="537"/>
      <c r="S370" s="538" t="str">
        <f t="shared" ca="1" si="14"/>
        <v/>
      </c>
      <c r="T370" s="538" t="str">
        <f t="shared" ca="1" si="15"/>
        <v/>
      </c>
      <c r="U370" s="249"/>
      <c r="V370" s="249"/>
      <c r="W370" s="249"/>
      <c r="X370" s="249"/>
      <c r="Y370" s="249"/>
      <c r="Z370" s="249"/>
      <c r="AA370" s="249"/>
      <c r="AB370" s="249"/>
      <c r="AC370" s="249"/>
      <c r="AD370" s="249"/>
      <c r="AE370" s="249"/>
      <c r="AF370" s="249"/>
      <c r="AG370" s="249"/>
      <c r="AH370" s="249"/>
      <c r="AI370" s="249"/>
      <c r="AJ370" s="249"/>
      <c r="AK370" s="249"/>
      <c r="AL370" s="249"/>
      <c r="AM370" s="249"/>
      <c r="AN370" s="537"/>
      <c r="AO370" s="249" t="str">
        <f>IF(Z370="Yes",COUNTIF($Z$6:Z370,"Yes"),"")</f>
        <v/>
      </c>
      <c r="AP370" s="249" t="str">
        <f>IF(AA370="Yes",COUNTIF($AA$6:AA370,"Yes"),"")</f>
        <v/>
      </c>
      <c r="AQ370" s="249" t="str">
        <f>IF(AC370="Yes",COUNTIF($AC$6:AC370,"Yes"),"")</f>
        <v/>
      </c>
    </row>
    <row r="371" spans="1:43">
      <c r="A371" s="249"/>
      <c r="B371" s="249"/>
      <c r="C371" s="249"/>
      <c r="D371" s="249"/>
      <c r="E371" s="249"/>
      <c r="F371" s="249"/>
      <c r="G371" s="249"/>
      <c r="H371" s="249"/>
      <c r="I371" s="249"/>
      <c r="J371" s="249"/>
      <c r="K371" s="249"/>
      <c r="L371" s="249"/>
      <c r="M371" s="249"/>
      <c r="N371" s="249"/>
      <c r="O371" s="249"/>
      <c r="P371" s="537"/>
      <c r="Q371" s="537"/>
      <c r="R371" s="537"/>
      <c r="S371" s="538" t="str">
        <f t="shared" ca="1" si="14"/>
        <v/>
      </c>
      <c r="T371" s="538" t="str">
        <f t="shared" ca="1" si="15"/>
        <v/>
      </c>
      <c r="U371" s="249"/>
      <c r="V371" s="249"/>
      <c r="W371" s="249"/>
      <c r="X371" s="249"/>
      <c r="Y371" s="249"/>
      <c r="Z371" s="249"/>
      <c r="AA371" s="249"/>
      <c r="AB371" s="249"/>
      <c r="AC371" s="249"/>
      <c r="AD371" s="249"/>
      <c r="AE371" s="249"/>
      <c r="AF371" s="249"/>
      <c r="AG371" s="249"/>
      <c r="AH371" s="249"/>
      <c r="AI371" s="249"/>
      <c r="AJ371" s="249"/>
      <c r="AK371" s="249"/>
      <c r="AL371" s="249"/>
      <c r="AM371" s="249"/>
      <c r="AN371" s="537"/>
      <c r="AO371" s="249" t="str">
        <f>IF(Z371="Yes",COUNTIF($Z$6:Z371,"Yes"),"")</f>
        <v/>
      </c>
      <c r="AP371" s="249" t="str">
        <f>IF(AA371="Yes",COUNTIF($AA$6:AA371,"Yes"),"")</f>
        <v/>
      </c>
      <c r="AQ371" s="249" t="str">
        <f>IF(AC371="Yes",COUNTIF($AC$6:AC371,"Yes"),"")</f>
        <v/>
      </c>
    </row>
    <row r="372" spans="1:43">
      <c r="A372" s="249"/>
      <c r="B372" s="249"/>
      <c r="C372" s="249"/>
      <c r="D372" s="249"/>
      <c r="E372" s="249"/>
      <c r="F372" s="249"/>
      <c r="G372" s="249"/>
      <c r="H372" s="249"/>
      <c r="I372" s="249"/>
      <c r="J372" s="249"/>
      <c r="K372" s="249"/>
      <c r="L372" s="249"/>
      <c r="M372" s="249"/>
      <c r="N372" s="249"/>
      <c r="O372" s="249"/>
      <c r="P372" s="537"/>
      <c r="Q372" s="537"/>
      <c r="R372" s="537"/>
      <c r="S372" s="538" t="str">
        <f t="shared" ca="1" si="14"/>
        <v/>
      </c>
      <c r="T372" s="538" t="str">
        <f t="shared" ca="1" si="15"/>
        <v/>
      </c>
      <c r="U372" s="249"/>
      <c r="V372" s="249"/>
      <c r="W372" s="249"/>
      <c r="X372" s="249"/>
      <c r="Y372" s="249"/>
      <c r="Z372" s="249"/>
      <c r="AA372" s="249"/>
      <c r="AB372" s="249"/>
      <c r="AC372" s="249"/>
      <c r="AD372" s="249"/>
      <c r="AE372" s="249"/>
      <c r="AF372" s="249"/>
      <c r="AG372" s="249"/>
      <c r="AH372" s="249"/>
      <c r="AI372" s="249"/>
      <c r="AJ372" s="249"/>
      <c r="AK372" s="249"/>
      <c r="AL372" s="249"/>
      <c r="AM372" s="249"/>
      <c r="AN372" s="537"/>
      <c r="AO372" s="249" t="str">
        <f>IF(Z372="Yes",COUNTIF($Z$6:Z372,"Yes"),"")</f>
        <v/>
      </c>
      <c r="AP372" s="249" t="str">
        <f>IF(AA372="Yes",COUNTIF($AA$6:AA372,"Yes"),"")</f>
        <v/>
      </c>
      <c r="AQ372" s="249" t="str">
        <f>IF(AC372="Yes",COUNTIF($AC$6:AC372,"Yes"),"")</f>
        <v/>
      </c>
    </row>
    <row r="373" spans="1:43">
      <c r="A373" s="249"/>
      <c r="B373" s="249"/>
      <c r="C373" s="249"/>
      <c r="D373" s="249"/>
      <c r="E373" s="249"/>
      <c r="F373" s="249"/>
      <c r="G373" s="249"/>
      <c r="H373" s="249"/>
      <c r="I373" s="249"/>
      <c r="J373" s="249"/>
      <c r="K373" s="249"/>
      <c r="L373" s="249"/>
      <c r="M373" s="249"/>
      <c r="N373" s="249"/>
      <c r="O373" s="249"/>
      <c r="P373" s="537"/>
      <c r="Q373" s="537"/>
      <c r="R373" s="537"/>
      <c r="S373" s="538" t="str">
        <f t="shared" ca="1" si="14"/>
        <v/>
      </c>
      <c r="T373" s="538" t="str">
        <f t="shared" ca="1" si="15"/>
        <v/>
      </c>
      <c r="U373" s="249"/>
      <c r="V373" s="249"/>
      <c r="W373" s="249"/>
      <c r="X373" s="249"/>
      <c r="Y373" s="249"/>
      <c r="Z373" s="249"/>
      <c r="AA373" s="249"/>
      <c r="AB373" s="249"/>
      <c r="AC373" s="249"/>
      <c r="AD373" s="249"/>
      <c r="AE373" s="249"/>
      <c r="AF373" s="249"/>
      <c r="AG373" s="249"/>
      <c r="AH373" s="249"/>
      <c r="AI373" s="249"/>
      <c r="AJ373" s="249"/>
      <c r="AK373" s="249"/>
      <c r="AL373" s="249"/>
      <c r="AM373" s="249"/>
      <c r="AN373" s="537"/>
      <c r="AO373" s="249" t="str">
        <f>IF(Z373="Yes",COUNTIF($Z$6:Z373,"Yes"),"")</f>
        <v/>
      </c>
      <c r="AP373" s="249" t="str">
        <f>IF(AA373="Yes",COUNTIF($AA$6:AA373,"Yes"),"")</f>
        <v/>
      </c>
      <c r="AQ373" s="249" t="str">
        <f>IF(AC373="Yes",COUNTIF($AC$6:AC373,"Yes"),"")</f>
        <v/>
      </c>
    </row>
    <row r="374" spans="1:43">
      <c r="A374" s="249"/>
      <c r="B374" s="249"/>
      <c r="C374" s="249"/>
      <c r="D374" s="249"/>
      <c r="E374" s="249"/>
      <c r="F374" s="249"/>
      <c r="G374" s="249"/>
      <c r="H374" s="249"/>
      <c r="I374" s="249"/>
      <c r="J374" s="249"/>
      <c r="K374" s="249"/>
      <c r="L374" s="249"/>
      <c r="M374" s="249"/>
      <c r="N374" s="249"/>
      <c r="O374" s="249"/>
      <c r="P374" s="537"/>
      <c r="Q374" s="537"/>
      <c r="R374" s="537"/>
      <c r="S374" s="538" t="str">
        <f t="shared" ca="1" si="14"/>
        <v/>
      </c>
      <c r="T374" s="538" t="str">
        <f t="shared" ca="1" si="15"/>
        <v/>
      </c>
      <c r="U374" s="249"/>
      <c r="V374" s="249"/>
      <c r="W374" s="249"/>
      <c r="X374" s="249"/>
      <c r="Y374" s="249"/>
      <c r="Z374" s="249"/>
      <c r="AA374" s="249"/>
      <c r="AB374" s="249"/>
      <c r="AC374" s="249"/>
      <c r="AD374" s="249"/>
      <c r="AE374" s="249"/>
      <c r="AF374" s="249"/>
      <c r="AG374" s="249"/>
      <c r="AH374" s="249"/>
      <c r="AI374" s="249"/>
      <c r="AJ374" s="249"/>
      <c r="AK374" s="249"/>
      <c r="AL374" s="249"/>
      <c r="AM374" s="249"/>
      <c r="AN374" s="537"/>
      <c r="AO374" s="249" t="str">
        <f>IF(Z374="Yes",COUNTIF($Z$6:Z374,"Yes"),"")</f>
        <v/>
      </c>
      <c r="AP374" s="249" t="str">
        <f>IF(AA374="Yes",COUNTIF($AA$6:AA374,"Yes"),"")</f>
        <v/>
      </c>
      <c r="AQ374" s="249" t="str">
        <f>IF(AC374="Yes",COUNTIF($AC$6:AC374,"Yes"),"")</f>
        <v/>
      </c>
    </row>
    <row r="375" spans="1:43">
      <c r="A375" s="249"/>
      <c r="B375" s="249"/>
      <c r="C375" s="249"/>
      <c r="D375" s="249"/>
      <c r="E375" s="249"/>
      <c r="F375" s="249"/>
      <c r="G375" s="249"/>
      <c r="H375" s="249"/>
      <c r="I375" s="249"/>
      <c r="J375" s="249"/>
      <c r="K375" s="249"/>
      <c r="L375" s="249"/>
      <c r="M375" s="249"/>
      <c r="N375" s="249"/>
      <c r="O375" s="249"/>
      <c r="P375" s="537"/>
      <c r="Q375" s="537"/>
      <c r="R375" s="537"/>
      <c r="S375" s="538" t="str">
        <f t="shared" ca="1" si="14"/>
        <v/>
      </c>
      <c r="T375" s="538" t="str">
        <f t="shared" ca="1" si="15"/>
        <v/>
      </c>
      <c r="U375" s="249"/>
      <c r="V375" s="249"/>
      <c r="W375" s="249"/>
      <c r="X375" s="249"/>
      <c r="Y375" s="249"/>
      <c r="Z375" s="249"/>
      <c r="AA375" s="249"/>
      <c r="AB375" s="249"/>
      <c r="AC375" s="249"/>
      <c r="AD375" s="249"/>
      <c r="AE375" s="249"/>
      <c r="AF375" s="249"/>
      <c r="AG375" s="249"/>
      <c r="AH375" s="249"/>
      <c r="AI375" s="249"/>
      <c r="AJ375" s="249"/>
      <c r="AK375" s="249"/>
      <c r="AL375" s="249"/>
      <c r="AM375" s="249"/>
      <c r="AN375" s="537"/>
      <c r="AO375" s="249" t="str">
        <f>IF(Z375="Yes",COUNTIF($Z$6:Z375,"Yes"),"")</f>
        <v/>
      </c>
      <c r="AP375" s="249" t="str">
        <f>IF(AA375="Yes",COUNTIF($AA$6:AA375,"Yes"),"")</f>
        <v/>
      </c>
      <c r="AQ375" s="249" t="str">
        <f>IF(AC375="Yes",COUNTIF($AC$6:AC375,"Yes"),"")</f>
        <v/>
      </c>
    </row>
    <row r="376" spans="1:43">
      <c r="A376" s="249"/>
      <c r="B376" s="249"/>
      <c r="C376" s="249"/>
      <c r="D376" s="249"/>
      <c r="E376" s="249"/>
      <c r="F376" s="249"/>
      <c r="G376" s="249"/>
      <c r="H376" s="249"/>
      <c r="I376" s="249"/>
      <c r="J376" s="249"/>
      <c r="K376" s="249"/>
      <c r="L376" s="249"/>
      <c r="M376" s="249"/>
      <c r="N376" s="249"/>
      <c r="O376" s="249"/>
      <c r="P376" s="537"/>
      <c r="Q376" s="537"/>
      <c r="R376" s="537"/>
      <c r="S376" s="538" t="str">
        <f t="shared" ca="1" si="14"/>
        <v/>
      </c>
      <c r="T376" s="538" t="str">
        <f t="shared" ca="1" si="15"/>
        <v/>
      </c>
      <c r="U376" s="249"/>
      <c r="V376" s="249"/>
      <c r="W376" s="249"/>
      <c r="X376" s="249"/>
      <c r="Y376" s="249"/>
      <c r="Z376" s="249"/>
      <c r="AA376" s="249"/>
      <c r="AB376" s="249"/>
      <c r="AC376" s="249"/>
      <c r="AD376" s="249"/>
      <c r="AE376" s="249"/>
      <c r="AF376" s="249"/>
      <c r="AG376" s="249"/>
      <c r="AH376" s="249"/>
      <c r="AI376" s="249"/>
      <c r="AJ376" s="249"/>
      <c r="AK376" s="249"/>
      <c r="AL376" s="249"/>
      <c r="AM376" s="249"/>
      <c r="AN376" s="537"/>
      <c r="AO376" s="249" t="str">
        <f>IF(Z376="Yes",COUNTIF($Z$6:Z376,"Yes"),"")</f>
        <v/>
      </c>
      <c r="AP376" s="249" t="str">
        <f>IF(AA376="Yes",COUNTIF($AA$6:AA376,"Yes"),"")</f>
        <v/>
      </c>
      <c r="AQ376" s="249" t="str">
        <f>IF(AC376="Yes",COUNTIF($AC$6:AC376,"Yes"),"")</f>
        <v/>
      </c>
    </row>
    <row r="377" spans="1:43">
      <c r="A377" s="249"/>
      <c r="B377" s="249"/>
      <c r="C377" s="249"/>
      <c r="D377" s="249"/>
      <c r="E377" s="249"/>
      <c r="F377" s="249"/>
      <c r="G377" s="249"/>
      <c r="H377" s="249"/>
      <c r="I377" s="249"/>
      <c r="J377" s="249"/>
      <c r="K377" s="249"/>
      <c r="L377" s="249"/>
      <c r="M377" s="249"/>
      <c r="N377" s="249"/>
      <c r="O377" s="249"/>
      <c r="P377" s="537"/>
      <c r="Q377" s="537"/>
      <c r="R377" s="537"/>
      <c r="S377" s="538" t="str">
        <f t="shared" ca="1" si="14"/>
        <v/>
      </c>
      <c r="T377" s="538" t="str">
        <f t="shared" ca="1" si="15"/>
        <v/>
      </c>
      <c r="U377" s="249"/>
      <c r="V377" s="249"/>
      <c r="W377" s="249"/>
      <c r="X377" s="249"/>
      <c r="Y377" s="249"/>
      <c r="Z377" s="249"/>
      <c r="AA377" s="249"/>
      <c r="AB377" s="249"/>
      <c r="AC377" s="249"/>
      <c r="AD377" s="249"/>
      <c r="AE377" s="249"/>
      <c r="AF377" s="249"/>
      <c r="AG377" s="249"/>
      <c r="AH377" s="249"/>
      <c r="AI377" s="249"/>
      <c r="AJ377" s="249"/>
      <c r="AK377" s="249"/>
      <c r="AL377" s="249"/>
      <c r="AM377" s="249"/>
      <c r="AN377" s="537"/>
      <c r="AO377" s="249" t="str">
        <f>IF(Z377="Yes",COUNTIF($Z$6:Z377,"Yes"),"")</f>
        <v/>
      </c>
      <c r="AP377" s="249" t="str">
        <f>IF(AA377="Yes",COUNTIF($AA$6:AA377,"Yes"),"")</f>
        <v/>
      </c>
      <c r="AQ377" s="249" t="str">
        <f>IF(AC377="Yes",COUNTIF($AC$6:AC377,"Yes"),"")</f>
        <v/>
      </c>
    </row>
    <row r="378" spans="1:43">
      <c r="A378" s="249"/>
      <c r="B378" s="249"/>
      <c r="C378" s="249"/>
      <c r="D378" s="249"/>
      <c r="E378" s="249"/>
      <c r="F378" s="249"/>
      <c r="G378" s="249"/>
      <c r="H378" s="249"/>
      <c r="I378" s="249"/>
      <c r="J378" s="249"/>
      <c r="K378" s="249"/>
      <c r="L378" s="249"/>
      <c r="M378" s="249"/>
      <c r="N378" s="249"/>
      <c r="O378" s="249"/>
      <c r="P378" s="537"/>
      <c r="Q378" s="537"/>
      <c r="R378" s="537"/>
      <c r="S378" s="538" t="str">
        <f t="shared" ca="1" si="14"/>
        <v/>
      </c>
      <c r="T378" s="538" t="str">
        <f t="shared" ca="1" si="15"/>
        <v/>
      </c>
      <c r="U378" s="249"/>
      <c r="V378" s="249"/>
      <c r="W378" s="249"/>
      <c r="X378" s="249"/>
      <c r="Y378" s="249"/>
      <c r="Z378" s="249"/>
      <c r="AA378" s="249"/>
      <c r="AB378" s="249"/>
      <c r="AC378" s="249"/>
      <c r="AD378" s="249"/>
      <c r="AE378" s="249"/>
      <c r="AF378" s="249"/>
      <c r="AG378" s="249"/>
      <c r="AH378" s="249"/>
      <c r="AI378" s="249"/>
      <c r="AJ378" s="249"/>
      <c r="AK378" s="249"/>
      <c r="AL378" s="249"/>
      <c r="AM378" s="249"/>
      <c r="AN378" s="537"/>
      <c r="AO378" s="249" t="str">
        <f>IF(Z378="Yes",COUNTIF($Z$6:Z378,"Yes"),"")</f>
        <v/>
      </c>
      <c r="AP378" s="249" t="str">
        <f>IF(AA378="Yes",COUNTIF($AA$6:AA378,"Yes"),"")</f>
        <v/>
      </c>
      <c r="AQ378" s="249" t="str">
        <f>IF(AC378="Yes",COUNTIF($AC$6:AC378,"Yes"),"")</f>
        <v/>
      </c>
    </row>
    <row r="379" spans="1:43">
      <c r="A379" s="249"/>
      <c r="B379" s="249"/>
      <c r="C379" s="249"/>
      <c r="D379" s="249"/>
      <c r="E379" s="249"/>
      <c r="F379" s="249"/>
      <c r="G379" s="249"/>
      <c r="H379" s="249"/>
      <c r="I379" s="249"/>
      <c r="J379" s="249"/>
      <c r="K379" s="249"/>
      <c r="L379" s="249"/>
      <c r="M379" s="249"/>
      <c r="N379" s="249"/>
      <c r="O379" s="249"/>
      <c r="P379" s="537"/>
      <c r="Q379" s="537"/>
      <c r="R379" s="537"/>
      <c r="S379" s="538" t="str">
        <f t="shared" ca="1" si="14"/>
        <v/>
      </c>
      <c r="T379" s="538" t="str">
        <f t="shared" ca="1" si="15"/>
        <v/>
      </c>
      <c r="U379" s="249"/>
      <c r="V379" s="249"/>
      <c r="W379" s="249"/>
      <c r="X379" s="249"/>
      <c r="Y379" s="249"/>
      <c r="Z379" s="249"/>
      <c r="AA379" s="249"/>
      <c r="AB379" s="249"/>
      <c r="AC379" s="249"/>
      <c r="AD379" s="249"/>
      <c r="AE379" s="249"/>
      <c r="AF379" s="249"/>
      <c r="AG379" s="249"/>
      <c r="AH379" s="249"/>
      <c r="AI379" s="249"/>
      <c r="AJ379" s="249"/>
      <c r="AK379" s="249"/>
      <c r="AL379" s="249"/>
      <c r="AM379" s="249"/>
      <c r="AN379" s="537"/>
      <c r="AO379" s="249" t="str">
        <f>IF(Z379="Yes",COUNTIF($Z$6:Z379,"Yes"),"")</f>
        <v/>
      </c>
      <c r="AP379" s="249" t="str">
        <f>IF(AA379="Yes",COUNTIF($AA$6:AA379,"Yes"),"")</f>
        <v/>
      </c>
      <c r="AQ379" s="249" t="str">
        <f>IF(AC379="Yes",COUNTIF($AC$6:AC379,"Yes"),"")</f>
        <v/>
      </c>
    </row>
    <row r="380" spans="1:43">
      <c r="A380" s="249"/>
      <c r="B380" s="249"/>
      <c r="C380" s="249"/>
      <c r="D380" s="249"/>
      <c r="E380" s="249"/>
      <c r="F380" s="249"/>
      <c r="G380" s="249"/>
      <c r="H380" s="249"/>
      <c r="I380" s="249"/>
      <c r="J380" s="249"/>
      <c r="K380" s="249"/>
      <c r="L380" s="249"/>
      <c r="M380" s="249"/>
      <c r="N380" s="249"/>
      <c r="O380" s="249"/>
      <c r="P380" s="537"/>
      <c r="Q380" s="537"/>
      <c r="R380" s="537"/>
      <c r="S380" s="538" t="str">
        <f t="shared" ca="1" si="14"/>
        <v/>
      </c>
      <c r="T380" s="538" t="str">
        <f t="shared" ca="1" si="15"/>
        <v/>
      </c>
      <c r="U380" s="249"/>
      <c r="V380" s="249"/>
      <c r="W380" s="249"/>
      <c r="X380" s="249"/>
      <c r="Y380" s="249"/>
      <c r="Z380" s="249"/>
      <c r="AA380" s="249"/>
      <c r="AB380" s="249"/>
      <c r="AC380" s="249"/>
      <c r="AD380" s="249"/>
      <c r="AE380" s="249"/>
      <c r="AF380" s="249"/>
      <c r="AG380" s="249"/>
      <c r="AH380" s="249"/>
      <c r="AI380" s="249"/>
      <c r="AJ380" s="249"/>
      <c r="AK380" s="249"/>
      <c r="AL380" s="249"/>
      <c r="AM380" s="249"/>
      <c r="AN380" s="537"/>
      <c r="AO380" s="249" t="str">
        <f>IF(Z380="Yes",COUNTIF($Z$6:Z380,"Yes"),"")</f>
        <v/>
      </c>
      <c r="AP380" s="249" t="str">
        <f>IF(AA380="Yes",COUNTIF($AA$6:AA380,"Yes"),"")</f>
        <v/>
      </c>
      <c r="AQ380" s="249" t="str">
        <f>IF(AC380="Yes",COUNTIF($AC$6:AC380,"Yes"),"")</f>
        <v/>
      </c>
    </row>
    <row r="381" spans="1:43">
      <c r="A381" s="249"/>
      <c r="B381" s="249"/>
      <c r="C381" s="249"/>
      <c r="D381" s="249"/>
      <c r="E381" s="249"/>
      <c r="F381" s="249"/>
      <c r="G381" s="249"/>
      <c r="H381" s="249"/>
      <c r="I381" s="249"/>
      <c r="J381" s="249"/>
      <c r="K381" s="249"/>
      <c r="L381" s="249"/>
      <c r="M381" s="249"/>
      <c r="N381" s="249"/>
      <c r="O381" s="249"/>
      <c r="P381" s="537"/>
      <c r="Q381" s="537"/>
      <c r="R381" s="537"/>
      <c r="S381" s="538" t="str">
        <f t="shared" ca="1" si="14"/>
        <v/>
      </c>
      <c r="T381" s="538" t="str">
        <f t="shared" ca="1" si="15"/>
        <v/>
      </c>
      <c r="U381" s="249"/>
      <c r="V381" s="249"/>
      <c r="W381" s="249"/>
      <c r="X381" s="249"/>
      <c r="Y381" s="249"/>
      <c r="Z381" s="249"/>
      <c r="AA381" s="249"/>
      <c r="AB381" s="249"/>
      <c r="AC381" s="249"/>
      <c r="AD381" s="249"/>
      <c r="AE381" s="249"/>
      <c r="AF381" s="249"/>
      <c r="AG381" s="249"/>
      <c r="AH381" s="249"/>
      <c r="AI381" s="249"/>
      <c r="AJ381" s="249"/>
      <c r="AK381" s="249"/>
      <c r="AL381" s="249"/>
      <c r="AM381" s="249"/>
      <c r="AN381" s="537"/>
      <c r="AO381" s="249" t="str">
        <f>IF(Z381="Yes",COUNTIF($Z$6:Z381,"Yes"),"")</f>
        <v/>
      </c>
      <c r="AP381" s="249" t="str">
        <f>IF(AA381="Yes",COUNTIF($AA$6:AA381,"Yes"),"")</f>
        <v/>
      </c>
      <c r="AQ381" s="249" t="str">
        <f>IF(AC381="Yes",COUNTIF($AC$6:AC381,"Yes"),"")</f>
        <v/>
      </c>
    </row>
    <row r="382" spans="1:43">
      <c r="A382" s="249"/>
      <c r="B382" s="249"/>
      <c r="C382" s="249"/>
      <c r="D382" s="249"/>
      <c r="E382" s="249"/>
      <c r="F382" s="249"/>
      <c r="G382" s="249"/>
      <c r="H382" s="249"/>
      <c r="I382" s="249"/>
      <c r="J382" s="249"/>
      <c r="K382" s="249"/>
      <c r="L382" s="249"/>
      <c r="M382" s="249"/>
      <c r="N382" s="249"/>
      <c r="O382" s="249"/>
      <c r="P382" s="537"/>
      <c r="Q382" s="537"/>
      <c r="R382" s="537"/>
      <c r="S382" s="538" t="str">
        <f t="shared" ca="1" si="14"/>
        <v/>
      </c>
      <c r="T382" s="538" t="str">
        <f t="shared" ca="1" si="15"/>
        <v/>
      </c>
      <c r="U382" s="249"/>
      <c r="V382" s="249"/>
      <c r="W382" s="249"/>
      <c r="X382" s="249"/>
      <c r="Y382" s="249"/>
      <c r="Z382" s="249"/>
      <c r="AA382" s="249"/>
      <c r="AB382" s="249"/>
      <c r="AC382" s="249"/>
      <c r="AD382" s="249"/>
      <c r="AE382" s="249"/>
      <c r="AF382" s="249"/>
      <c r="AG382" s="249"/>
      <c r="AH382" s="249"/>
      <c r="AI382" s="249"/>
      <c r="AJ382" s="249"/>
      <c r="AK382" s="249"/>
      <c r="AL382" s="249"/>
      <c r="AM382" s="249"/>
      <c r="AN382" s="537"/>
      <c r="AO382" s="249" t="str">
        <f>IF(Z382="Yes",COUNTIF($Z$6:Z382,"Yes"),"")</f>
        <v/>
      </c>
      <c r="AP382" s="249" t="str">
        <f>IF(AA382="Yes",COUNTIF($AA$6:AA382,"Yes"),"")</f>
        <v/>
      </c>
      <c r="AQ382" s="249" t="str">
        <f>IF(AC382="Yes",COUNTIF($AC$6:AC382,"Yes"),"")</f>
        <v/>
      </c>
    </row>
    <row r="383" spans="1:43">
      <c r="A383" s="249"/>
      <c r="B383" s="249"/>
      <c r="C383" s="249"/>
      <c r="D383" s="249"/>
      <c r="E383" s="249"/>
      <c r="F383" s="249"/>
      <c r="G383" s="249"/>
      <c r="H383" s="249"/>
      <c r="I383" s="249"/>
      <c r="J383" s="249"/>
      <c r="K383" s="249"/>
      <c r="L383" s="249"/>
      <c r="M383" s="249"/>
      <c r="N383" s="249"/>
      <c r="O383" s="249"/>
      <c r="P383" s="537"/>
      <c r="Q383" s="537"/>
      <c r="R383" s="537"/>
      <c r="S383" s="538" t="str">
        <f t="shared" ca="1" si="14"/>
        <v/>
      </c>
      <c r="T383" s="538" t="str">
        <f t="shared" ca="1" si="15"/>
        <v/>
      </c>
      <c r="U383" s="249"/>
      <c r="V383" s="249"/>
      <c r="W383" s="249"/>
      <c r="X383" s="249"/>
      <c r="Y383" s="249"/>
      <c r="Z383" s="249"/>
      <c r="AA383" s="249"/>
      <c r="AB383" s="249"/>
      <c r="AC383" s="249"/>
      <c r="AD383" s="249"/>
      <c r="AE383" s="249"/>
      <c r="AF383" s="249"/>
      <c r="AG383" s="249"/>
      <c r="AH383" s="249"/>
      <c r="AI383" s="249"/>
      <c r="AJ383" s="249"/>
      <c r="AK383" s="249"/>
      <c r="AL383" s="249"/>
      <c r="AM383" s="249"/>
      <c r="AN383" s="537"/>
      <c r="AO383" s="249" t="str">
        <f>IF(Z383="Yes",COUNTIF($Z$6:Z383,"Yes"),"")</f>
        <v/>
      </c>
      <c r="AP383" s="249" t="str">
        <f>IF(AA383="Yes",COUNTIF($AA$6:AA383,"Yes"),"")</f>
        <v/>
      </c>
      <c r="AQ383" s="249" t="str">
        <f>IF(AC383="Yes",COUNTIF($AC$6:AC383,"Yes"),"")</f>
        <v/>
      </c>
    </row>
    <row r="384" spans="1:43">
      <c r="A384" s="249"/>
      <c r="B384" s="249"/>
      <c r="C384" s="249"/>
      <c r="D384" s="249"/>
      <c r="E384" s="249"/>
      <c r="F384" s="249"/>
      <c r="G384" s="249"/>
      <c r="H384" s="249"/>
      <c r="I384" s="249"/>
      <c r="J384" s="249"/>
      <c r="K384" s="249"/>
      <c r="L384" s="249"/>
      <c r="M384" s="249"/>
      <c r="N384" s="249"/>
      <c r="O384" s="249"/>
      <c r="P384" s="537"/>
      <c r="Q384" s="537"/>
      <c r="R384" s="537"/>
      <c r="S384" s="538" t="str">
        <f t="shared" ca="1" si="14"/>
        <v/>
      </c>
      <c r="T384" s="538" t="str">
        <f t="shared" ca="1" si="15"/>
        <v/>
      </c>
      <c r="U384" s="249"/>
      <c r="V384" s="249"/>
      <c r="W384" s="249"/>
      <c r="X384" s="249"/>
      <c r="Y384" s="249"/>
      <c r="Z384" s="249"/>
      <c r="AA384" s="249"/>
      <c r="AB384" s="249"/>
      <c r="AC384" s="249"/>
      <c r="AD384" s="249"/>
      <c r="AE384" s="249"/>
      <c r="AF384" s="249"/>
      <c r="AG384" s="249"/>
      <c r="AH384" s="249"/>
      <c r="AI384" s="249"/>
      <c r="AJ384" s="249"/>
      <c r="AK384" s="249"/>
      <c r="AL384" s="249"/>
      <c r="AM384" s="249"/>
      <c r="AN384" s="537"/>
      <c r="AO384" s="249" t="str">
        <f>IF(Z384="Yes",COUNTIF($Z$6:Z384,"Yes"),"")</f>
        <v/>
      </c>
      <c r="AP384" s="249" t="str">
        <f>IF(AA384="Yes",COUNTIF($AA$6:AA384,"Yes"),"")</f>
        <v/>
      </c>
      <c r="AQ384" s="249" t="str">
        <f>IF(AC384="Yes",COUNTIF($AC$6:AC384,"Yes"),"")</f>
        <v/>
      </c>
    </row>
    <row r="385" spans="1:43">
      <c r="A385" s="249"/>
      <c r="B385" s="249"/>
      <c r="C385" s="249"/>
      <c r="D385" s="249"/>
      <c r="E385" s="249"/>
      <c r="F385" s="249"/>
      <c r="G385" s="249"/>
      <c r="H385" s="249"/>
      <c r="I385" s="249"/>
      <c r="J385" s="249"/>
      <c r="K385" s="249"/>
      <c r="L385" s="249"/>
      <c r="M385" s="249"/>
      <c r="N385" s="249"/>
      <c r="O385" s="249"/>
      <c r="P385" s="537"/>
      <c r="Q385" s="537"/>
      <c r="R385" s="537"/>
      <c r="S385" s="538" t="str">
        <f t="shared" ca="1" si="14"/>
        <v/>
      </c>
      <c r="T385" s="538" t="str">
        <f t="shared" ca="1" si="15"/>
        <v/>
      </c>
      <c r="U385" s="249"/>
      <c r="V385" s="249"/>
      <c r="W385" s="249"/>
      <c r="X385" s="249"/>
      <c r="Y385" s="249"/>
      <c r="Z385" s="249"/>
      <c r="AA385" s="249"/>
      <c r="AB385" s="249"/>
      <c r="AC385" s="249"/>
      <c r="AD385" s="249"/>
      <c r="AE385" s="249"/>
      <c r="AF385" s="249"/>
      <c r="AG385" s="249"/>
      <c r="AH385" s="249"/>
      <c r="AI385" s="249"/>
      <c r="AJ385" s="249"/>
      <c r="AK385" s="249"/>
      <c r="AL385" s="249"/>
      <c r="AM385" s="249"/>
      <c r="AN385" s="537"/>
      <c r="AO385" s="249" t="str">
        <f>IF(Z385="Yes",COUNTIF($Z$6:Z385,"Yes"),"")</f>
        <v/>
      </c>
      <c r="AP385" s="249" t="str">
        <f>IF(AA385="Yes",COUNTIF($AA$6:AA385,"Yes"),"")</f>
        <v/>
      </c>
      <c r="AQ385" s="249" t="str">
        <f>IF(AC385="Yes",COUNTIF($AC$6:AC385,"Yes"),"")</f>
        <v/>
      </c>
    </row>
    <row r="386" spans="1:43">
      <c r="A386" s="249"/>
      <c r="B386" s="249"/>
      <c r="C386" s="249"/>
      <c r="D386" s="249"/>
      <c r="E386" s="249"/>
      <c r="F386" s="249"/>
      <c r="G386" s="249"/>
      <c r="H386" s="249"/>
      <c r="I386" s="249"/>
      <c r="J386" s="249"/>
      <c r="K386" s="249"/>
      <c r="L386" s="249"/>
      <c r="M386" s="249"/>
      <c r="N386" s="249"/>
      <c r="O386" s="249"/>
      <c r="P386" s="537"/>
      <c r="Q386" s="537"/>
      <c r="R386" s="537"/>
      <c r="S386" s="538" t="str">
        <f t="shared" ca="1" si="14"/>
        <v/>
      </c>
      <c r="T386" s="538" t="str">
        <f t="shared" ca="1" si="15"/>
        <v/>
      </c>
      <c r="U386" s="249"/>
      <c r="V386" s="249"/>
      <c r="W386" s="249"/>
      <c r="X386" s="249"/>
      <c r="Y386" s="249"/>
      <c r="Z386" s="249"/>
      <c r="AA386" s="249"/>
      <c r="AB386" s="249"/>
      <c r="AC386" s="249"/>
      <c r="AD386" s="249"/>
      <c r="AE386" s="249"/>
      <c r="AF386" s="249"/>
      <c r="AG386" s="249"/>
      <c r="AH386" s="249"/>
      <c r="AI386" s="249"/>
      <c r="AJ386" s="249"/>
      <c r="AK386" s="249"/>
      <c r="AL386" s="249"/>
      <c r="AM386" s="249"/>
      <c r="AN386" s="537"/>
      <c r="AO386" s="249" t="str">
        <f>IF(Z386="Yes",COUNTIF($Z$6:Z386,"Yes"),"")</f>
        <v/>
      </c>
      <c r="AP386" s="249" t="str">
        <f>IF(AA386="Yes",COUNTIF($AA$6:AA386,"Yes"),"")</f>
        <v/>
      </c>
      <c r="AQ386" s="249" t="str">
        <f>IF(AC386="Yes",COUNTIF($AC$6:AC386,"Yes"),"")</f>
        <v/>
      </c>
    </row>
    <row r="387" spans="1:43">
      <c r="A387" s="249"/>
      <c r="B387" s="249"/>
      <c r="C387" s="249"/>
      <c r="D387" s="249"/>
      <c r="E387" s="249"/>
      <c r="F387" s="249"/>
      <c r="G387" s="249"/>
      <c r="H387" s="249"/>
      <c r="I387" s="249"/>
      <c r="J387" s="249"/>
      <c r="K387" s="249"/>
      <c r="L387" s="249"/>
      <c r="M387" s="249"/>
      <c r="N387" s="249"/>
      <c r="O387" s="249"/>
      <c r="P387" s="537"/>
      <c r="Q387" s="537"/>
      <c r="R387" s="537"/>
      <c r="S387" s="538" t="str">
        <f t="shared" ca="1" si="14"/>
        <v/>
      </c>
      <c r="T387" s="538" t="str">
        <f t="shared" ca="1" si="15"/>
        <v/>
      </c>
      <c r="U387" s="249"/>
      <c r="V387" s="249"/>
      <c r="W387" s="249"/>
      <c r="X387" s="249"/>
      <c r="Y387" s="249"/>
      <c r="Z387" s="249"/>
      <c r="AA387" s="249"/>
      <c r="AB387" s="249"/>
      <c r="AC387" s="249"/>
      <c r="AD387" s="249"/>
      <c r="AE387" s="249"/>
      <c r="AF387" s="249"/>
      <c r="AG387" s="249"/>
      <c r="AH387" s="249"/>
      <c r="AI387" s="249"/>
      <c r="AJ387" s="249"/>
      <c r="AK387" s="249"/>
      <c r="AL387" s="249"/>
      <c r="AM387" s="249"/>
      <c r="AN387" s="537"/>
      <c r="AO387" s="249" t="str">
        <f>IF(Z387="Yes",COUNTIF($Z$6:Z387,"Yes"),"")</f>
        <v/>
      </c>
      <c r="AP387" s="249" t="str">
        <f>IF(AA387="Yes",COUNTIF($AA$6:AA387,"Yes"),"")</f>
        <v/>
      </c>
      <c r="AQ387" s="249" t="str">
        <f>IF(AC387="Yes",COUNTIF($AC$6:AC387,"Yes"),"")</f>
        <v/>
      </c>
    </row>
    <row r="388" spans="1:43">
      <c r="A388" s="249"/>
      <c r="B388" s="249"/>
      <c r="C388" s="249"/>
      <c r="D388" s="249"/>
      <c r="E388" s="249"/>
      <c r="F388" s="249"/>
      <c r="G388" s="249"/>
      <c r="H388" s="249"/>
      <c r="I388" s="249"/>
      <c r="J388" s="249"/>
      <c r="K388" s="249"/>
      <c r="L388" s="249"/>
      <c r="M388" s="249"/>
      <c r="N388" s="249"/>
      <c r="O388" s="249"/>
      <c r="P388" s="537"/>
      <c r="Q388" s="537"/>
      <c r="R388" s="537"/>
      <c r="S388" s="538" t="str">
        <f t="shared" ca="1" si="14"/>
        <v/>
      </c>
      <c r="T388" s="538" t="str">
        <f t="shared" ca="1" si="15"/>
        <v/>
      </c>
      <c r="U388" s="249"/>
      <c r="V388" s="249"/>
      <c r="W388" s="249"/>
      <c r="X388" s="249"/>
      <c r="Y388" s="249"/>
      <c r="Z388" s="249"/>
      <c r="AA388" s="249"/>
      <c r="AB388" s="249"/>
      <c r="AC388" s="249"/>
      <c r="AD388" s="249"/>
      <c r="AE388" s="249"/>
      <c r="AF388" s="249"/>
      <c r="AG388" s="249"/>
      <c r="AH388" s="249"/>
      <c r="AI388" s="249"/>
      <c r="AJ388" s="249"/>
      <c r="AK388" s="249"/>
      <c r="AL388" s="249"/>
      <c r="AM388" s="249"/>
      <c r="AN388" s="537"/>
      <c r="AO388" s="249" t="str">
        <f>IF(Z388="Yes",COUNTIF($Z$6:Z388,"Yes"),"")</f>
        <v/>
      </c>
      <c r="AP388" s="249" t="str">
        <f>IF(AA388="Yes",COUNTIF($AA$6:AA388,"Yes"),"")</f>
        <v/>
      </c>
      <c r="AQ388" s="249" t="str">
        <f>IF(AC388="Yes",COUNTIF($AC$6:AC388,"Yes"),"")</f>
        <v/>
      </c>
    </row>
    <row r="389" spans="1:43">
      <c r="A389" s="249"/>
      <c r="B389" s="249"/>
      <c r="C389" s="249"/>
      <c r="D389" s="249"/>
      <c r="E389" s="249"/>
      <c r="F389" s="249"/>
      <c r="G389" s="249"/>
      <c r="H389" s="249"/>
      <c r="I389" s="249"/>
      <c r="J389" s="249"/>
      <c r="K389" s="249"/>
      <c r="L389" s="249"/>
      <c r="M389" s="249"/>
      <c r="N389" s="249"/>
      <c r="O389" s="249"/>
      <c r="P389" s="537"/>
      <c r="Q389" s="537"/>
      <c r="R389" s="537"/>
      <c r="S389" s="538" t="str">
        <f t="shared" ca="1" si="14"/>
        <v/>
      </c>
      <c r="T389" s="538" t="str">
        <f t="shared" ca="1" si="15"/>
        <v/>
      </c>
      <c r="U389" s="249"/>
      <c r="V389" s="249"/>
      <c r="W389" s="249"/>
      <c r="X389" s="249"/>
      <c r="Y389" s="249"/>
      <c r="Z389" s="249"/>
      <c r="AA389" s="249"/>
      <c r="AB389" s="249"/>
      <c r="AC389" s="249"/>
      <c r="AD389" s="249"/>
      <c r="AE389" s="249"/>
      <c r="AF389" s="249"/>
      <c r="AG389" s="249"/>
      <c r="AH389" s="249"/>
      <c r="AI389" s="249"/>
      <c r="AJ389" s="249"/>
      <c r="AK389" s="249"/>
      <c r="AL389" s="249"/>
      <c r="AM389" s="249"/>
      <c r="AN389" s="537"/>
      <c r="AO389" s="249" t="str">
        <f>IF(Z389="Yes",COUNTIF($Z$6:Z389,"Yes"),"")</f>
        <v/>
      </c>
      <c r="AP389" s="249" t="str">
        <f>IF(AA389="Yes",COUNTIF($AA$6:AA389,"Yes"),"")</f>
        <v/>
      </c>
      <c r="AQ389" s="249" t="str">
        <f>IF(AC389="Yes",COUNTIF($AC$6:AC389,"Yes"),"")</f>
        <v/>
      </c>
    </row>
    <row r="390" spans="1:43">
      <c r="A390" s="249"/>
      <c r="B390" s="249"/>
      <c r="C390" s="249"/>
      <c r="D390" s="249"/>
      <c r="E390" s="249"/>
      <c r="F390" s="249"/>
      <c r="G390" s="249"/>
      <c r="H390" s="249"/>
      <c r="I390" s="249"/>
      <c r="J390" s="249"/>
      <c r="K390" s="249"/>
      <c r="L390" s="249"/>
      <c r="M390" s="249"/>
      <c r="N390" s="249"/>
      <c r="O390" s="249"/>
      <c r="P390" s="537"/>
      <c r="Q390" s="537"/>
      <c r="R390" s="537"/>
      <c r="S390" s="538" t="str">
        <f t="shared" ref="S390:S453" ca="1" si="16">IF(P390="","",IF(R390&lt;&gt;"",R390-P390,TODAY()-P390))</f>
        <v/>
      </c>
      <c r="T390" s="538" t="str">
        <f t="shared" ref="T390:T453" ca="1" si="17">IF(Q390="","",Q390-TODAY())</f>
        <v/>
      </c>
      <c r="U390" s="249"/>
      <c r="V390" s="249"/>
      <c r="W390" s="249"/>
      <c r="X390" s="249"/>
      <c r="Y390" s="249"/>
      <c r="Z390" s="249"/>
      <c r="AA390" s="249"/>
      <c r="AB390" s="249"/>
      <c r="AC390" s="249"/>
      <c r="AD390" s="249"/>
      <c r="AE390" s="249"/>
      <c r="AF390" s="249"/>
      <c r="AG390" s="249"/>
      <c r="AH390" s="249"/>
      <c r="AI390" s="249"/>
      <c r="AJ390" s="249"/>
      <c r="AK390" s="249"/>
      <c r="AL390" s="249"/>
      <c r="AM390" s="249"/>
      <c r="AN390" s="537"/>
      <c r="AO390" s="249" t="str">
        <f>IF(Z390="Yes",COUNTIF($Z$6:Z390,"Yes"),"")</f>
        <v/>
      </c>
      <c r="AP390" s="249" t="str">
        <f>IF(AA390="Yes",COUNTIF($AA$6:AA390,"Yes"),"")</f>
        <v/>
      </c>
      <c r="AQ390" s="249" t="str">
        <f>IF(AC390="Yes",COUNTIF($AC$6:AC390,"Yes"),"")</f>
        <v/>
      </c>
    </row>
    <row r="391" spans="1:43">
      <c r="A391" s="249"/>
      <c r="B391" s="249"/>
      <c r="C391" s="249"/>
      <c r="D391" s="249"/>
      <c r="E391" s="249"/>
      <c r="F391" s="249"/>
      <c r="G391" s="249"/>
      <c r="H391" s="249"/>
      <c r="I391" s="249"/>
      <c r="J391" s="249"/>
      <c r="K391" s="249"/>
      <c r="L391" s="249"/>
      <c r="M391" s="249"/>
      <c r="N391" s="249"/>
      <c r="O391" s="249"/>
      <c r="P391" s="537"/>
      <c r="Q391" s="537"/>
      <c r="R391" s="537"/>
      <c r="S391" s="538" t="str">
        <f t="shared" ca="1" si="16"/>
        <v/>
      </c>
      <c r="T391" s="538" t="str">
        <f t="shared" ca="1" si="17"/>
        <v/>
      </c>
      <c r="U391" s="249"/>
      <c r="V391" s="249"/>
      <c r="W391" s="249"/>
      <c r="X391" s="249"/>
      <c r="Y391" s="249"/>
      <c r="Z391" s="249"/>
      <c r="AA391" s="249"/>
      <c r="AB391" s="249"/>
      <c r="AC391" s="249"/>
      <c r="AD391" s="249"/>
      <c r="AE391" s="249"/>
      <c r="AF391" s="249"/>
      <c r="AG391" s="249"/>
      <c r="AH391" s="249"/>
      <c r="AI391" s="249"/>
      <c r="AJ391" s="249"/>
      <c r="AK391" s="249"/>
      <c r="AL391" s="249"/>
      <c r="AM391" s="249"/>
      <c r="AN391" s="537"/>
      <c r="AO391" s="249" t="str">
        <f>IF(Z391="Yes",COUNTIF($Z$6:Z391,"Yes"),"")</f>
        <v/>
      </c>
      <c r="AP391" s="249" t="str">
        <f>IF(AA391="Yes",COUNTIF($AA$6:AA391,"Yes"),"")</f>
        <v/>
      </c>
      <c r="AQ391" s="249" t="str">
        <f>IF(AC391="Yes",COUNTIF($AC$6:AC391,"Yes"),"")</f>
        <v/>
      </c>
    </row>
    <row r="392" spans="1:43">
      <c r="A392" s="249"/>
      <c r="B392" s="249"/>
      <c r="C392" s="249"/>
      <c r="D392" s="249"/>
      <c r="E392" s="249"/>
      <c r="F392" s="249"/>
      <c r="G392" s="249"/>
      <c r="H392" s="249"/>
      <c r="I392" s="249"/>
      <c r="J392" s="249"/>
      <c r="K392" s="249"/>
      <c r="L392" s="249"/>
      <c r="M392" s="249"/>
      <c r="N392" s="249"/>
      <c r="O392" s="249"/>
      <c r="P392" s="537"/>
      <c r="Q392" s="537"/>
      <c r="R392" s="537"/>
      <c r="S392" s="538" t="str">
        <f t="shared" ca="1" si="16"/>
        <v/>
      </c>
      <c r="T392" s="538" t="str">
        <f t="shared" ca="1" si="17"/>
        <v/>
      </c>
      <c r="U392" s="249"/>
      <c r="V392" s="249"/>
      <c r="W392" s="249"/>
      <c r="X392" s="249"/>
      <c r="Y392" s="249"/>
      <c r="Z392" s="249"/>
      <c r="AA392" s="249"/>
      <c r="AB392" s="249"/>
      <c r="AC392" s="249"/>
      <c r="AD392" s="249"/>
      <c r="AE392" s="249"/>
      <c r="AF392" s="249"/>
      <c r="AG392" s="249"/>
      <c r="AH392" s="249"/>
      <c r="AI392" s="249"/>
      <c r="AJ392" s="249"/>
      <c r="AK392" s="249"/>
      <c r="AL392" s="249"/>
      <c r="AM392" s="249"/>
      <c r="AN392" s="537"/>
      <c r="AO392" s="249" t="str">
        <f>IF(Z392="Yes",COUNTIF($Z$6:Z392,"Yes"),"")</f>
        <v/>
      </c>
      <c r="AP392" s="249" t="str">
        <f>IF(AA392="Yes",COUNTIF($AA$6:AA392,"Yes"),"")</f>
        <v/>
      </c>
      <c r="AQ392" s="249" t="str">
        <f>IF(AC392="Yes",COUNTIF($AC$6:AC392,"Yes"),"")</f>
        <v/>
      </c>
    </row>
    <row r="393" spans="1:43">
      <c r="A393" s="249"/>
      <c r="B393" s="249"/>
      <c r="C393" s="249"/>
      <c r="D393" s="249"/>
      <c r="E393" s="249"/>
      <c r="F393" s="249"/>
      <c r="G393" s="249"/>
      <c r="H393" s="249"/>
      <c r="I393" s="249"/>
      <c r="J393" s="249"/>
      <c r="K393" s="249"/>
      <c r="L393" s="249"/>
      <c r="M393" s="249"/>
      <c r="N393" s="249"/>
      <c r="O393" s="249"/>
      <c r="P393" s="537"/>
      <c r="Q393" s="537"/>
      <c r="R393" s="537"/>
      <c r="S393" s="538" t="str">
        <f t="shared" ca="1" si="16"/>
        <v/>
      </c>
      <c r="T393" s="538" t="str">
        <f t="shared" ca="1" si="17"/>
        <v/>
      </c>
      <c r="U393" s="249"/>
      <c r="V393" s="249"/>
      <c r="W393" s="249"/>
      <c r="X393" s="249"/>
      <c r="Y393" s="249"/>
      <c r="Z393" s="249"/>
      <c r="AA393" s="249"/>
      <c r="AB393" s="249"/>
      <c r="AC393" s="249"/>
      <c r="AD393" s="249"/>
      <c r="AE393" s="249"/>
      <c r="AF393" s="249"/>
      <c r="AG393" s="249"/>
      <c r="AH393" s="249"/>
      <c r="AI393" s="249"/>
      <c r="AJ393" s="249"/>
      <c r="AK393" s="249"/>
      <c r="AL393" s="249"/>
      <c r="AM393" s="249"/>
      <c r="AN393" s="537"/>
      <c r="AO393" s="249" t="str">
        <f>IF(Z393="Yes",COUNTIF($Z$6:Z393,"Yes"),"")</f>
        <v/>
      </c>
      <c r="AP393" s="249" t="str">
        <f>IF(AA393="Yes",COUNTIF($AA$6:AA393,"Yes"),"")</f>
        <v/>
      </c>
      <c r="AQ393" s="249" t="str">
        <f>IF(AC393="Yes",COUNTIF($AC$6:AC393,"Yes"),"")</f>
        <v/>
      </c>
    </row>
    <row r="394" spans="1:43">
      <c r="A394" s="249"/>
      <c r="B394" s="249"/>
      <c r="C394" s="249"/>
      <c r="D394" s="249"/>
      <c r="E394" s="249"/>
      <c r="F394" s="249"/>
      <c r="G394" s="249"/>
      <c r="H394" s="249"/>
      <c r="I394" s="249"/>
      <c r="J394" s="249"/>
      <c r="K394" s="249"/>
      <c r="L394" s="249"/>
      <c r="M394" s="249"/>
      <c r="N394" s="249"/>
      <c r="O394" s="249"/>
      <c r="P394" s="537"/>
      <c r="Q394" s="537"/>
      <c r="R394" s="537"/>
      <c r="S394" s="538" t="str">
        <f t="shared" ca="1" si="16"/>
        <v/>
      </c>
      <c r="T394" s="538" t="str">
        <f t="shared" ca="1" si="17"/>
        <v/>
      </c>
      <c r="U394" s="249"/>
      <c r="V394" s="249"/>
      <c r="W394" s="249"/>
      <c r="X394" s="249"/>
      <c r="Y394" s="249"/>
      <c r="Z394" s="249"/>
      <c r="AA394" s="249"/>
      <c r="AB394" s="249"/>
      <c r="AC394" s="249"/>
      <c r="AD394" s="249"/>
      <c r="AE394" s="249"/>
      <c r="AF394" s="249"/>
      <c r="AG394" s="249"/>
      <c r="AH394" s="249"/>
      <c r="AI394" s="249"/>
      <c r="AJ394" s="249"/>
      <c r="AK394" s="249"/>
      <c r="AL394" s="249"/>
      <c r="AM394" s="249"/>
      <c r="AN394" s="537"/>
      <c r="AO394" s="249" t="str">
        <f>IF(Z394="Yes",COUNTIF($Z$6:Z394,"Yes"),"")</f>
        <v/>
      </c>
      <c r="AP394" s="249" t="str">
        <f>IF(AA394="Yes",COUNTIF($AA$6:AA394,"Yes"),"")</f>
        <v/>
      </c>
      <c r="AQ394" s="249" t="str">
        <f>IF(AC394="Yes",COUNTIF($AC$6:AC394,"Yes"),"")</f>
        <v/>
      </c>
    </row>
    <row r="395" spans="1:43">
      <c r="A395" s="249"/>
      <c r="B395" s="249"/>
      <c r="C395" s="249"/>
      <c r="D395" s="249"/>
      <c r="E395" s="249"/>
      <c r="F395" s="249"/>
      <c r="G395" s="249"/>
      <c r="H395" s="249"/>
      <c r="I395" s="249"/>
      <c r="J395" s="249"/>
      <c r="K395" s="249"/>
      <c r="L395" s="249"/>
      <c r="M395" s="249"/>
      <c r="N395" s="249"/>
      <c r="O395" s="249"/>
      <c r="P395" s="537"/>
      <c r="Q395" s="537"/>
      <c r="R395" s="537"/>
      <c r="S395" s="538" t="str">
        <f t="shared" ca="1" si="16"/>
        <v/>
      </c>
      <c r="T395" s="538" t="str">
        <f t="shared" ca="1" si="17"/>
        <v/>
      </c>
      <c r="U395" s="249"/>
      <c r="V395" s="249"/>
      <c r="W395" s="249"/>
      <c r="X395" s="249"/>
      <c r="Y395" s="249"/>
      <c r="Z395" s="249"/>
      <c r="AA395" s="249"/>
      <c r="AB395" s="249"/>
      <c r="AC395" s="249"/>
      <c r="AD395" s="249"/>
      <c r="AE395" s="249"/>
      <c r="AF395" s="249"/>
      <c r="AG395" s="249"/>
      <c r="AH395" s="249"/>
      <c r="AI395" s="249"/>
      <c r="AJ395" s="249"/>
      <c r="AK395" s="249"/>
      <c r="AL395" s="249"/>
      <c r="AM395" s="249"/>
      <c r="AN395" s="537"/>
      <c r="AO395" s="249" t="str">
        <f>IF(Z395="Yes",COUNTIF($Z$6:Z395,"Yes"),"")</f>
        <v/>
      </c>
      <c r="AP395" s="249" t="str">
        <f>IF(AA395="Yes",COUNTIF($AA$6:AA395,"Yes"),"")</f>
        <v/>
      </c>
      <c r="AQ395" s="249" t="str">
        <f>IF(AC395="Yes",COUNTIF($AC$6:AC395,"Yes"),"")</f>
        <v/>
      </c>
    </row>
    <row r="396" spans="1:43">
      <c r="A396" s="249"/>
      <c r="B396" s="249"/>
      <c r="C396" s="249"/>
      <c r="D396" s="249"/>
      <c r="E396" s="249"/>
      <c r="F396" s="249"/>
      <c r="G396" s="249"/>
      <c r="H396" s="249"/>
      <c r="I396" s="249"/>
      <c r="J396" s="249"/>
      <c r="K396" s="249"/>
      <c r="L396" s="249"/>
      <c r="M396" s="249"/>
      <c r="N396" s="249"/>
      <c r="O396" s="249"/>
      <c r="P396" s="537"/>
      <c r="Q396" s="537"/>
      <c r="R396" s="537"/>
      <c r="S396" s="538" t="str">
        <f t="shared" ca="1" si="16"/>
        <v/>
      </c>
      <c r="T396" s="538" t="str">
        <f t="shared" ca="1" si="17"/>
        <v/>
      </c>
      <c r="U396" s="249"/>
      <c r="V396" s="249"/>
      <c r="W396" s="249"/>
      <c r="X396" s="249"/>
      <c r="Y396" s="249"/>
      <c r="Z396" s="249"/>
      <c r="AA396" s="249"/>
      <c r="AB396" s="249"/>
      <c r="AC396" s="249"/>
      <c r="AD396" s="249"/>
      <c r="AE396" s="249"/>
      <c r="AF396" s="249"/>
      <c r="AG396" s="249"/>
      <c r="AH396" s="249"/>
      <c r="AI396" s="249"/>
      <c r="AJ396" s="249"/>
      <c r="AK396" s="249"/>
      <c r="AL396" s="249"/>
      <c r="AM396" s="249"/>
      <c r="AN396" s="537"/>
      <c r="AO396" s="249" t="str">
        <f>IF(Z396="Yes",COUNTIF($Z$6:Z396,"Yes"),"")</f>
        <v/>
      </c>
      <c r="AP396" s="249" t="str">
        <f>IF(AA396="Yes",COUNTIF($AA$6:AA396,"Yes"),"")</f>
        <v/>
      </c>
      <c r="AQ396" s="249" t="str">
        <f>IF(AC396="Yes",COUNTIF($AC$6:AC396,"Yes"),"")</f>
        <v/>
      </c>
    </row>
    <row r="397" spans="1:43">
      <c r="A397" s="249"/>
      <c r="B397" s="249"/>
      <c r="C397" s="249"/>
      <c r="D397" s="249"/>
      <c r="E397" s="249"/>
      <c r="F397" s="249"/>
      <c r="G397" s="249"/>
      <c r="H397" s="249"/>
      <c r="I397" s="249"/>
      <c r="J397" s="249"/>
      <c r="K397" s="249"/>
      <c r="L397" s="249"/>
      <c r="M397" s="249"/>
      <c r="N397" s="249"/>
      <c r="O397" s="249"/>
      <c r="P397" s="537"/>
      <c r="Q397" s="537"/>
      <c r="R397" s="537"/>
      <c r="S397" s="538" t="str">
        <f t="shared" ca="1" si="16"/>
        <v/>
      </c>
      <c r="T397" s="538" t="str">
        <f t="shared" ca="1" si="17"/>
        <v/>
      </c>
      <c r="U397" s="249"/>
      <c r="V397" s="249"/>
      <c r="W397" s="249"/>
      <c r="X397" s="249"/>
      <c r="Y397" s="249"/>
      <c r="Z397" s="249"/>
      <c r="AA397" s="249"/>
      <c r="AB397" s="249"/>
      <c r="AC397" s="249"/>
      <c r="AD397" s="249"/>
      <c r="AE397" s="249"/>
      <c r="AF397" s="249"/>
      <c r="AG397" s="249"/>
      <c r="AH397" s="249"/>
      <c r="AI397" s="249"/>
      <c r="AJ397" s="249"/>
      <c r="AK397" s="249"/>
      <c r="AL397" s="249"/>
      <c r="AM397" s="249"/>
      <c r="AN397" s="537"/>
      <c r="AO397" s="249" t="str">
        <f>IF(Z397="Yes",COUNTIF($Z$6:Z397,"Yes"),"")</f>
        <v/>
      </c>
      <c r="AP397" s="249" t="str">
        <f>IF(AA397="Yes",COUNTIF($AA$6:AA397,"Yes"),"")</f>
        <v/>
      </c>
      <c r="AQ397" s="249" t="str">
        <f>IF(AC397="Yes",COUNTIF($AC$6:AC397,"Yes"),"")</f>
        <v/>
      </c>
    </row>
    <row r="398" spans="1:43">
      <c r="A398" s="249"/>
      <c r="B398" s="249"/>
      <c r="C398" s="249"/>
      <c r="D398" s="249"/>
      <c r="E398" s="249"/>
      <c r="F398" s="249"/>
      <c r="G398" s="249"/>
      <c r="H398" s="249"/>
      <c r="I398" s="249"/>
      <c r="J398" s="249"/>
      <c r="K398" s="249"/>
      <c r="L398" s="249"/>
      <c r="M398" s="249"/>
      <c r="N398" s="249"/>
      <c r="O398" s="249"/>
      <c r="P398" s="537"/>
      <c r="Q398" s="537"/>
      <c r="R398" s="537"/>
      <c r="S398" s="538" t="str">
        <f t="shared" ca="1" si="16"/>
        <v/>
      </c>
      <c r="T398" s="538" t="str">
        <f t="shared" ca="1" si="17"/>
        <v/>
      </c>
      <c r="U398" s="249"/>
      <c r="V398" s="249"/>
      <c r="W398" s="249"/>
      <c r="X398" s="249"/>
      <c r="Y398" s="249"/>
      <c r="Z398" s="249"/>
      <c r="AA398" s="249"/>
      <c r="AB398" s="249"/>
      <c r="AC398" s="249"/>
      <c r="AD398" s="249"/>
      <c r="AE398" s="249"/>
      <c r="AF398" s="249"/>
      <c r="AG398" s="249"/>
      <c r="AH398" s="249"/>
      <c r="AI398" s="249"/>
      <c r="AJ398" s="249"/>
      <c r="AK398" s="249"/>
      <c r="AL398" s="249"/>
      <c r="AM398" s="249"/>
      <c r="AN398" s="537"/>
      <c r="AO398" s="249" t="str">
        <f>IF(Z398="Yes",COUNTIF($Z$6:Z398,"Yes"),"")</f>
        <v/>
      </c>
      <c r="AP398" s="249" t="str">
        <f>IF(AA398="Yes",COUNTIF($AA$6:AA398,"Yes"),"")</f>
        <v/>
      </c>
      <c r="AQ398" s="249" t="str">
        <f>IF(AC398="Yes",COUNTIF($AC$6:AC398,"Yes"),"")</f>
        <v/>
      </c>
    </row>
    <row r="399" spans="1:43">
      <c r="A399" s="249"/>
      <c r="B399" s="249"/>
      <c r="C399" s="249"/>
      <c r="D399" s="249"/>
      <c r="E399" s="249"/>
      <c r="F399" s="249"/>
      <c r="G399" s="249"/>
      <c r="H399" s="249"/>
      <c r="I399" s="249"/>
      <c r="J399" s="249"/>
      <c r="K399" s="249"/>
      <c r="L399" s="249"/>
      <c r="M399" s="249"/>
      <c r="N399" s="249"/>
      <c r="O399" s="249"/>
      <c r="P399" s="537"/>
      <c r="Q399" s="537"/>
      <c r="R399" s="537"/>
      <c r="S399" s="538" t="str">
        <f t="shared" ca="1" si="16"/>
        <v/>
      </c>
      <c r="T399" s="538" t="str">
        <f t="shared" ca="1" si="17"/>
        <v/>
      </c>
      <c r="U399" s="249"/>
      <c r="V399" s="249"/>
      <c r="W399" s="249"/>
      <c r="X399" s="249"/>
      <c r="Y399" s="249"/>
      <c r="Z399" s="249"/>
      <c r="AA399" s="249"/>
      <c r="AB399" s="249"/>
      <c r="AC399" s="249"/>
      <c r="AD399" s="249"/>
      <c r="AE399" s="249"/>
      <c r="AF399" s="249"/>
      <c r="AG399" s="249"/>
      <c r="AH399" s="249"/>
      <c r="AI399" s="249"/>
      <c r="AJ399" s="249"/>
      <c r="AK399" s="249"/>
      <c r="AL399" s="249"/>
      <c r="AM399" s="249"/>
      <c r="AN399" s="537"/>
      <c r="AO399" s="249" t="str">
        <f>IF(Z399="Yes",COUNTIF($Z$6:Z399,"Yes"),"")</f>
        <v/>
      </c>
      <c r="AP399" s="249" t="str">
        <f>IF(AA399="Yes",COUNTIF($AA$6:AA399,"Yes"),"")</f>
        <v/>
      </c>
      <c r="AQ399" s="249" t="str">
        <f>IF(AC399="Yes",COUNTIF($AC$6:AC399,"Yes"),"")</f>
        <v/>
      </c>
    </row>
    <row r="400" spans="1:43">
      <c r="A400" s="249"/>
      <c r="B400" s="249"/>
      <c r="C400" s="249"/>
      <c r="D400" s="249"/>
      <c r="E400" s="249"/>
      <c r="F400" s="249"/>
      <c r="G400" s="249"/>
      <c r="H400" s="249"/>
      <c r="I400" s="249"/>
      <c r="J400" s="249"/>
      <c r="K400" s="249"/>
      <c r="L400" s="249"/>
      <c r="M400" s="249"/>
      <c r="N400" s="249"/>
      <c r="O400" s="249"/>
      <c r="P400" s="537"/>
      <c r="Q400" s="537"/>
      <c r="R400" s="537"/>
      <c r="S400" s="538" t="str">
        <f t="shared" ca="1" si="16"/>
        <v/>
      </c>
      <c r="T400" s="538" t="str">
        <f t="shared" ca="1" si="17"/>
        <v/>
      </c>
      <c r="U400" s="249"/>
      <c r="V400" s="249"/>
      <c r="W400" s="249"/>
      <c r="X400" s="249"/>
      <c r="Y400" s="249"/>
      <c r="Z400" s="249"/>
      <c r="AA400" s="249"/>
      <c r="AB400" s="249"/>
      <c r="AC400" s="249"/>
      <c r="AD400" s="249"/>
      <c r="AE400" s="249"/>
      <c r="AF400" s="249"/>
      <c r="AG400" s="249"/>
      <c r="AH400" s="249"/>
      <c r="AI400" s="249"/>
      <c r="AJ400" s="249"/>
      <c r="AK400" s="249"/>
      <c r="AL400" s="249"/>
      <c r="AM400" s="249"/>
      <c r="AN400" s="537"/>
      <c r="AO400" s="249" t="str">
        <f>IF(Z400="Yes",COUNTIF($Z$6:Z400,"Yes"),"")</f>
        <v/>
      </c>
      <c r="AP400" s="249" t="str">
        <f>IF(AA400="Yes",COUNTIF($AA$6:AA400,"Yes"),"")</f>
        <v/>
      </c>
      <c r="AQ400" s="249" t="str">
        <f>IF(AC400="Yes",COUNTIF($AC$6:AC400,"Yes"),"")</f>
        <v/>
      </c>
    </row>
    <row r="401" spans="1:43">
      <c r="A401" s="249"/>
      <c r="B401" s="249"/>
      <c r="C401" s="249"/>
      <c r="D401" s="249"/>
      <c r="E401" s="249"/>
      <c r="F401" s="249"/>
      <c r="G401" s="249"/>
      <c r="H401" s="249"/>
      <c r="I401" s="249"/>
      <c r="J401" s="249"/>
      <c r="K401" s="249"/>
      <c r="L401" s="249"/>
      <c r="M401" s="249"/>
      <c r="N401" s="249"/>
      <c r="O401" s="249"/>
      <c r="P401" s="537"/>
      <c r="Q401" s="537"/>
      <c r="R401" s="537"/>
      <c r="S401" s="538" t="str">
        <f t="shared" ca="1" si="16"/>
        <v/>
      </c>
      <c r="T401" s="538" t="str">
        <f t="shared" ca="1" si="17"/>
        <v/>
      </c>
      <c r="U401" s="249"/>
      <c r="V401" s="249"/>
      <c r="W401" s="249"/>
      <c r="X401" s="249"/>
      <c r="Y401" s="249"/>
      <c r="Z401" s="249"/>
      <c r="AA401" s="249"/>
      <c r="AB401" s="249"/>
      <c r="AC401" s="249"/>
      <c r="AD401" s="249"/>
      <c r="AE401" s="249"/>
      <c r="AF401" s="249"/>
      <c r="AG401" s="249"/>
      <c r="AH401" s="249"/>
      <c r="AI401" s="249"/>
      <c r="AJ401" s="249"/>
      <c r="AK401" s="249"/>
      <c r="AL401" s="249"/>
      <c r="AM401" s="249"/>
      <c r="AN401" s="537"/>
      <c r="AO401" s="249" t="str">
        <f>IF(Z401="Yes",COUNTIF($Z$6:Z401,"Yes"),"")</f>
        <v/>
      </c>
      <c r="AP401" s="249" t="str">
        <f>IF(AA401="Yes",COUNTIF($AA$6:AA401,"Yes"),"")</f>
        <v/>
      </c>
      <c r="AQ401" s="249" t="str">
        <f>IF(AC401="Yes",COUNTIF($AC$6:AC401,"Yes"),"")</f>
        <v/>
      </c>
    </row>
    <row r="402" spans="1:43">
      <c r="A402" s="249"/>
      <c r="B402" s="249"/>
      <c r="C402" s="249"/>
      <c r="D402" s="249"/>
      <c r="E402" s="249"/>
      <c r="F402" s="249"/>
      <c r="G402" s="249"/>
      <c r="H402" s="249"/>
      <c r="I402" s="249"/>
      <c r="J402" s="249"/>
      <c r="K402" s="249"/>
      <c r="L402" s="249"/>
      <c r="M402" s="249"/>
      <c r="N402" s="249"/>
      <c r="O402" s="249"/>
      <c r="P402" s="537"/>
      <c r="Q402" s="537"/>
      <c r="R402" s="537"/>
      <c r="S402" s="538" t="str">
        <f t="shared" ca="1" si="16"/>
        <v/>
      </c>
      <c r="T402" s="538" t="str">
        <f t="shared" ca="1" si="17"/>
        <v/>
      </c>
      <c r="U402" s="249"/>
      <c r="V402" s="249"/>
      <c r="W402" s="249"/>
      <c r="X402" s="249"/>
      <c r="Y402" s="249"/>
      <c r="Z402" s="249"/>
      <c r="AA402" s="249"/>
      <c r="AB402" s="249"/>
      <c r="AC402" s="249"/>
      <c r="AD402" s="249"/>
      <c r="AE402" s="249"/>
      <c r="AF402" s="249"/>
      <c r="AG402" s="249"/>
      <c r="AH402" s="249"/>
      <c r="AI402" s="249"/>
      <c r="AJ402" s="249"/>
      <c r="AK402" s="249"/>
      <c r="AL402" s="249"/>
      <c r="AM402" s="249"/>
      <c r="AN402" s="537"/>
      <c r="AO402" s="249" t="str">
        <f>IF(Z402="Yes",COUNTIF($Z$6:Z402,"Yes"),"")</f>
        <v/>
      </c>
      <c r="AP402" s="249" t="str">
        <f>IF(AA402="Yes",COUNTIF($AA$6:AA402,"Yes"),"")</f>
        <v/>
      </c>
      <c r="AQ402" s="249" t="str">
        <f>IF(AC402="Yes",COUNTIF($AC$6:AC402,"Yes"),"")</f>
        <v/>
      </c>
    </row>
    <row r="403" spans="1:43">
      <c r="A403" s="249"/>
      <c r="B403" s="249"/>
      <c r="C403" s="249"/>
      <c r="D403" s="249"/>
      <c r="E403" s="249"/>
      <c r="F403" s="249"/>
      <c r="G403" s="249"/>
      <c r="H403" s="249"/>
      <c r="I403" s="249"/>
      <c r="J403" s="249"/>
      <c r="K403" s="249"/>
      <c r="L403" s="249"/>
      <c r="M403" s="249"/>
      <c r="N403" s="249"/>
      <c r="O403" s="249"/>
      <c r="P403" s="537"/>
      <c r="Q403" s="537"/>
      <c r="R403" s="537"/>
      <c r="S403" s="538" t="str">
        <f t="shared" ca="1" si="16"/>
        <v/>
      </c>
      <c r="T403" s="538" t="str">
        <f t="shared" ca="1" si="17"/>
        <v/>
      </c>
      <c r="U403" s="249"/>
      <c r="V403" s="249"/>
      <c r="W403" s="249"/>
      <c r="X403" s="249"/>
      <c r="Y403" s="249"/>
      <c r="Z403" s="249"/>
      <c r="AA403" s="249"/>
      <c r="AB403" s="249"/>
      <c r="AC403" s="249"/>
      <c r="AD403" s="249"/>
      <c r="AE403" s="249"/>
      <c r="AF403" s="249"/>
      <c r="AG403" s="249"/>
      <c r="AH403" s="249"/>
      <c r="AI403" s="249"/>
      <c r="AJ403" s="249"/>
      <c r="AK403" s="249"/>
      <c r="AL403" s="249"/>
      <c r="AM403" s="249"/>
      <c r="AN403" s="537"/>
      <c r="AO403" s="249" t="str">
        <f>IF(Z403="Yes",COUNTIF($Z$6:Z403,"Yes"),"")</f>
        <v/>
      </c>
      <c r="AP403" s="249" t="str">
        <f>IF(AA403="Yes",COUNTIF($AA$6:AA403,"Yes"),"")</f>
        <v/>
      </c>
      <c r="AQ403" s="249" t="str">
        <f>IF(AC403="Yes",COUNTIF($AC$6:AC403,"Yes"),"")</f>
        <v/>
      </c>
    </row>
    <row r="404" spans="1:43">
      <c r="A404" s="249"/>
      <c r="B404" s="249"/>
      <c r="C404" s="249"/>
      <c r="D404" s="249"/>
      <c r="E404" s="249"/>
      <c r="F404" s="249"/>
      <c r="G404" s="249"/>
      <c r="H404" s="249"/>
      <c r="I404" s="249"/>
      <c r="J404" s="249"/>
      <c r="K404" s="249"/>
      <c r="L404" s="249"/>
      <c r="M404" s="249"/>
      <c r="N404" s="249"/>
      <c r="O404" s="249"/>
      <c r="P404" s="537"/>
      <c r="Q404" s="537"/>
      <c r="R404" s="537"/>
      <c r="S404" s="538" t="str">
        <f t="shared" ca="1" si="16"/>
        <v/>
      </c>
      <c r="T404" s="538" t="str">
        <f t="shared" ca="1" si="17"/>
        <v/>
      </c>
      <c r="U404" s="249"/>
      <c r="V404" s="249"/>
      <c r="W404" s="249"/>
      <c r="X404" s="249"/>
      <c r="Y404" s="249"/>
      <c r="Z404" s="249"/>
      <c r="AA404" s="249"/>
      <c r="AB404" s="249"/>
      <c r="AC404" s="249"/>
      <c r="AD404" s="249"/>
      <c r="AE404" s="249"/>
      <c r="AF404" s="249"/>
      <c r="AG404" s="249"/>
      <c r="AH404" s="249"/>
      <c r="AI404" s="249"/>
      <c r="AJ404" s="249"/>
      <c r="AK404" s="249"/>
      <c r="AL404" s="249"/>
      <c r="AM404" s="249"/>
      <c r="AN404" s="537"/>
      <c r="AO404" s="249" t="str">
        <f>IF(Z404="Yes",COUNTIF($Z$6:Z404,"Yes"),"")</f>
        <v/>
      </c>
      <c r="AP404" s="249" t="str">
        <f>IF(AA404="Yes",COUNTIF($AA$6:AA404,"Yes"),"")</f>
        <v/>
      </c>
      <c r="AQ404" s="249" t="str">
        <f>IF(AC404="Yes",COUNTIF($AC$6:AC404,"Yes"),"")</f>
        <v/>
      </c>
    </row>
    <row r="405" spans="1:43">
      <c r="A405" s="249"/>
      <c r="B405" s="249"/>
      <c r="C405" s="249"/>
      <c r="D405" s="249"/>
      <c r="E405" s="249"/>
      <c r="F405" s="249"/>
      <c r="G405" s="249"/>
      <c r="H405" s="249"/>
      <c r="I405" s="249"/>
      <c r="J405" s="249"/>
      <c r="K405" s="249"/>
      <c r="L405" s="249"/>
      <c r="M405" s="249"/>
      <c r="N405" s="249"/>
      <c r="O405" s="249"/>
      <c r="P405" s="537"/>
      <c r="Q405" s="537"/>
      <c r="R405" s="537"/>
      <c r="S405" s="538" t="str">
        <f t="shared" ca="1" si="16"/>
        <v/>
      </c>
      <c r="T405" s="538" t="str">
        <f t="shared" ca="1" si="17"/>
        <v/>
      </c>
      <c r="U405" s="249"/>
      <c r="V405" s="249"/>
      <c r="W405" s="249"/>
      <c r="X405" s="249"/>
      <c r="Y405" s="249"/>
      <c r="Z405" s="249"/>
      <c r="AA405" s="249"/>
      <c r="AB405" s="249"/>
      <c r="AC405" s="249"/>
      <c r="AD405" s="249"/>
      <c r="AE405" s="249"/>
      <c r="AF405" s="249"/>
      <c r="AG405" s="249"/>
      <c r="AH405" s="249"/>
      <c r="AI405" s="249"/>
      <c r="AJ405" s="249"/>
      <c r="AK405" s="249"/>
      <c r="AL405" s="249"/>
      <c r="AM405" s="249"/>
      <c r="AN405" s="537"/>
      <c r="AO405" s="249" t="str">
        <f>IF(Z405="Yes",COUNTIF($Z$6:Z405,"Yes"),"")</f>
        <v/>
      </c>
      <c r="AP405" s="249" t="str">
        <f>IF(AA405="Yes",COUNTIF($AA$6:AA405,"Yes"),"")</f>
        <v/>
      </c>
      <c r="AQ405" s="249" t="str">
        <f>IF(AC405="Yes",COUNTIF($AC$6:AC405,"Yes"),"")</f>
        <v/>
      </c>
    </row>
    <row r="406" spans="1:43">
      <c r="A406" s="249"/>
      <c r="B406" s="249"/>
      <c r="C406" s="249"/>
      <c r="D406" s="249"/>
      <c r="E406" s="249"/>
      <c r="F406" s="249"/>
      <c r="G406" s="249"/>
      <c r="H406" s="249"/>
      <c r="I406" s="249"/>
      <c r="J406" s="249"/>
      <c r="K406" s="249"/>
      <c r="L406" s="249"/>
      <c r="M406" s="249"/>
      <c r="N406" s="249"/>
      <c r="O406" s="249"/>
      <c r="P406" s="537"/>
      <c r="Q406" s="537"/>
      <c r="R406" s="537"/>
      <c r="S406" s="538" t="str">
        <f t="shared" ca="1" si="16"/>
        <v/>
      </c>
      <c r="T406" s="538" t="str">
        <f t="shared" ca="1" si="17"/>
        <v/>
      </c>
      <c r="U406" s="249"/>
      <c r="V406" s="249"/>
      <c r="W406" s="249"/>
      <c r="X406" s="249"/>
      <c r="Y406" s="249"/>
      <c r="Z406" s="249"/>
      <c r="AA406" s="249"/>
      <c r="AB406" s="249"/>
      <c r="AC406" s="249"/>
      <c r="AD406" s="249"/>
      <c r="AE406" s="249"/>
      <c r="AF406" s="249"/>
      <c r="AG406" s="249"/>
      <c r="AH406" s="249"/>
      <c r="AI406" s="249"/>
      <c r="AJ406" s="249"/>
      <c r="AK406" s="249"/>
      <c r="AL406" s="249"/>
      <c r="AM406" s="249"/>
      <c r="AN406" s="537"/>
      <c r="AO406" s="249" t="str">
        <f>IF(Z406="Yes",COUNTIF($Z$6:Z406,"Yes"),"")</f>
        <v/>
      </c>
      <c r="AP406" s="249" t="str">
        <f>IF(AA406="Yes",COUNTIF($AA$6:AA406,"Yes"),"")</f>
        <v/>
      </c>
      <c r="AQ406" s="249" t="str">
        <f>IF(AC406="Yes",COUNTIF($AC$6:AC406,"Yes"),"")</f>
        <v/>
      </c>
    </row>
    <row r="407" spans="1:43">
      <c r="A407" s="249"/>
      <c r="B407" s="249"/>
      <c r="C407" s="249"/>
      <c r="D407" s="249"/>
      <c r="E407" s="249"/>
      <c r="F407" s="249"/>
      <c r="G407" s="249"/>
      <c r="H407" s="249"/>
      <c r="I407" s="249"/>
      <c r="J407" s="249"/>
      <c r="K407" s="249"/>
      <c r="L407" s="249"/>
      <c r="M407" s="249"/>
      <c r="N407" s="249"/>
      <c r="O407" s="249"/>
      <c r="P407" s="537"/>
      <c r="Q407" s="537"/>
      <c r="R407" s="537"/>
      <c r="S407" s="538" t="str">
        <f t="shared" ca="1" si="16"/>
        <v/>
      </c>
      <c r="T407" s="538" t="str">
        <f t="shared" ca="1" si="17"/>
        <v/>
      </c>
      <c r="U407" s="249"/>
      <c r="V407" s="249"/>
      <c r="W407" s="249"/>
      <c r="X407" s="249"/>
      <c r="Y407" s="249"/>
      <c r="Z407" s="249"/>
      <c r="AA407" s="249"/>
      <c r="AB407" s="249"/>
      <c r="AC407" s="249"/>
      <c r="AD407" s="249"/>
      <c r="AE407" s="249"/>
      <c r="AF407" s="249"/>
      <c r="AG407" s="249"/>
      <c r="AH407" s="249"/>
      <c r="AI407" s="249"/>
      <c r="AJ407" s="249"/>
      <c r="AK407" s="249"/>
      <c r="AL407" s="249"/>
      <c r="AM407" s="249"/>
      <c r="AN407" s="537"/>
      <c r="AO407" s="249" t="str">
        <f>IF(Z407="Yes",COUNTIF($Z$6:Z407,"Yes"),"")</f>
        <v/>
      </c>
      <c r="AP407" s="249" t="str">
        <f>IF(AA407="Yes",COUNTIF($AA$6:AA407,"Yes"),"")</f>
        <v/>
      </c>
      <c r="AQ407" s="249" t="str">
        <f>IF(AC407="Yes",COUNTIF($AC$6:AC407,"Yes"),"")</f>
        <v/>
      </c>
    </row>
    <row r="408" spans="1:43">
      <c r="A408" s="249"/>
      <c r="B408" s="249"/>
      <c r="C408" s="249"/>
      <c r="D408" s="249"/>
      <c r="E408" s="249"/>
      <c r="F408" s="249"/>
      <c r="G408" s="249"/>
      <c r="H408" s="249"/>
      <c r="I408" s="249"/>
      <c r="J408" s="249"/>
      <c r="K408" s="249"/>
      <c r="L408" s="249"/>
      <c r="M408" s="249"/>
      <c r="N408" s="249"/>
      <c r="O408" s="249"/>
      <c r="P408" s="537"/>
      <c r="Q408" s="537"/>
      <c r="R408" s="537"/>
      <c r="S408" s="538" t="str">
        <f t="shared" ca="1" si="16"/>
        <v/>
      </c>
      <c r="T408" s="538" t="str">
        <f t="shared" ca="1" si="17"/>
        <v/>
      </c>
      <c r="U408" s="249"/>
      <c r="V408" s="249"/>
      <c r="W408" s="249"/>
      <c r="X408" s="249"/>
      <c r="Y408" s="249"/>
      <c r="Z408" s="249"/>
      <c r="AA408" s="249"/>
      <c r="AB408" s="249"/>
      <c r="AC408" s="249"/>
      <c r="AD408" s="249"/>
      <c r="AE408" s="249"/>
      <c r="AF408" s="249"/>
      <c r="AG408" s="249"/>
      <c r="AH408" s="249"/>
      <c r="AI408" s="249"/>
      <c r="AJ408" s="249"/>
      <c r="AK408" s="249"/>
      <c r="AL408" s="249"/>
      <c r="AM408" s="249"/>
      <c r="AN408" s="537"/>
      <c r="AO408" s="249" t="str">
        <f>IF(Z408="Yes",COUNTIF($Z$6:Z408,"Yes"),"")</f>
        <v/>
      </c>
      <c r="AP408" s="249" t="str">
        <f>IF(AA408="Yes",COUNTIF($AA$6:AA408,"Yes"),"")</f>
        <v/>
      </c>
      <c r="AQ408" s="249" t="str">
        <f>IF(AC408="Yes",COUNTIF($AC$6:AC408,"Yes"),"")</f>
        <v/>
      </c>
    </row>
    <row r="409" spans="1:43">
      <c r="A409" s="249"/>
      <c r="B409" s="249"/>
      <c r="C409" s="249"/>
      <c r="D409" s="249"/>
      <c r="E409" s="249"/>
      <c r="F409" s="249"/>
      <c r="G409" s="249"/>
      <c r="H409" s="249"/>
      <c r="I409" s="249"/>
      <c r="J409" s="249"/>
      <c r="K409" s="249"/>
      <c r="L409" s="249"/>
      <c r="M409" s="249"/>
      <c r="N409" s="249"/>
      <c r="O409" s="249"/>
      <c r="P409" s="537"/>
      <c r="Q409" s="537"/>
      <c r="R409" s="537"/>
      <c r="S409" s="538" t="str">
        <f t="shared" ca="1" si="16"/>
        <v/>
      </c>
      <c r="T409" s="538" t="str">
        <f t="shared" ca="1" si="17"/>
        <v/>
      </c>
      <c r="U409" s="249"/>
      <c r="V409" s="249"/>
      <c r="W409" s="249"/>
      <c r="X409" s="249"/>
      <c r="Y409" s="249"/>
      <c r="Z409" s="249"/>
      <c r="AA409" s="249"/>
      <c r="AB409" s="249"/>
      <c r="AC409" s="249"/>
      <c r="AD409" s="249"/>
      <c r="AE409" s="249"/>
      <c r="AF409" s="249"/>
      <c r="AG409" s="249"/>
      <c r="AH409" s="249"/>
      <c r="AI409" s="249"/>
      <c r="AJ409" s="249"/>
      <c r="AK409" s="249"/>
      <c r="AL409" s="249"/>
      <c r="AM409" s="249"/>
      <c r="AN409" s="537"/>
      <c r="AO409" s="249" t="str">
        <f>IF(Z409="Yes",COUNTIF($Z$6:Z409,"Yes"),"")</f>
        <v/>
      </c>
      <c r="AP409" s="249" t="str">
        <f>IF(AA409="Yes",COUNTIF($AA$6:AA409,"Yes"),"")</f>
        <v/>
      </c>
      <c r="AQ409" s="249" t="str">
        <f>IF(AC409="Yes",COUNTIF($AC$6:AC409,"Yes"),"")</f>
        <v/>
      </c>
    </row>
    <row r="410" spans="1:43">
      <c r="A410" s="249"/>
      <c r="B410" s="249"/>
      <c r="C410" s="249"/>
      <c r="D410" s="249"/>
      <c r="E410" s="249"/>
      <c r="F410" s="249"/>
      <c r="G410" s="249"/>
      <c r="H410" s="249"/>
      <c r="I410" s="249"/>
      <c r="J410" s="249"/>
      <c r="K410" s="249"/>
      <c r="L410" s="249"/>
      <c r="M410" s="249"/>
      <c r="N410" s="249"/>
      <c r="O410" s="249"/>
      <c r="P410" s="537"/>
      <c r="Q410" s="537"/>
      <c r="R410" s="537"/>
      <c r="S410" s="538" t="str">
        <f t="shared" ca="1" si="16"/>
        <v/>
      </c>
      <c r="T410" s="538" t="str">
        <f t="shared" ca="1" si="17"/>
        <v/>
      </c>
      <c r="U410" s="249"/>
      <c r="V410" s="249"/>
      <c r="W410" s="249"/>
      <c r="X410" s="249"/>
      <c r="Y410" s="249"/>
      <c r="Z410" s="249"/>
      <c r="AA410" s="249"/>
      <c r="AB410" s="249"/>
      <c r="AC410" s="249"/>
      <c r="AD410" s="249"/>
      <c r="AE410" s="249"/>
      <c r="AF410" s="249"/>
      <c r="AG410" s="249"/>
      <c r="AH410" s="249"/>
      <c r="AI410" s="249"/>
      <c r="AJ410" s="249"/>
      <c r="AK410" s="249"/>
      <c r="AL410" s="249"/>
      <c r="AM410" s="249"/>
      <c r="AN410" s="537"/>
      <c r="AO410" s="249" t="str">
        <f>IF(Z410="Yes",COUNTIF($Z$6:Z410,"Yes"),"")</f>
        <v/>
      </c>
      <c r="AP410" s="249" t="str">
        <f>IF(AA410="Yes",COUNTIF($AA$6:AA410,"Yes"),"")</f>
        <v/>
      </c>
      <c r="AQ410" s="249" t="str">
        <f>IF(AC410="Yes",COUNTIF($AC$6:AC410,"Yes"),"")</f>
        <v/>
      </c>
    </row>
    <row r="411" spans="1:43">
      <c r="A411" s="249"/>
      <c r="B411" s="249"/>
      <c r="C411" s="249"/>
      <c r="D411" s="249"/>
      <c r="E411" s="249"/>
      <c r="F411" s="249"/>
      <c r="G411" s="249"/>
      <c r="H411" s="249"/>
      <c r="I411" s="249"/>
      <c r="J411" s="249"/>
      <c r="K411" s="249"/>
      <c r="L411" s="249"/>
      <c r="M411" s="249"/>
      <c r="N411" s="249"/>
      <c r="O411" s="249"/>
      <c r="P411" s="537"/>
      <c r="Q411" s="537"/>
      <c r="R411" s="537"/>
      <c r="S411" s="538" t="str">
        <f t="shared" ca="1" si="16"/>
        <v/>
      </c>
      <c r="T411" s="538" t="str">
        <f t="shared" ca="1" si="17"/>
        <v/>
      </c>
      <c r="U411" s="249"/>
      <c r="V411" s="249"/>
      <c r="W411" s="249"/>
      <c r="X411" s="249"/>
      <c r="Y411" s="249"/>
      <c r="Z411" s="249"/>
      <c r="AA411" s="249"/>
      <c r="AB411" s="249"/>
      <c r="AC411" s="249"/>
      <c r="AD411" s="249"/>
      <c r="AE411" s="249"/>
      <c r="AF411" s="249"/>
      <c r="AG411" s="249"/>
      <c r="AH411" s="249"/>
      <c r="AI411" s="249"/>
      <c r="AJ411" s="249"/>
      <c r="AK411" s="249"/>
      <c r="AL411" s="249"/>
      <c r="AM411" s="249"/>
      <c r="AN411" s="537"/>
      <c r="AO411" s="249" t="str">
        <f>IF(Z411="Yes",COUNTIF($Z$6:Z411,"Yes"),"")</f>
        <v/>
      </c>
      <c r="AP411" s="249" t="str">
        <f>IF(AA411="Yes",COUNTIF($AA$6:AA411,"Yes"),"")</f>
        <v/>
      </c>
      <c r="AQ411" s="249" t="str">
        <f>IF(AC411="Yes",COUNTIF($AC$6:AC411,"Yes"),"")</f>
        <v/>
      </c>
    </row>
    <row r="412" spans="1:43">
      <c r="A412" s="249"/>
      <c r="B412" s="249"/>
      <c r="C412" s="249"/>
      <c r="D412" s="249"/>
      <c r="E412" s="249"/>
      <c r="F412" s="249"/>
      <c r="G412" s="249"/>
      <c r="H412" s="249"/>
      <c r="I412" s="249"/>
      <c r="J412" s="249"/>
      <c r="K412" s="249"/>
      <c r="L412" s="249"/>
      <c r="M412" s="249"/>
      <c r="N412" s="249"/>
      <c r="O412" s="249"/>
      <c r="P412" s="537"/>
      <c r="Q412" s="537"/>
      <c r="R412" s="537"/>
      <c r="S412" s="538" t="str">
        <f t="shared" ca="1" si="16"/>
        <v/>
      </c>
      <c r="T412" s="538" t="str">
        <f t="shared" ca="1" si="17"/>
        <v/>
      </c>
      <c r="U412" s="249"/>
      <c r="V412" s="249"/>
      <c r="W412" s="249"/>
      <c r="X412" s="249"/>
      <c r="Y412" s="249"/>
      <c r="Z412" s="249"/>
      <c r="AA412" s="249"/>
      <c r="AB412" s="249"/>
      <c r="AC412" s="249"/>
      <c r="AD412" s="249"/>
      <c r="AE412" s="249"/>
      <c r="AF412" s="249"/>
      <c r="AG412" s="249"/>
      <c r="AH412" s="249"/>
      <c r="AI412" s="249"/>
      <c r="AJ412" s="249"/>
      <c r="AK412" s="249"/>
      <c r="AL412" s="249"/>
      <c r="AM412" s="249"/>
      <c r="AN412" s="537"/>
      <c r="AO412" s="249" t="str">
        <f>IF(Z412="Yes",COUNTIF($Z$6:Z412,"Yes"),"")</f>
        <v/>
      </c>
      <c r="AP412" s="249" t="str">
        <f>IF(AA412="Yes",COUNTIF($AA$6:AA412,"Yes"),"")</f>
        <v/>
      </c>
      <c r="AQ412" s="249" t="str">
        <f>IF(AC412="Yes",COUNTIF($AC$6:AC412,"Yes"),"")</f>
        <v/>
      </c>
    </row>
    <row r="413" spans="1:43">
      <c r="A413" s="249"/>
      <c r="B413" s="249"/>
      <c r="C413" s="249"/>
      <c r="D413" s="249"/>
      <c r="E413" s="249"/>
      <c r="F413" s="249"/>
      <c r="G413" s="249"/>
      <c r="H413" s="249"/>
      <c r="I413" s="249"/>
      <c r="J413" s="249"/>
      <c r="K413" s="249"/>
      <c r="L413" s="249"/>
      <c r="M413" s="249"/>
      <c r="N413" s="249"/>
      <c r="O413" s="249"/>
      <c r="P413" s="537"/>
      <c r="Q413" s="537"/>
      <c r="R413" s="537"/>
      <c r="S413" s="538" t="str">
        <f t="shared" ca="1" si="16"/>
        <v/>
      </c>
      <c r="T413" s="538" t="str">
        <f t="shared" ca="1" si="17"/>
        <v/>
      </c>
      <c r="U413" s="249"/>
      <c r="V413" s="249"/>
      <c r="W413" s="249"/>
      <c r="X413" s="249"/>
      <c r="Y413" s="249"/>
      <c r="Z413" s="249"/>
      <c r="AA413" s="249"/>
      <c r="AB413" s="249"/>
      <c r="AC413" s="249"/>
      <c r="AD413" s="249"/>
      <c r="AE413" s="249"/>
      <c r="AF413" s="249"/>
      <c r="AG413" s="249"/>
      <c r="AH413" s="249"/>
      <c r="AI413" s="249"/>
      <c r="AJ413" s="249"/>
      <c r="AK413" s="249"/>
      <c r="AL413" s="249"/>
      <c r="AM413" s="249"/>
      <c r="AN413" s="537"/>
      <c r="AO413" s="249" t="str">
        <f>IF(Z413="Yes",COUNTIF($Z$6:Z413,"Yes"),"")</f>
        <v/>
      </c>
      <c r="AP413" s="249" t="str">
        <f>IF(AA413="Yes",COUNTIF($AA$6:AA413,"Yes"),"")</f>
        <v/>
      </c>
      <c r="AQ413" s="249" t="str">
        <f>IF(AC413="Yes",COUNTIF($AC$6:AC413,"Yes"),"")</f>
        <v/>
      </c>
    </row>
    <row r="414" spans="1:43">
      <c r="A414" s="249"/>
      <c r="B414" s="249"/>
      <c r="C414" s="249"/>
      <c r="D414" s="249"/>
      <c r="E414" s="249"/>
      <c r="F414" s="249"/>
      <c r="G414" s="249"/>
      <c r="H414" s="249"/>
      <c r="I414" s="249"/>
      <c r="J414" s="249"/>
      <c r="K414" s="249"/>
      <c r="L414" s="249"/>
      <c r="M414" s="249"/>
      <c r="N414" s="249"/>
      <c r="O414" s="249"/>
      <c r="P414" s="537"/>
      <c r="Q414" s="537"/>
      <c r="R414" s="537"/>
      <c r="S414" s="538" t="str">
        <f t="shared" ca="1" si="16"/>
        <v/>
      </c>
      <c r="T414" s="538" t="str">
        <f t="shared" ca="1" si="17"/>
        <v/>
      </c>
      <c r="U414" s="249"/>
      <c r="V414" s="249"/>
      <c r="W414" s="249"/>
      <c r="X414" s="249"/>
      <c r="Y414" s="249"/>
      <c r="Z414" s="249"/>
      <c r="AA414" s="249"/>
      <c r="AB414" s="249"/>
      <c r="AC414" s="249"/>
      <c r="AD414" s="249"/>
      <c r="AE414" s="249"/>
      <c r="AF414" s="249"/>
      <c r="AG414" s="249"/>
      <c r="AH414" s="249"/>
      <c r="AI414" s="249"/>
      <c r="AJ414" s="249"/>
      <c r="AK414" s="249"/>
      <c r="AL414" s="249"/>
      <c r="AM414" s="249"/>
      <c r="AN414" s="537"/>
      <c r="AO414" s="249" t="str">
        <f>IF(Z414="Yes",COUNTIF($Z$6:Z414,"Yes"),"")</f>
        <v/>
      </c>
      <c r="AP414" s="249" t="str">
        <f>IF(AA414="Yes",COUNTIF($AA$6:AA414,"Yes"),"")</f>
        <v/>
      </c>
      <c r="AQ414" s="249" t="str">
        <f>IF(AC414="Yes",COUNTIF($AC$6:AC414,"Yes"),"")</f>
        <v/>
      </c>
    </row>
    <row r="415" spans="1:43">
      <c r="A415" s="249"/>
      <c r="B415" s="249"/>
      <c r="C415" s="249"/>
      <c r="D415" s="249"/>
      <c r="E415" s="249"/>
      <c r="F415" s="249"/>
      <c r="G415" s="249"/>
      <c r="H415" s="249"/>
      <c r="I415" s="249"/>
      <c r="J415" s="249"/>
      <c r="K415" s="249"/>
      <c r="L415" s="249"/>
      <c r="M415" s="249"/>
      <c r="N415" s="249"/>
      <c r="O415" s="249"/>
      <c r="P415" s="537"/>
      <c r="Q415" s="537"/>
      <c r="R415" s="537"/>
      <c r="S415" s="538" t="str">
        <f t="shared" ca="1" si="16"/>
        <v/>
      </c>
      <c r="T415" s="538" t="str">
        <f t="shared" ca="1" si="17"/>
        <v/>
      </c>
      <c r="U415" s="249"/>
      <c r="V415" s="249"/>
      <c r="W415" s="249"/>
      <c r="X415" s="249"/>
      <c r="Y415" s="249"/>
      <c r="Z415" s="249"/>
      <c r="AA415" s="249"/>
      <c r="AB415" s="249"/>
      <c r="AC415" s="249"/>
      <c r="AD415" s="249"/>
      <c r="AE415" s="249"/>
      <c r="AF415" s="249"/>
      <c r="AG415" s="249"/>
      <c r="AH415" s="249"/>
      <c r="AI415" s="249"/>
      <c r="AJ415" s="249"/>
      <c r="AK415" s="249"/>
      <c r="AL415" s="249"/>
      <c r="AM415" s="249"/>
      <c r="AN415" s="537"/>
      <c r="AO415" s="249" t="str">
        <f>IF(Z415="Yes",COUNTIF($Z$6:Z415,"Yes"),"")</f>
        <v/>
      </c>
      <c r="AP415" s="249" t="str">
        <f>IF(AA415="Yes",COUNTIF($AA$6:AA415,"Yes"),"")</f>
        <v/>
      </c>
      <c r="AQ415" s="249" t="str">
        <f>IF(AC415="Yes",COUNTIF($AC$6:AC415,"Yes"),"")</f>
        <v/>
      </c>
    </row>
    <row r="416" spans="1:43">
      <c r="A416" s="249"/>
      <c r="B416" s="249"/>
      <c r="C416" s="249"/>
      <c r="D416" s="249"/>
      <c r="E416" s="249"/>
      <c r="F416" s="249"/>
      <c r="G416" s="249"/>
      <c r="H416" s="249"/>
      <c r="I416" s="249"/>
      <c r="J416" s="249"/>
      <c r="K416" s="249"/>
      <c r="L416" s="249"/>
      <c r="M416" s="249"/>
      <c r="N416" s="249"/>
      <c r="O416" s="249"/>
      <c r="P416" s="537"/>
      <c r="Q416" s="537"/>
      <c r="R416" s="537"/>
      <c r="S416" s="538" t="str">
        <f t="shared" ca="1" si="16"/>
        <v/>
      </c>
      <c r="T416" s="538" t="str">
        <f t="shared" ca="1" si="17"/>
        <v/>
      </c>
      <c r="U416" s="249"/>
      <c r="V416" s="249"/>
      <c r="W416" s="249"/>
      <c r="X416" s="249"/>
      <c r="Y416" s="249"/>
      <c r="Z416" s="249"/>
      <c r="AA416" s="249"/>
      <c r="AB416" s="249"/>
      <c r="AC416" s="249"/>
      <c r="AD416" s="249"/>
      <c r="AE416" s="249"/>
      <c r="AF416" s="249"/>
      <c r="AG416" s="249"/>
      <c r="AH416" s="249"/>
      <c r="AI416" s="249"/>
      <c r="AJ416" s="249"/>
      <c r="AK416" s="249"/>
      <c r="AL416" s="249"/>
      <c r="AM416" s="249"/>
      <c r="AN416" s="537"/>
      <c r="AO416" s="249" t="str">
        <f>IF(Z416="Yes",COUNTIF($Z$6:Z416,"Yes"),"")</f>
        <v/>
      </c>
      <c r="AP416" s="249" t="str">
        <f>IF(AA416="Yes",COUNTIF($AA$6:AA416,"Yes"),"")</f>
        <v/>
      </c>
      <c r="AQ416" s="249" t="str">
        <f>IF(AC416="Yes",COUNTIF($AC$6:AC416,"Yes"),"")</f>
        <v/>
      </c>
    </row>
    <row r="417" spans="1:43">
      <c r="A417" s="249"/>
      <c r="B417" s="249"/>
      <c r="C417" s="249"/>
      <c r="D417" s="249"/>
      <c r="E417" s="249"/>
      <c r="F417" s="249"/>
      <c r="G417" s="249"/>
      <c r="H417" s="249"/>
      <c r="I417" s="249"/>
      <c r="J417" s="249"/>
      <c r="K417" s="249"/>
      <c r="L417" s="249"/>
      <c r="M417" s="249"/>
      <c r="N417" s="249"/>
      <c r="O417" s="249"/>
      <c r="P417" s="537"/>
      <c r="Q417" s="537"/>
      <c r="R417" s="537"/>
      <c r="S417" s="538" t="str">
        <f t="shared" ca="1" si="16"/>
        <v/>
      </c>
      <c r="T417" s="538" t="str">
        <f t="shared" ca="1" si="17"/>
        <v/>
      </c>
      <c r="U417" s="249"/>
      <c r="V417" s="249"/>
      <c r="W417" s="249"/>
      <c r="X417" s="249"/>
      <c r="Y417" s="249"/>
      <c r="Z417" s="249"/>
      <c r="AA417" s="249"/>
      <c r="AB417" s="249"/>
      <c r="AC417" s="249"/>
      <c r="AD417" s="249"/>
      <c r="AE417" s="249"/>
      <c r="AF417" s="249"/>
      <c r="AG417" s="249"/>
      <c r="AH417" s="249"/>
      <c r="AI417" s="249"/>
      <c r="AJ417" s="249"/>
      <c r="AK417" s="249"/>
      <c r="AL417" s="249"/>
      <c r="AM417" s="249"/>
      <c r="AN417" s="537"/>
      <c r="AO417" s="249" t="str">
        <f>IF(Z417="Yes",COUNTIF($Z$6:Z417,"Yes"),"")</f>
        <v/>
      </c>
      <c r="AP417" s="249" t="str">
        <f>IF(AA417="Yes",COUNTIF($AA$6:AA417,"Yes"),"")</f>
        <v/>
      </c>
      <c r="AQ417" s="249" t="str">
        <f>IF(AC417="Yes",COUNTIF($AC$6:AC417,"Yes"),"")</f>
        <v/>
      </c>
    </row>
    <row r="418" spans="1:43">
      <c r="A418" s="249"/>
      <c r="B418" s="249"/>
      <c r="C418" s="249"/>
      <c r="D418" s="249"/>
      <c r="E418" s="249"/>
      <c r="F418" s="249"/>
      <c r="G418" s="249"/>
      <c r="H418" s="249"/>
      <c r="I418" s="249"/>
      <c r="J418" s="249"/>
      <c r="K418" s="249"/>
      <c r="L418" s="249"/>
      <c r="M418" s="249"/>
      <c r="N418" s="249"/>
      <c r="O418" s="249"/>
      <c r="P418" s="537"/>
      <c r="Q418" s="537"/>
      <c r="R418" s="537"/>
      <c r="S418" s="538" t="str">
        <f t="shared" ca="1" si="16"/>
        <v/>
      </c>
      <c r="T418" s="538" t="str">
        <f t="shared" ca="1" si="17"/>
        <v/>
      </c>
      <c r="U418" s="249"/>
      <c r="V418" s="249"/>
      <c r="W418" s="249"/>
      <c r="X418" s="249"/>
      <c r="Y418" s="249"/>
      <c r="Z418" s="249"/>
      <c r="AA418" s="249"/>
      <c r="AB418" s="249"/>
      <c r="AC418" s="249"/>
      <c r="AD418" s="249"/>
      <c r="AE418" s="249"/>
      <c r="AF418" s="249"/>
      <c r="AG418" s="249"/>
      <c r="AH418" s="249"/>
      <c r="AI418" s="249"/>
      <c r="AJ418" s="249"/>
      <c r="AK418" s="249"/>
      <c r="AL418" s="249"/>
      <c r="AM418" s="249"/>
      <c r="AN418" s="537"/>
      <c r="AO418" s="249" t="str">
        <f>IF(Z418="Yes",COUNTIF($Z$6:Z418,"Yes"),"")</f>
        <v/>
      </c>
      <c r="AP418" s="249" t="str">
        <f>IF(AA418="Yes",COUNTIF($AA$6:AA418,"Yes"),"")</f>
        <v/>
      </c>
      <c r="AQ418" s="249" t="str">
        <f>IF(AC418="Yes",COUNTIF($AC$6:AC418,"Yes"),"")</f>
        <v/>
      </c>
    </row>
    <row r="419" spans="1:43">
      <c r="A419" s="249"/>
      <c r="B419" s="249"/>
      <c r="C419" s="249"/>
      <c r="D419" s="249"/>
      <c r="E419" s="249"/>
      <c r="F419" s="249"/>
      <c r="G419" s="249"/>
      <c r="H419" s="249"/>
      <c r="I419" s="249"/>
      <c r="J419" s="249"/>
      <c r="K419" s="249"/>
      <c r="L419" s="249"/>
      <c r="M419" s="249"/>
      <c r="N419" s="249"/>
      <c r="O419" s="249"/>
      <c r="P419" s="537"/>
      <c r="Q419" s="537"/>
      <c r="R419" s="537"/>
      <c r="S419" s="538" t="str">
        <f t="shared" ca="1" si="16"/>
        <v/>
      </c>
      <c r="T419" s="538" t="str">
        <f t="shared" ca="1" si="17"/>
        <v/>
      </c>
      <c r="U419" s="249"/>
      <c r="V419" s="249"/>
      <c r="W419" s="249"/>
      <c r="X419" s="249"/>
      <c r="Y419" s="249"/>
      <c r="Z419" s="249"/>
      <c r="AA419" s="249"/>
      <c r="AB419" s="249"/>
      <c r="AC419" s="249"/>
      <c r="AD419" s="249"/>
      <c r="AE419" s="249"/>
      <c r="AF419" s="249"/>
      <c r="AG419" s="249"/>
      <c r="AH419" s="249"/>
      <c r="AI419" s="249"/>
      <c r="AJ419" s="249"/>
      <c r="AK419" s="249"/>
      <c r="AL419" s="249"/>
      <c r="AM419" s="249"/>
      <c r="AN419" s="537"/>
      <c r="AO419" s="249" t="str">
        <f>IF(Z419="Yes",COUNTIF($Z$6:Z419,"Yes"),"")</f>
        <v/>
      </c>
      <c r="AP419" s="249" t="str">
        <f>IF(AA419="Yes",COUNTIF($AA$6:AA419,"Yes"),"")</f>
        <v/>
      </c>
      <c r="AQ419" s="249" t="str">
        <f>IF(AC419="Yes",COUNTIF($AC$6:AC419,"Yes"),"")</f>
        <v/>
      </c>
    </row>
    <row r="420" spans="1:43">
      <c r="A420" s="249"/>
      <c r="B420" s="249"/>
      <c r="C420" s="249"/>
      <c r="D420" s="249"/>
      <c r="E420" s="249"/>
      <c r="F420" s="249"/>
      <c r="G420" s="249"/>
      <c r="H420" s="249"/>
      <c r="I420" s="249"/>
      <c r="J420" s="249"/>
      <c r="K420" s="249"/>
      <c r="L420" s="249"/>
      <c r="M420" s="249"/>
      <c r="N420" s="249"/>
      <c r="O420" s="249"/>
      <c r="P420" s="537"/>
      <c r="Q420" s="537"/>
      <c r="R420" s="537"/>
      <c r="S420" s="538" t="str">
        <f t="shared" ca="1" si="16"/>
        <v/>
      </c>
      <c r="T420" s="538" t="str">
        <f t="shared" ca="1" si="17"/>
        <v/>
      </c>
      <c r="U420" s="249"/>
      <c r="V420" s="249"/>
      <c r="W420" s="249"/>
      <c r="X420" s="249"/>
      <c r="Y420" s="249"/>
      <c r="Z420" s="249"/>
      <c r="AA420" s="249"/>
      <c r="AB420" s="249"/>
      <c r="AC420" s="249"/>
      <c r="AD420" s="249"/>
      <c r="AE420" s="249"/>
      <c r="AF420" s="249"/>
      <c r="AG420" s="249"/>
      <c r="AH420" s="249"/>
      <c r="AI420" s="249"/>
      <c r="AJ420" s="249"/>
      <c r="AK420" s="249"/>
      <c r="AL420" s="249"/>
      <c r="AM420" s="249"/>
      <c r="AN420" s="537"/>
      <c r="AO420" s="249" t="str">
        <f>IF(Z420="Yes",COUNTIF($Z$6:Z420,"Yes"),"")</f>
        <v/>
      </c>
      <c r="AP420" s="249" t="str">
        <f>IF(AA420="Yes",COUNTIF($AA$6:AA420,"Yes"),"")</f>
        <v/>
      </c>
      <c r="AQ420" s="249" t="str">
        <f>IF(AC420="Yes",COUNTIF($AC$6:AC420,"Yes"),"")</f>
        <v/>
      </c>
    </row>
    <row r="421" spans="1:43">
      <c r="A421" s="249"/>
      <c r="B421" s="249"/>
      <c r="C421" s="249"/>
      <c r="D421" s="249"/>
      <c r="E421" s="249"/>
      <c r="F421" s="249"/>
      <c r="G421" s="249"/>
      <c r="H421" s="249"/>
      <c r="I421" s="249"/>
      <c r="J421" s="249"/>
      <c r="K421" s="249"/>
      <c r="L421" s="249"/>
      <c r="M421" s="249"/>
      <c r="N421" s="249"/>
      <c r="O421" s="249"/>
      <c r="P421" s="537"/>
      <c r="Q421" s="537"/>
      <c r="R421" s="537"/>
      <c r="S421" s="538" t="str">
        <f t="shared" ca="1" si="16"/>
        <v/>
      </c>
      <c r="T421" s="538" t="str">
        <f t="shared" ca="1" si="17"/>
        <v/>
      </c>
      <c r="U421" s="249"/>
      <c r="V421" s="249"/>
      <c r="W421" s="249"/>
      <c r="X421" s="249"/>
      <c r="Y421" s="249"/>
      <c r="Z421" s="249"/>
      <c r="AA421" s="249"/>
      <c r="AB421" s="249"/>
      <c r="AC421" s="249"/>
      <c r="AD421" s="249"/>
      <c r="AE421" s="249"/>
      <c r="AF421" s="249"/>
      <c r="AG421" s="249"/>
      <c r="AH421" s="249"/>
      <c r="AI421" s="249"/>
      <c r="AJ421" s="249"/>
      <c r="AK421" s="249"/>
      <c r="AL421" s="249"/>
      <c r="AM421" s="249"/>
      <c r="AN421" s="537"/>
      <c r="AO421" s="249" t="str">
        <f>IF(Z421="Yes",COUNTIF($Z$6:Z421,"Yes"),"")</f>
        <v/>
      </c>
      <c r="AP421" s="249" t="str">
        <f>IF(AA421="Yes",COUNTIF($AA$6:AA421,"Yes"),"")</f>
        <v/>
      </c>
      <c r="AQ421" s="249" t="str">
        <f>IF(AC421="Yes",COUNTIF($AC$6:AC421,"Yes"),"")</f>
        <v/>
      </c>
    </row>
    <row r="422" spans="1:43">
      <c r="A422" s="249"/>
      <c r="B422" s="249"/>
      <c r="C422" s="249"/>
      <c r="D422" s="249"/>
      <c r="E422" s="249"/>
      <c r="F422" s="249"/>
      <c r="G422" s="249"/>
      <c r="H422" s="249"/>
      <c r="I422" s="249"/>
      <c r="J422" s="249"/>
      <c r="K422" s="249"/>
      <c r="L422" s="249"/>
      <c r="M422" s="249"/>
      <c r="N422" s="249"/>
      <c r="O422" s="249"/>
      <c r="P422" s="537"/>
      <c r="Q422" s="537"/>
      <c r="R422" s="537"/>
      <c r="S422" s="538" t="str">
        <f t="shared" ca="1" si="16"/>
        <v/>
      </c>
      <c r="T422" s="538" t="str">
        <f t="shared" ca="1" si="17"/>
        <v/>
      </c>
      <c r="U422" s="249"/>
      <c r="V422" s="249"/>
      <c r="W422" s="249"/>
      <c r="X422" s="249"/>
      <c r="Y422" s="249"/>
      <c r="Z422" s="249"/>
      <c r="AA422" s="249"/>
      <c r="AB422" s="249"/>
      <c r="AC422" s="249"/>
      <c r="AD422" s="249"/>
      <c r="AE422" s="249"/>
      <c r="AF422" s="249"/>
      <c r="AG422" s="249"/>
      <c r="AH422" s="249"/>
      <c r="AI422" s="249"/>
      <c r="AJ422" s="249"/>
      <c r="AK422" s="249"/>
      <c r="AL422" s="249"/>
      <c r="AM422" s="249"/>
      <c r="AN422" s="537"/>
      <c r="AO422" s="249" t="str">
        <f>IF(Z422="Yes",COUNTIF($Z$6:Z422,"Yes"),"")</f>
        <v/>
      </c>
      <c r="AP422" s="249" t="str">
        <f>IF(AA422="Yes",COUNTIF($AA$6:AA422,"Yes"),"")</f>
        <v/>
      </c>
      <c r="AQ422" s="249" t="str">
        <f>IF(AC422="Yes",COUNTIF($AC$6:AC422,"Yes"),"")</f>
        <v/>
      </c>
    </row>
    <row r="423" spans="1:43">
      <c r="A423" s="249"/>
      <c r="B423" s="249"/>
      <c r="C423" s="249"/>
      <c r="D423" s="249"/>
      <c r="E423" s="249"/>
      <c r="F423" s="249"/>
      <c r="G423" s="249"/>
      <c r="H423" s="249"/>
      <c r="I423" s="249"/>
      <c r="J423" s="249"/>
      <c r="K423" s="249"/>
      <c r="L423" s="249"/>
      <c r="M423" s="249"/>
      <c r="N423" s="249"/>
      <c r="O423" s="249"/>
      <c r="P423" s="537"/>
      <c r="Q423" s="537"/>
      <c r="R423" s="537"/>
      <c r="S423" s="538" t="str">
        <f t="shared" ca="1" si="16"/>
        <v/>
      </c>
      <c r="T423" s="538" t="str">
        <f t="shared" ca="1" si="17"/>
        <v/>
      </c>
      <c r="U423" s="249"/>
      <c r="V423" s="249"/>
      <c r="W423" s="249"/>
      <c r="X423" s="249"/>
      <c r="Y423" s="249"/>
      <c r="Z423" s="249"/>
      <c r="AA423" s="249"/>
      <c r="AB423" s="249"/>
      <c r="AC423" s="249"/>
      <c r="AD423" s="249"/>
      <c r="AE423" s="249"/>
      <c r="AF423" s="249"/>
      <c r="AG423" s="249"/>
      <c r="AH423" s="249"/>
      <c r="AI423" s="249"/>
      <c r="AJ423" s="249"/>
      <c r="AK423" s="249"/>
      <c r="AL423" s="249"/>
      <c r="AM423" s="249"/>
      <c r="AN423" s="537"/>
      <c r="AO423" s="249" t="str">
        <f>IF(Z423="Yes",COUNTIF($Z$6:Z423,"Yes"),"")</f>
        <v/>
      </c>
      <c r="AP423" s="249" t="str">
        <f>IF(AA423="Yes",COUNTIF($AA$6:AA423,"Yes"),"")</f>
        <v/>
      </c>
      <c r="AQ423" s="249" t="str">
        <f>IF(AC423="Yes",COUNTIF($AC$6:AC423,"Yes"),"")</f>
        <v/>
      </c>
    </row>
    <row r="424" spans="1:43">
      <c r="A424" s="249"/>
      <c r="B424" s="249"/>
      <c r="C424" s="249"/>
      <c r="D424" s="249"/>
      <c r="E424" s="249"/>
      <c r="F424" s="249"/>
      <c r="G424" s="249"/>
      <c r="H424" s="249"/>
      <c r="I424" s="249"/>
      <c r="J424" s="249"/>
      <c r="K424" s="249"/>
      <c r="L424" s="249"/>
      <c r="M424" s="249"/>
      <c r="N424" s="249"/>
      <c r="O424" s="249"/>
      <c r="P424" s="537"/>
      <c r="Q424" s="537"/>
      <c r="R424" s="537"/>
      <c r="S424" s="538" t="str">
        <f t="shared" ca="1" si="16"/>
        <v/>
      </c>
      <c r="T424" s="538" t="str">
        <f t="shared" ca="1" si="17"/>
        <v/>
      </c>
      <c r="U424" s="249"/>
      <c r="V424" s="249"/>
      <c r="W424" s="249"/>
      <c r="X424" s="249"/>
      <c r="Y424" s="249"/>
      <c r="Z424" s="249"/>
      <c r="AA424" s="249"/>
      <c r="AB424" s="249"/>
      <c r="AC424" s="249"/>
      <c r="AD424" s="249"/>
      <c r="AE424" s="249"/>
      <c r="AF424" s="249"/>
      <c r="AG424" s="249"/>
      <c r="AH424" s="249"/>
      <c r="AI424" s="249"/>
      <c r="AJ424" s="249"/>
      <c r="AK424" s="249"/>
      <c r="AL424" s="249"/>
      <c r="AM424" s="249"/>
      <c r="AN424" s="537"/>
      <c r="AO424" s="249" t="str">
        <f>IF(Z424="Yes",COUNTIF($Z$6:Z424,"Yes"),"")</f>
        <v/>
      </c>
      <c r="AP424" s="249" t="str">
        <f>IF(AA424="Yes",COUNTIF($AA$6:AA424,"Yes"),"")</f>
        <v/>
      </c>
      <c r="AQ424" s="249" t="str">
        <f>IF(AC424="Yes",COUNTIF($AC$6:AC424,"Yes"),"")</f>
        <v/>
      </c>
    </row>
    <row r="425" spans="1:43">
      <c r="A425" s="249"/>
      <c r="B425" s="249"/>
      <c r="C425" s="249"/>
      <c r="D425" s="249"/>
      <c r="E425" s="249"/>
      <c r="F425" s="249"/>
      <c r="G425" s="249"/>
      <c r="H425" s="249"/>
      <c r="I425" s="249"/>
      <c r="J425" s="249"/>
      <c r="K425" s="249"/>
      <c r="L425" s="249"/>
      <c r="M425" s="249"/>
      <c r="N425" s="249"/>
      <c r="O425" s="249"/>
      <c r="P425" s="537"/>
      <c r="Q425" s="537"/>
      <c r="R425" s="537"/>
      <c r="S425" s="538" t="str">
        <f t="shared" ca="1" si="16"/>
        <v/>
      </c>
      <c r="T425" s="538" t="str">
        <f t="shared" ca="1" si="17"/>
        <v/>
      </c>
      <c r="U425" s="249"/>
      <c r="V425" s="249"/>
      <c r="W425" s="249"/>
      <c r="X425" s="249"/>
      <c r="Y425" s="249"/>
      <c r="Z425" s="249"/>
      <c r="AA425" s="249"/>
      <c r="AB425" s="249"/>
      <c r="AC425" s="249"/>
      <c r="AD425" s="249"/>
      <c r="AE425" s="249"/>
      <c r="AF425" s="249"/>
      <c r="AG425" s="249"/>
      <c r="AH425" s="249"/>
      <c r="AI425" s="249"/>
      <c r="AJ425" s="249"/>
      <c r="AK425" s="249"/>
      <c r="AL425" s="249"/>
      <c r="AM425" s="249"/>
      <c r="AN425" s="537"/>
      <c r="AO425" s="249" t="str">
        <f>IF(Z425="Yes",COUNTIF($Z$6:Z425,"Yes"),"")</f>
        <v/>
      </c>
      <c r="AP425" s="249" t="str">
        <f>IF(AA425="Yes",COUNTIF($AA$6:AA425,"Yes"),"")</f>
        <v/>
      </c>
      <c r="AQ425" s="249" t="str">
        <f>IF(AC425="Yes",COUNTIF($AC$6:AC425,"Yes"),"")</f>
        <v/>
      </c>
    </row>
    <row r="426" spans="1:43">
      <c r="A426" s="249"/>
      <c r="B426" s="249"/>
      <c r="C426" s="249"/>
      <c r="D426" s="249"/>
      <c r="E426" s="249"/>
      <c r="F426" s="249"/>
      <c r="G426" s="249"/>
      <c r="H426" s="249"/>
      <c r="I426" s="249"/>
      <c r="J426" s="249"/>
      <c r="K426" s="249"/>
      <c r="L426" s="249"/>
      <c r="M426" s="249"/>
      <c r="N426" s="249"/>
      <c r="O426" s="249"/>
      <c r="P426" s="537"/>
      <c r="Q426" s="537"/>
      <c r="R426" s="537"/>
      <c r="S426" s="538" t="str">
        <f t="shared" ca="1" si="16"/>
        <v/>
      </c>
      <c r="T426" s="538" t="str">
        <f t="shared" ca="1" si="17"/>
        <v/>
      </c>
      <c r="U426" s="249"/>
      <c r="V426" s="249"/>
      <c r="W426" s="249"/>
      <c r="X426" s="249"/>
      <c r="Y426" s="249"/>
      <c r="Z426" s="249"/>
      <c r="AA426" s="249"/>
      <c r="AB426" s="249"/>
      <c r="AC426" s="249"/>
      <c r="AD426" s="249"/>
      <c r="AE426" s="249"/>
      <c r="AF426" s="249"/>
      <c r="AG426" s="249"/>
      <c r="AH426" s="249"/>
      <c r="AI426" s="249"/>
      <c r="AJ426" s="249"/>
      <c r="AK426" s="249"/>
      <c r="AL426" s="249"/>
      <c r="AM426" s="249"/>
      <c r="AN426" s="537"/>
      <c r="AO426" s="249" t="str">
        <f>IF(Z426="Yes",COUNTIF($Z$6:Z426,"Yes"),"")</f>
        <v/>
      </c>
      <c r="AP426" s="249" t="str">
        <f>IF(AA426="Yes",COUNTIF($AA$6:AA426,"Yes"),"")</f>
        <v/>
      </c>
      <c r="AQ426" s="249" t="str">
        <f>IF(AC426="Yes",COUNTIF($AC$6:AC426,"Yes"),"")</f>
        <v/>
      </c>
    </row>
    <row r="427" spans="1:43">
      <c r="A427" s="249"/>
      <c r="B427" s="249"/>
      <c r="C427" s="249"/>
      <c r="D427" s="249"/>
      <c r="E427" s="249"/>
      <c r="F427" s="249"/>
      <c r="G427" s="249"/>
      <c r="H427" s="249"/>
      <c r="I427" s="249"/>
      <c r="J427" s="249"/>
      <c r="K427" s="249"/>
      <c r="L427" s="249"/>
      <c r="M427" s="249"/>
      <c r="N427" s="249"/>
      <c r="O427" s="249"/>
      <c r="P427" s="537"/>
      <c r="Q427" s="537"/>
      <c r="R427" s="537"/>
      <c r="S427" s="538" t="str">
        <f t="shared" ca="1" si="16"/>
        <v/>
      </c>
      <c r="T427" s="538" t="str">
        <f t="shared" ca="1" si="17"/>
        <v/>
      </c>
      <c r="U427" s="249"/>
      <c r="V427" s="249"/>
      <c r="W427" s="249"/>
      <c r="X427" s="249"/>
      <c r="Y427" s="249"/>
      <c r="Z427" s="249"/>
      <c r="AA427" s="249"/>
      <c r="AB427" s="249"/>
      <c r="AC427" s="249"/>
      <c r="AD427" s="249"/>
      <c r="AE427" s="249"/>
      <c r="AF427" s="249"/>
      <c r="AG427" s="249"/>
      <c r="AH427" s="249"/>
      <c r="AI427" s="249"/>
      <c r="AJ427" s="249"/>
      <c r="AK427" s="249"/>
      <c r="AL427" s="249"/>
      <c r="AM427" s="249"/>
      <c r="AN427" s="537"/>
      <c r="AO427" s="249" t="str">
        <f>IF(Z427="Yes",COUNTIF($Z$6:Z427,"Yes"),"")</f>
        <v/>
      </c>
      <c r="AP427" s="249" t="str">
        <f>IF(AA427="Yes",COUNTIF($AA$6:AA427,"Yes"),"")</f>
        <v/>
      </c>
      <c r="AQ427" s="249" t="str">
        <f>IF(AC427="Yes",COUNTIF($AC$6:AC427,"Yes"),"")</f>
        <v/>
      </c>
    </row>
    <row r="428" spans="1:43">
      <c r="A428" s="249"/>
      <c r="B428" s="249"/>
      <c r="C428" s="249"/>
      <c r="D428" s="249"/>
      <c r="E428" s="249"/>
      <c r="F428" s="249"/>
      <c r="G428" s="249"/>
      <c r="H428" s="249"/>
      <c r="I428" s="249"/>
      <c r="J428" s="249"/>
      <c r="K428" s="249"/>
      <c r="L428" s="249"/>
      <c r="M428" s="249"/>
      <c r="N428" s="249"/>
      <c r="O428" s="249"/>
      <c r="P428" s="537"/>
      <c r="Q428" s="537"/>
      <c r="R428" s="537"/>
      <c r="S428" s="538" t="str">
        <f t="shared" ca="1" si="16"/>
        <v/>
      </c>
      <c r="T428" s="538" t="str">
        <f t="shared" ca="1" si="17"/>
        <v/>
      </c>
      <c r="U428" s="249"/>
      <c r="V428" s="249"/>
      <c r="W428" s="249"/>
      <c r="X428" s="249"/>
      <c r="Y428" s="249"/>
      <c r="Z428" s="249"/>
      <c r="AA428" s="249"/>
      <c r="AB428" s="249"/>
      <c r="AC428" s="249"/>
      <c r="AD428" s="249"/>
      <c r="AE428" s="249"/>
      <c r="AF428" s="249"/>
      <c r="AG428" s="249"/>
      <c r="AH428" s="249"/>
      <c r="AI428" s="249"/>
      <c r="AJ428" s="249"/>
      <c r="AK428" s="249"/>
      <c r="AL428" s="249"/>
      <c r="AM428" s="249"/>
      <c r="AN428" s="537"/>
      <c r="AO428" s="249" t="str">
        <f>IF(Z428="Yes",COUNTIF($Z$6:Z428,"Yes"),"")</f>
        <v/>
      </c>
      <c r="AP428" s="249" t="str">
        <f>IF(AA428="Yes",COUNTIF($AA$6:AA428,"Yes"),"")</f>
        <v/>
      </c>
      <c r="AQ428" s="249" t="str">
        <f>IF(AC428="Yes",COUNTIF($AC$6:AC428,"Yes"),"")</f>
        <v/>
      </c>
    </row>
    <row r="429" spans="1:43">
      <c r="A429" s="249"/>
      <c r="B429" s="249"/>
      <c r="C429" s="249"/>
      <c r="D429" s="249"/>
      <c r="E429" s="249"/>
      <c r="F429" s="249"/>
      <c r="G429" s="249"/>
      <c r="H429" s="249"/>
      <c r="I429" s="249"/>
      <c r="J429" s="249"/>
      <c r="K429" s="249"/>
      <c r="L429" s="249"/>
      <c r="M429" s="249"/>
      <c r="N429" s="249"/>
      <c r="O429" s="249"/>
      <c r="P429" s="537"/>
      <c r="Q429" s="537"/>
      <c r="R429" s="537"/>
      <c r="S429" s="538" t="str">
        <f t="shared" ca="1" si="16"/>
        <v/>
      </c>
      <c r="T429" s="538" t="str">
        <f t="shared" ca="1" si="17"/>
        <v/>
      </c>
      <c r="U429" s="249"/>
      <c r="V429" s="249"/>
      <c r="W429" s="249"/>
      <c r="X429" s="249"/>
      <c r="Y429" s="249"/>
      <c r="Z429" s="249"/>
      <c r="AA429" s="249"/>
      <c r="AB429" s="249"/>
      <c r="AC429" s="249"/>
      <c r="AD429" s="249"/>
      <c r="AE429" s="249"/>
      <c r="AF429" s="249"/>
      <c r="AG429" s="249"/>
      <c r="AH429" s="249"/>
      <c r="AI429" s="249"/>
      <c r="AJ429" s="249"/>
      <c r="AK429" s="249"/>
      <c r="AL429" s="249"/>
      <c r="AM429" s="249"/>
      <c r="AN429" s="537"/>
      <c r="AO429" s="249" t="str">
        <f>IF(Z429="Yes",COUNTIF($Z$6:Z429,"Yes"),"")</f>
        <v/>
      </c>
      <c r="AP429" s="249" t="str">
        <f>IF(AA429="Yes",COUNTIF($AA$6:AA429,"Yes"),"")</f>
        <v/>
      </c>
      <c r="AQ429" s="249" t="str">
        <f>IF(AC429="Yes",COUNTIF($AC$6:AC429,"Yes"),"")</f>
        <v/>
      </c>
    </row>
    <row r="430" spans="1:43">
      <c r="A430" s="249"/>
      <c r="B430" s="249"/>
      <c r="C430" s="249"/>
      <c r="D430" s="249"/>
      <c r="E430" s="249"/>
      <c r="F430" s="249"/>
      <c r="G430" s="249"/>
      <c r="H430" s="249"/>
      <c r="I430" s="249"/>
      <c r="J430" s="249"/>
      <c r="K430" s="249"/>
      <c r="L430" s="249"/>
      <c r="M430" s="249"/>
      <c r="N430" s="249"/>
      <c r="O430" s="249"/>
      <c r="P430" s="537"/>
      <c r="Q430" s="537"/>
      <c r="R430" s="537"/>
      <c r="S430" s="538" t="str">
        <f t="shared" ca="1" si="16"/>
        <v/>
      </c>
      <c r="T430" s="538" t="str">
        <f t="shared" ca="1" si="17"/>
        <v/>
      </c>
      <c r="U430" s="249"/>
      <c r="V430" s="249"/>
      <c r="W430" s="249"/>
      <c r="X430" s="249"/>
      <c r="Y430" s="249"/>
      <c r="Z430" s="249"/>
      <c r="AA430" s="249"/>
      <c r="AB430" s="249"/>
      <c r="AC430" s="249"/>
      <c r="AD430" s="249"/>
      <c r="AE430" s="249"/>
      <c r="AF430" s="249"/>
      <c r="AG430" s="249"/>
      <c r="AH430" s="249"/>
      <c r="AI430" s="249"/>
      <c r="AJ430" s="249"/>
      <c r="AK430" s="249"/>
      <c r="AL430" s="249"/>
      <c r="AM430" s="249"/>
      <c r="AN430" s="537"/>
      <c r="AO430" s="249" t="str">
        <f>IF(Z430="Yes",COUNTIF($Z$6:Z430,"Yes"),"")</f>
        <v/>
      </c>
      <c r="AP430" s="249" t="str">
        <f>IF(AA430="Yes",COUNTIF($AA$6:AA430,"Yes"),"")</f>
        <v/>
      </c>
      <c r="AQ430" s="249" t="str">
        <f>IF(AC430="Yes",COUNTIF($AC$6:AC430,"Yes"),"")</f>
        <v/>
      </c>
    </row>
    <row r="431" spans="1:43">
      <c r="A431" s="249"/>
      <c r="B431" s="249"/>
      <c r="C431" s="249"/>
      <c r="D431" s="249"/>
      <c r="E431" s="249"/>
      <c r="F431" s="249"/>
      <c r="G431" s="249"/>
      <c r="H431" s="249"/>
      <c r="I431" s="249"/>
      <c r="J431" s="249"/>
      <c r="K431" s="249"/>
      <c r="L431" s="249"/>
      <c r="M431" s="249"/>
      <c r="N431" s="249"/>
      <c r="O431" s="249"/>
      <c r="P431" s="537"/>
      <c r="Q431" s="537"/>
      <c r="R431" s="537"/>
      <c r="S431" s="538" t="str">
        <f t="shared" ca="1" si="16"/>
        <v/>
      </c>
      <c r="T431" s="538" t="str">
        <f t="shared" ca="1" si="17"/>
        <v/>
      </c>
      <c r="U431" s="249"/>
      <c r="V431" s="249"/>
      <c r="W431" s="249"/>
      <c r="X431" s="249"/>
      <c r="Y431" s="249"/>
      <c r="Z431" s="249"/>
      <c r="AA431" s="249"/>
      <c r="AB431" s="249"/>
      <c r="AC431" s="249"/>
      <c r="AD431" s="249"/>
      <c r="AE431" s="249"/>
      <c r="AF431" s="249"/>
      <c r="AG431" s="249"/>
      <c r="AH431" s="249"/>
      <c r="AI431" s="249"/>
      <c r="AJ431" s="249"/>
      <c r="AK431" s="249"/>
      <c r="AL431" s="249"/>
      <c r="AM431" s="249"/>
      <c r="AN431" s="537"/>
      <c r="AO431" s="249" t="str">
        <f>IF(Z431="Yes",COUNTIF($Z$6:Z431,"Yes"),"")</f>
        <v/>
      </c>
      <c r="AP431" s="249" t="str">
        <f>IF(AA431="Yes",COUNTIF($AA$6:AA431,"Yes"),"")</f>
        <v/>
      </c>
      <c r="AQ431" s="249" t="str">
        <f>IF(AC431="Yes",COUNTIF($AC$6:AC431,"Yes"),"")</f>
        <v/>
      </c>
    </row>
    <row r="432" spans="1:43">
      <c r="A432" s="249"/>
      <c r="B432" s="249"/>
      <c r="C432" s="249"/>
      <c r="D432" s="249"/>
      <c r="E432" s="249"/>
      <c r="F432" s="249"/>
      <c r="G432" s="249"/>
      <c r="H432" s="249"/>
      <c r="I432" s="249"/>
      <c r="J432" s="249"/>
      <c r="K432" s="249"/>
      <c r="L432" s="249"/>
      <c r="M432" s="249"/>
      <c r="N432" s="249"/>
      <c r="O432" s="249"/>
      <c r="P432" s="537"/>
      <c r="Q432" s="537"/>
      <c r="R432" s="537"/>
      <c r="S432" s="538" t="str">
        <f t="shared" ca="1" si="16"/>
        <v/>
      </c>
      <c r="T432" s="538" t="str">
        <f t="shared" ca="1" si="17"/>
        <v/>
      </c>
      <c r="U432" s="249"/>
      <c r="V432" s="249"/>
      <c r="W432" s="249"/>
      <c r="X432" s="249"/>
      <c r="Y432" s="249"/>
      <c r="Z432" s="249"/>
      <c r="AA432" s="249"/>
      <c r="AB432" s="249"/>
      <c r="AC432" s="249"/>
      <c r="AD432" s="249"/>
      <c r="AE432" s="249"/>
      <c r="AF432" s="249"/>
      <c r="AG432" s="249"/>
      <c r="AH432" s="249"/>
      <c r="AI432" s="249"/>
      <c r="AJ432" s="249"/>
      <c r="AK432" s="249"/>
      <c r="AL432" s="249"/>
      <c r="AM432" s="249"/>
      <c r="AN432" s="537"/>
      <c r="AO432" s="249" t="str">
        <f>IF(Z432="Yes",COUNTIF($Z$6:Z432,"Yes"),"")</f>
        <v/>
      </c>
      <c r="AP432" s="249" t="str">
        <f>IF(AA432="Yes",COUNTIF($AA$6:AA432,"Yes"),"")</f>
        <v/>
      </c>
      <c r="AQ432" s="249" t="str">
        <f>IF(AC432="Yes",COUNTIF($AC$6:AC432,"Yes"),"")</f>
        <v/>
      </c>
    </row>
    <row r="433" spans="1:43">
      <c r="A433" s="249"/>
      <c r="B433" s="249"/>
      <c r="C433" s="249"/>
      <c r="D433" s="249"/>
      <c r="E433" s="249"/>
      <c r="F433" s="249"/>
      <c r="G433" s="249"/>
      <c r="H433" s="249"/>
      <c r="I433" s="249"/>
      <c r="J433" s="249"/>
      <c r="K433" s="249"/>
      <c r="L433" s="249"/>
      <c r="M433" s="249"/>
      <c r="N433" s="249"/>
      <c r="O433" s="249"/>
      <c r="P433" s="537"/>
      <c r="Q433" s="537"/>
      <c r="R433" s="537"/>
      <c r="S433" s="538" t="str">
        <f t="shared" ca="1" si="16"/>
        <v/>
      </c>
      <c r="T433" s="538" t="str">
        <f t="shared" ca="1" si="17"/>
        <v/>
      </c>
      <c r="U433" s="249"/>
      <c r="V433" s="249"/>
      <c r="W433" s="249"/>
      <c r="X433" s="249"/>
      <c r="Y433" s="249"/>
      <c r="Z433" s="249"/>
      <c r="AA433" s="249"/>
      <c r="AB433" s="249"/>
      <c r="AC433" s="249"/>
      <c r="AD433" s="249"/>
      <c r="AE433" s="249"/>
      <c r="AF433" s="249"/>
      <c r="AG433" s="249"/>
      <c r="AH433" s="249"/>
      <c r="AI433" s="249"/>
      <c r="AJ433" s="249"/>
      <c r="AK433" s="249"/>
      <c r="AL433" s="249"/>
      <c r="AM433" s="249"/>
      <c r="AN433" s="537"/>
      <c r="AO433" s="249" t="str">
        <f>IF(Z433="Yes",COUNTIF($Z$6:Z433,"Yes"),"")</f>
        <v/>
      </c>
      <c r="AP433" s="249" t="str">
        <f>IF(AA433="Yes",COUNTIF($AA$6:AA433,"Yes"),"")</f>
        <v/>
      </c>
      <c r="AQ433" s="249" t="str">
        <f>IF(AC433="Yes",COUNTIF($AC$6:AC433,"Yes"),"")</f>
        <v/>
      </c>
    </row>
    <row r="434" spans="1:43">
      <c r="A434" s="249"/>
      <c r="B434" s="249"/>
      <c r="C434" s="249"/>
      <c r="D434" s="249"/>
      <c r="E434" s="249"/>
      <c r="F434" s="249"/>
      <c r="G434" s="249"/>
      <c r="H434" s="249"/>
      <c r="I434" s="249"/>
      <c r="J434" s="249"/>
      <c r="K434" s="249"/>
      <c r="L434" s="249"/>
      <c r="M434" s="249"/>
      <c r="N434" s="249"/>
      <c r="O434" s="249"/>
      <c r="P434" s="537"/>
      <c r="Q434" s="537"/>
      <c r="R434" s="537"/>
      <c r="S434" s="538" t="str">
        <f t="shared" ca="1" si="16"/>
        <v/>
      </c>
      <c r="T434" s="538" t="str">
        <f t="shared" ca="1" si="17"/>
        <v/>
      </c>
      <c r="U434" s="249"/>
      <c r="V434" s="249"/>
      <c r="W434" s="249"/>
      <c r="X434" s="249"/>
      <c r="Y434" s="249"/>
      <c r="Z434" s="249"/>
      <c r="AA434" s="249"/>
      <c r="AB434" s="249"/>
      <c r="AC434" s="249"/>
      <c r="AD434" s="249"/>
      <c r="AE434" s="249"/>
      <c r="AF434" s="249"/>
      <c r="AG434" s="249"/>
      <c r="AH434" s="249"/>
      <c r="AI434" s="249"/>
      <c r="AJ434" s="249"/>
      <c r="AK434" s="249"/>
      <c r="AL434" s="249"/>
      <c r="AM434" s="249"/>
      <c r="AN434" s="537"/>
      <c r="AO434" s="249" t="str">
        <f>IF(Z434="Yes",COUNTIF($Z$6:Z434,"Yes"),"")</f>
        <v/>
      </c>
      <c r="AP434" s="249" t="str">
        <f>IF(AA434="Yes",COUNTIF($AA$6:AA434,"Yes"),"")</f>
        <v/>
      </c>
      <c r="AQ434" s="249" t="str">
        <f>IF(AC434="Yes",COUNTIF($AC$6:AC434,"Yes"),"")</f>
        <v/>
      </c>
    </row>
    <row r="435" spans="1:43">
      <c r="A435" s="249"/>
      <c r="B435" s="249"/>
      <c r="C435" s="249"/>
      <c r="D435" s="249"/>
      <c r="E435" s="249"/>
      <c r="F435" s="249"/>
      <c r="G435" s="249"/>
      <c r="H435" s="249"/>
      <c r="I435" s="249"/>
      <c r="J435" s="249"/>
      <c r="K435" s="249"/>
      <c r="L435" s="249"/>
      <c r="M435" s="249"/>
      <c r="N435" s="249"/>
      <c r="O435" s="249"/>
      <c r="P435" s="537"/>
      <c r="Q435" s="537"/>
      <c r="R435" s="537"/>
      <c r="S435" s="538" t="str">
        <f t="shared" ca="1" si="16"/>
        <v/>
      </c>
      <c r="T435" s="538" t="str">
        <f t="shared" ca="1" si="17"/>
        <v/>
      </c>
      <c r="U435" s="249"/>
      <c r="V435" s="249"/>
      <c r="W435" s="249"/>
      <c r="X435" s="249"/>
      <c r="Y435" s="249"/>
      <c r="Z435" s="249"/>
      <c r="AA435" s="249"/>
      <c r="AB435" s="249"/>
      <c r="AC435" s="249"/>
      <c r="AD435" s="249"/>
      <c r="AE435" s="249"/>
      <c r="AF435" s="249"/>
      <c r="AG435" s="249"/>
      <c r="AH435" s="249"/>
      <c r="AI435" s="249"/>
      <c r="AJ435" s="249"/>
      <c r="AK435" s="249"/>
      <c r="AL435" s="249"/>
      <c r="AM435" s="249"/>
      <c r="AN435" s="537"/>
      <c r="AO435" s="249" t="str">
        <f>IF(Z435="Yes",COUNTIF($Z$6:Z435,"Yes"),"")</f>
        <v/>
      </c>
      <c r="AP435" s="249" t="str">
        <f>IF(AA435="Yes",COUNTIF($AA$6:AA435,"Yes"),"")</f>
        <v/>
      </c>
      <c r="AQ435" s="249" t="str">
        <f>IF(AC435="Yes",COUNTIF($AC$6:AC435,"Yes"),"")</f>
        <v/>
      </c>
    </row>
    <row r="436" spans="1:43">
      <c r="A436" s="249"/>
      <c r="B436" s="249"/>
      <c r="C436" s="249"/>
      <c r="D436" s="249"/>
      <c r="E436" s="249"/>
      <c r="F436" s="249"/>
      <c r="G436" s="249"/>
      <c r="H436" s="249"/>
      <c r="I436" s="249"/>
      <c r="J436" s="249"/>
      <c r="K436" s="249"/>
      <c r="L436" s="249"/>
      <c r="M436" s="249"/>
      <c r="N436" s="249"/>
      <c r="O436" s="249"/>
      <c r="P436" s="537"/>
      <c r="Q436" s="537"/>
      <c r="R436" s="537"/>
      <c r="S436" s="538" t="str">
        <f t="shared" ca="1" si="16"/>
        <v/>
      </c>
      <c r="T436" s="538" t="str">
        <f t="shared" ca="1" si="17"/>
        <v/>
      </c>
      <c r="U436" s="249"/>
      <c r="V436" s="249"/>
      <c r="W436" s="249"/>
      <c r="X436" s="249"/>
      <c r="Y436" s="249"/>
      <c r="Z436" s="249"/>
      <c r="AA436" s="249"/>
      <c r="AB436" s="249"/>
      <c r="AC436" s="249"/>
      <c r="AD436" s="249"/>
      <c r="AE436" s="249"/>
      <c r="AF436" s="249"/>
      <c r="AG436" s="249"/>
      <c r="AH436" s="249"/>
      <c r="AI436" s="249"/>
      <c r="AJ436" s="249"/>
      <c r="AK436" s="249"/>
      <c r="AL436" s="249"/>
      <c r="AM436" s="249"/>
      <c r="AN436" s="537"/>
      <c r="AO436" s="249" t="str">
        <f>IF(Z436="Yes",COUNTIF($Z$6:Z436,"Yes"),"")</f>
        <v/>
      </c>
      <c r="AP436" s="249" t="str">
        <f>IF(AA436="Yes",COUNTIF($AA$6:AA436,"Yes"),"")</f>
        <v/>
      </c>
      <c r="AQ436" s="249" t="str">
        <f>IF(AC436="Yes",COUNTIF($AC$6:AC436,"Yes"),"")</f>
        <v/>
      </c>
    </row>
    <row r="437" spans="1:43">
      <c r="A437" s="249"/>
      <c r="B437" s="249"/>
      <c r="C437" s="249"/>
      <c r="D437" s="249"/>
      <c r="E437" s="249"/>
      <c r="F437" s="249"/>
      <c r="G437" s="249"/>
      <c r="H437" s="249"/>
      <c r="I437" s="249"/>
      <c r="J437" s="249"/>
      <c r="K437" s="249"/>
      <c r="L437" s="249"/>
      <c r="M437" s="249"/>
      <c r="N437" s="249"/>
      <c r="O437" s="249"/>
      <c r="P437" s="537"/>
      <c r="Q437" s="537"/>
      <c r="R437" s="537"/>
      <c r="S437" s="538" t="str">
        <f t="shared" ca="1" si="16"/>
        <v/>
      </c>
      <c r="T437" s="538" t="str">
        <f t="shared" ca="1" si="17"/>
        <v/>
      </c>
      <c r="U437" s="249"/>
      <c r="V437" s="249"/>
      <c r="W437" s="249"/>
      <c r="X437" s="249"/>
      <c r="Y437" s="249"/>
      <c r="Z437" s="249"/>
      <c r="AA437" s="249"/>
      <c r="AB437" s="249"/>
      <c r="AC437" s="249"/>
      <c r="AD437" s="249"/>
      <c r="AE437" s="249"/>
      <c r="AF437" s="249"/>
      <c r="AG437" s="249"/>
      <c r="AH437" s="249"/>
      <c r="AI437" s="249"/>
      <c r="AJ437" s="249"/>
      <c r="AK437" s="249"/>
      <c r="AL437" s="249"/>
      <c r="AM437" s="249"/>
      <c r="AN437" s="537"/>
      <c r="AO437" s="249" t="str">
        <f>IF(Z437="Yes",COUNTIF($Z$6:Z437,"Yes"),"")</f>
        <v/>
      </c>
      <c r="AP437" s="249" t="str">
        <f>IF(AA437="Yes",COUNTIF($AA$6:AA437,"Yes"),"")</f>
        <v/>
      </c>
      <c r="AQ437" s="249" t="str">
        <f>IF(AC437="Yes",COUNTIF($AC$6:AC437,"Yes"),"")</f>
        <v/>
      </c>
    </row>
    <row r="438" spans="1:43">
      <c r="A438" s="249"/>
      <c r="B438" s="249"/>
      <c r="C438" s="249"/>
      <c r="D438" s="249"/>
      <c r="E438" s="249"/>
      <c r="F438" s="249"/>
      <c r="G438" s="249"/>
      <c r="H438" s="249"/>
      <c r="I438" s="249"/>
      <c r="J438" s="249"/>
      <c r="K438" s="249"/>
      <c r="L438" s="249"/>
      <c r="M438" s="249"/>
      <c r="N438" s="249"/>
      <c r="O438" s="249"/>
      <c r="P438" s="537"/>
      <c r="Q438" s="537"/>
      <c r="R438" s="537"/>
      <c r="S438" s="538" t="str">
        <f t="shared" ca="1" si="16"/>
        <v/>
      </c>
      <c r="T438" s="538" t="str">
        <f t="shared" ca="1" si="17"/>
        <v/>
      </c>
      <c r="U438" s="249"/>
      <c r="V438" s="249"/>
      <c r="W438" s="249"/>
      <c r="X438" s="249"/>
      <c r="Y438" s="249"/>
      <c r="Z438" s="249"/>
      <c r="AA438" s="249"/>
      <c r="AB438" s="249"/>
      <c r="AC438" s="249"/>
      <c r="AD438" s="249"/>
      <c r="AE438" s="249"/>
      <c r="AF438" s="249"/>
      <c r="AG438" s="249"/>
      <c r="AH438" s="249"/>
      <c r="AI438" s="249"/>
      <c r="AJ438" s="249"/>
      <c r="AK438" s="249"/>
      <c r="AL438" s="249"/>
      <c r="AM438" s="249"/>
      <c r="AN438" s="537"/>
      <c r="AO438" s="249" t="str">
        <f>IF(Z438="Yes",COUNTIF($Z$6:Z438,"Yes"),"")</f>
        <v/>
      </c>
      <c r="AP438" s="249" t="str">
        <f>IF(AA438="Yes",COUNTIF($AA$6:AA438,"Yes"),"")</f>
        <v/>
      </c>
      <c r="AQ438" s="249" t="str">
        <f>IF(AC438="Yes",COUNTIF($AC$6:AC438,"Yes"),"")</f>
        <v/>
      </c>
    </row>
    <row r="439" spans="1:43">
      <c r="A439" s="249"/>
      <c r="B439" s="249"/>
      <c r="C439" s="249"/>
      <c r="D439" s="249"/>
      <c r="E439" s="249"/>
      <c r="F439" s="249"/>
      <c r="G439" s="249"/>
      <c r="H439" s="249"/>
      <c r="I439" s="249"/>
      <c r="J439" s="249"/>
      <c r="K439" s="249"/>
      <c r="L439" s="249"/>
      <c r="M439" s="249"/>
      <c r="N439" s="249"/>
      <c r="O439" s="249"/>
      <c r="P439" s="537"/>
      <c r="Q439" s="537"/>
      <c r="R439" s="537"/>
      <c r="S439" s="538" t="str">
        <f t="shared" ca="1" si="16"/>
        <v/>
      </c>
      <c r="T439" s="538" t="str">
        <f t="shared" ca="1" si="17"/>
        <v/>
      </c>
      <c r="U439" s="249"/>
      <c r="V439" s="249"/>
      <c r="W439" s="249"/>
      <c r="X439" s="249"/>
      <c r="Y439" s="249"/>
      <c r="Z439" s="249"/>
      <c r="AA439" s="249"/>
      <c r="AB439" s="249"/>
      <c r="AC439" s="249"/>
      <c r="AD439" s="249"/>
      <c r="AE439" s="249"/>
      <c r="AF439" s="249"/>
      <c r="AG439" s="249"/>
      <c r="AH439" s="249"/>
      <c r="AI439" s="249"/>
      <c r="AJ439" s="249"/>
      <c r="AK439" s="249"/>
      <c r="AL439" s="249"/>
      <c r="AM439" s="249"/>
      <c r="AN439" s="537"/>
      <c r="AO439" s="249" t="str">
        <f>IF(Z439="Yes",COUNTIF($Z$6:Z439,"Yes"),"")</f>
        <v/>
      </c>
      <c r="AP439" s="249" t="str">
        <f>IF(AA439="Yes",COUNTIF($AA$6:AA439,"Yes"),"")</f>
        <v/>
      </c>
      <c r="AQ439" s="249" t="str">
        <f>IF(AC439="Yes",COUNTIF($AC$6:AC439,"Yes"),"")</f>
        <v/>
      </c>
    </row>
    <row r="440" spans="1:43">
      <c r="A440" s="249"/>
      <c r="B440" s="249"/>
      <c r="C440" s="249"/>
      <c r="D440" s="249"/>
      <c r="E440" s="249"/>
      <c r="F440" s="249"/>
      <c r="G440" s="249"/>
      <c r="H440" s="249"/>
      <c r="I440" s="249"/>
      <c r="J440" s="249"/>
      <c r="K440" s="249"/>
      <c r="L440" s="249"/>
      <c r="M440" s="249"/>
      <c r="N440" s="249"/>
      <c r="O440" s="249"/>
      <c r="P440" s="537"/>
      <c r="Q440" s="537"/>
      <c r="R440" s="537"/>
      <c r="S440" s="538" t="str">
        <f t="shared" ca="1" si="16"/>
        <v/>
      </c>
      <c r="T440" s="538" t="str">
        <f t="shared" ca="1" si="17"/>
        <v/>
      </c>
      <c r="U440" s="249"/>
      <c r="V440" s="249"/>
      <c r="W440" s="249"/>
      <c r="X440" s="249"/>
      <c r="Y440" s="249"/>
      <c r="Z440" s="249"/>
      <c r="AA440" s="249"/>
      <c r="AB440" s="249"/>
      <c r="AC440" s="249"/>
      <c r="AD440" s="249"/>
      <c r="AE440" s="249"/>
      <c r="AF440" s="249"/>
      <c r="AG440" s="249"/>
      <c r="AH440" s="249"/>
      <c r="AI440" s="249"/>
      <c r="AJ440" s="249"/>
      <c r="AK440" s="249"/>
      <c r="AL440" s="249"/>
      <c r="AM440" s="249"/>
      <c r="AN440" s="537"/>
      <c r="AO440" s="249" t="str">
        <f>IF(Z440="Yes",COUNTIF($Z$6:Z440,"Yes"),"")</f>
        <v/>
      </c>
      <c r="AP440" s="249" t="str">
        <f>IF(AA440="Yes",COUNTIF($AA$6:AA440,"Yes"),"")</f>
        <v/>
      </c>
      <c r="AQ440" s="249" t="str">
        <f>IF(AC440="Yes",COUNTIF($AC$6:AC440,"Yes"),"")</f>
        <v/>
      </c>
    </row>
    <row r="441" spans="1:43">
      <c r="A441" s="249"/>
      <c r="B441" s="249"/>
      <c r="C441" s="249"/>
      <c r="D441" s="249"/>
      <c r="E441" s="249"/>
      <c r="F441" s="249"/>
      <c r="G441" s="249"/>
      <c r="H441" s="249"/>
      <c r="I441" s="249"/>
      <c r="J441" s="249"/>
      <c r="K441" s="249"/>
      <c r="L441" s="249"/>
      <c r="M441" s="249"/>
      <c r="N441" s="249"/>
      <c r="O441" s="249"/>
      <c r="P441" s="537"/>
      <c r="Q441" s="537"/>
      <c r="R441" s="537"/>
      <c r="S441" s="538" t="str">
        <f t="shared" ca="1" si="16"/>
        <v/>
      </c>
      <c r="T441" s="538" t="str">
        <f t="shared" ca="1" si="17"/>
        <v/>
      </c>
      <c r="U441" s="249"/>
      <c r="V441" s="249"/>
      <c r="W441" s="249"/>
      <c r="X441" s="249"/>
      <c r="Y441" s="249"/>
      <c r="Z441" s="249"/>
      <c r="AA441" s="249"/>
      <c r="AB441" s="249"/>
      <c r="AC441" s="249"/>
      <c r="AD441" s="249"/>
      <c r="AE441" s="249"/>
      <c r="AF441" s="249"/>
      <c r="AG441" s="249"/>
      <c r="AH441" s="249"/>
      <c r="AI441" s="249"/>
      <c r="AJ441" s="249"/>
      <c r="AK441" s="249"/>
      <c r="AL441" s="249"/>
      <c r="AM441" s="249"/>
      <c r="AN441" s="537"/>
      <c r="AO441" s="249" t="str">
        <f>IF(Z441="Yes",COUNTIF($Z$6:Z441,"Yes"),"")</f>
        <v/>
      </c>
      <c r="AP441" s="249" t="str">
        <f>IF(AA441="Yes",COUNTIF($AA$6:AA441,"Yes"),"")</f>
        <v/>
      </c>
      <c r="AQ441" s="249" t="str">
        <f>IF(AC441="Yes",COUNTIF($AC$6:AC441,"Yes"),"")</f>
        <v/>
      </c>
    </row>
    <row r="442" spans="1:43">
      <c r="A442" s="249"/>
      <c r="B442" s="249"/>
      <c r="C442" s="249"/>
      <c r="D442" s="249"/>
      <c r="E442" s="249"/>
      <c r="F442" s="249"/>
      <c r="G442" s="249"/>
      <c r="H442" s="249"/>
      <c r="I442" s="249"/>
      <c r="J442" s="249"/>
      <c r="K442" s="249"/>
      <c r="L442" s="249"/>
      <c r="M442" s="249"/>
      <c r="N442" s="249"/>
      <c r="O442" s="249"/>
      <c r="P442" s="537"/>
      <c r="Q442" s="537"/>
      <c r="R442" s="537"/>
      <c r="S442" s="538" t="str">
        <f t="shared" ca="1" si="16"/>
        <v/>
      </c>
      <c r="T442" s="538" t="str">
        <f t="shared" ca="1" si="17"/>
        <v/>
      </c>
      <c r="U442" s="249"/>
      <c r="V442" s="249"/>
      <c r="W442" s="249"/>
      <c r="X442" s="249"/>
      <c r="Y442" s="249"/>
      <c r="Z442" s="249"/>
      <c r="AA442" s="249"/>
      <c r="AB442" s="249"/>
      <c r="AC442" s="249"/>
      <c r="AD442" s="249"/>
      <c r="AE442" s="249"/>
      <c r="AF442" s="249"/>
      <c r="AG442" s="249"/>
      <c r="AH442" s="249"/>
      <c r="AI442" s="249"/>
      <c r="AJ442" s="249"/>
      <c r="AK442" s="249"/>
      <c r="AL442" s="249"/>
      <c r="AM442" s="249"/>
      <c r="AN442" s="537"/>
      <c r="AO442" s="249" t="str">
        <f>IF(Z442="Yes",COUNTIF($Z$6:Z442,"Yes"),"")</f>
        <v/>
      </c>
      <c r="AP442" s="249" t="str">
        <f>IF(AA442="Yes",COUNTIF($AA$6:AA442,"Yes"),"")</f>
        <v/>
      </c>
      <c r="AQ442" s="249" t="str">
        <f>IF(AC442="Yes",COUNTIF($AC$6:AC442,"Yes"),"")</f>
        <v/>
      </c>
    </row>
    <row r="443" spans="1:43">
      <c r="A443" s="249"/>
      <c r="B443" s="249"/>
      <c r="C443" s="249"/>
      <c r="D443" s="249"/>
      <c r="E443" s="249"/>
      <c r="F443" s="249"/>
      <c r="G443" s="249"/>
      <c r="H443" s="249"/>
      <c r="I443" s="249"/>
      <c r="J443" s="249"/>
      <c r="K443" s="249"/>
      <c r="L443" s="249"/>
      <c r="M443" s="249"/>
      <c r="N443" s="249"/>
      <c r="O443" s="249"/>
      <c r="P443" s="537"/>
      <c r="Q443" s="537"/>
      <c r="R443" s="537"/>
      <c r="S443" s="538" t="str">
        <f t="shared" ca="1" si="16"/>
        <v/>
      </c>
      <c r="T443" s="538" t="str">
        <f t="shared" ca="1" si="17"/>
        <v/>
      </c>
      <c r="U443" s="249"/>
      <c r="V443" s="249"/>
      <c r="W443" s="249"/>
      <c r="X443" s="249"/>
      <c r="Y443" s="249"/>
      <c r="Z443" s="249"/>
      <c r="AA443" s="249"/>
      <c r="AB443" s="249"/>
      <c r="AC443" s="249"/>
      <c r="AD443" s="249"/>
      <c r="AE443" s="249"/>
      <c r="AF443" s="249"/>
      <c r="AG443" s="249"/>
      <c r="AH443" s="249"/>
      <c r="AI443" s="249"/>
      <c r="AJ443" s="249"/>
      <c r="AK443" s="249"/>
      <c r="AL443" s="249"/>
      <c r="AM443" s="249"/>
      <c r="AN443" s="537"/>
      <c r="AO443" s="249" t="str">
        <f>IF(Z443="Yes",COUNTIF($Z$6:Z443,"Yes"),"")</f>
        <v/>
      </c>
      <c r="AP443" s="249" t="str">
        <f>IF(AA443="Yes",COUNTIF($AA$6:AA443,"Yes"),"")</f>
        <v/>
      </c>
      <c r="AQ443" s="249" t="str">
        <f>IF(AC443="Yes",COUNTIF($AC$6:AC443,"Yes"),"")</f>
        <v/>
      </c>
    </row>
    <row r="444" spans="1:43">
      <c r="A444" s="249"/>
      <c r="B444" s="249"/>
      <c r="C444" s="249"/>
      <c r="D444" s="249"/>
      <c r="E444" s="249"/>
      <c r="F444" s="249"/>
      <c r="G444" s="249"/>
      <c r="H444" s="249"/>
      <c r="I444" s="249"/>
      <c r="J444" s="249"/>
      <c r="K444" s="249"/>
      <c r="L444" s="249"/>
      <c r="M444" s="249"/>
      <c r="N444" s="249"/>
      <c r="O444" s="249"/>
      <c r="P444" s="537"/>
      <c r="Q444" s="537"/>
      <c r="R444" s="537"/>
      <c r="S444" s="538" t="str">
        <f t="shared" ca="1" si="16"/>
        <v/>
      </c>
      <c r="T444" s="538" t="str">
        <f t="shared" ca="1" si="17"/>
        <v/>
      </c>
      <c r="U444" s="249"/>
      <c r="V444" s="249"/>
      <c r="W444" s="249"/>
      <c r="X444" s="249"/>
      <c r="Y444" s="249"/>
      <c r="Z444" s="249"/>
      <c r="AA444" s="249"/>
      <c r="AB444" s="249"/>
      <c r="AC444" s="249"/>
      <c r="AD444" s="249"/>
      <c r="AE444" s="249"/>
      <c r="AF444" s="249"/>
      <c r="AG444" s="249"/>
      <c r="AH444" s="249"/>
      <c r="AI444" s="249"/>
      <c r="AJ444" s="249"/>
      <c r="AK444" s="249"/>
      <c r="AL444" s="249"/>
      <c r="AM444" s="249"/>
      <c r="AN444" s="537"/>
      <c r="AO444" s="249" t="str">
        <f>IF(Z444="Yes",COUNTIF($Z$6:Z444,"Yes"),"")</f>
        <v/>
      </c>
      <c r="AP444" s="249" t="str">
        <f>IF(AA444="Yes",COUNTIF($AA$6:AA444,"Yes"),"")</f>
        <v/>
      </c>
      <c r="AQ444" s="249" t="str">
        <f>IF(AC444="Yes",COUNTIF($AC$6:AC444,"Yes"),"")</f>
        <v/>
      </c>
    </row>
    <row r="445" spans="1:43">
      <c r="A445" s="249"/>
      <c r="B445" s="249"/>
      <c r="C445" s="249"/>
      <c r="D445" s="249"/>
      <c r="E445" s="249"/>
      <c r="F445" s="249"/>
      <c r="G445" s="249"/>
      <c r="H445" s="249"/>
      <c r="I445" s="249"/>
      <c r="J445" s="249"/>
      <c r="K445" s="249"/>
      <c r="L445" s="249"/>
      <c r="M445" s="249"/>
      <c r="N445" s="249"/>
      <c r="O445" s="249"/>
      <c r="P445" s="537"/>
      <c r="Q445" s="537"/>
      <c r="R445" s="537"/>
      <c r="S445" s="538" t="str">
        <f t="shared" ca="1" si="16"/>
        <v/>
      </c>
      <c r="T445" s="538" t="str">
        <f t="shared" ca="1" si="17"/>
        <v/>
      </c>
      <c r="U445" s="249"/>
      <c r="V445" s="249"/>
      <c r="W445" s="249"/>
      <c r="X445" s="249"/>
      <c r="Y445" s="249"/>
      <c r="Z445" s="249"/>
      <c r="AA445" s="249"/>
      <c r="AB445" s="249"/>
      <c r="AC445" s="249"/>
      <c r="AD445" s="249"/>
      <c r="AE445" s="249"/>
      <c r="AF445" s="249"/>
      <c r="AG445" s="249"/>
      <c r="AH445" s="249"/>
      <c r="AI445" s="249"/>
      <c r="AJ445" s="249"/>
      <c r="AK445" s="249"/>
      <c r="AL445" s="249"/>
      <c r="AM445" s="249"/>
      <c r="AN445" s="537"/>
      <c r="AO445" s="249" t="str">
        <f>IF(Z445="Yes",COUNTIF($Z$6:Z445,"Yes"),"")</f>
        <v/>
      </c>
      <c r="AP445" s="249" t="str">
        <f>IF(AA445="Yes",COUNTIF($AA$6:AA445,"Yes"),"")</f>
        <v/>
      </c>
      <c r="AQ445" s="249" t="str">
        <f>IF(AC445="Yes",COUNTIF($AC$6:AC445,"Yes"),"")</f>
        <v/>
      </c>
    </row>
    <row r="446" spans="1:43">
      <c r="A446" s="249"/>
      <c r="B446" s="249"/>
      <c r="C446" s="249"/>
      <c r="D446" s="249"/>
      <c r="E446" s="249"/>
      <c r="F446" s="249"/>
      <c r="G446" s="249"/>
      <c r="H446" s="249"/>
      <c r="I446" s="249"/>
      <c r="J446" s="249"/>
      <c r="K446" s="249"/>
      <c r="L446" s="249"/>
      <c r="M446" s="249"/>
      <c r="N446" s="249"/>
      <c r="O446" s="249"/>
      <c r="P446" s="537"/>
      <c r="Q446" s="537"/>
      <c r="R446" s="537"/>
      <c r="S446" s="538" t="str">
        <f t="shared" ca="1" si="16"/>
        <v/>
      </c>
      <c r="T446" s="538" t="str">
        <f t="shared" ca="1" si="17"/>
        <v/>
      </c>
      <c r="U446" s="249"/>
      <c r="V446" s="249"/>
      <c r="W446" s="249"/>
      <c r="X446" s="249"/>
      <c r="Y446" s="249"/>
      <c r="Z446" s="249"/>
      <c r="AA446" s="249"/>
      <c r="AB446" s="249"/>
      <c r="AC446" s="249"/>
      <c r="AD446" s="249"/>
      <c r="AE446" s="249"/>
      <c r="AF446" s="249"/>
      <c r="AG446" s="249"/>
      <c r="AH446" s="249"/>
      <c r="AI446" s="249"/>
      <c r="AJ446" s="249"/>
      <c r="AK446" s="249"/>
      <c r="AL446" s="249"/>
      <c r="AM446" s="249"/>
      <c r="AN446" s="537"/>
      <c r="AO446" s="249" t="str">
        <f>IF(Z446="Yes",COUNTIF($Z$6:Z446,"Yes"),"")</f>
        <v/>
      </c>
      <c r="AP446" s="249" t="str">
        <f>IF(AA446="Yes",COUNTIF($AA$6:AA446,"Yes"),"")</f>
        <v/>
      </c>
      <c r="AQ446" s="249" t="str">
        <f>IF(AC446="Yes",COUNTIF($AC$6:AC446,"Yes"),"")</f>
        <v/>
      </c>
    </row>
    <row r="447" spans="1:43">
      <c r="A447" s="249"/>
      <c r="B447" s="249"/>
      <c r="C447" s="249"/>
      <c r="D447" s="249"/>
      <c r="E447" s="249"/>
      <c r="F447" s="249"/>
      <c r="G447" s="249"/>
      <c r="H447" s="249"/>
      <c r="I447" s="249"/>
      <c r="J447" s="249"/>
      <c r="K447" s="249"/>
      <c r="L447" s="249"/>
      <c r="M447" s="249"/>
      <c r="N447" s="249"/>
      <c r="O447" s="249"/>
      <c r="P447" s="537"/>
      <c r="Q447" s="537"/>
      <c r="R447" s="537"/>
      <c r="S447" s="538" t="str">
        <f t="shared" ca="1" si="16"/>
        <v/>
      </c>
      <c r="T447" s="538" t="str">
        <f t="shared" ca="1" si="17"/>
        <v/>
      </c>
      <c r="U447" s="249"/>
      <c r="V447" s="249"/>
      <c r="W447" s="249"/>
      <c r="X447" s="249"/>
      <c r="Y447" s="249"/>
      <c r="Z447" s="249"/>
      <c r="AA447" s="249"/>
      <c r="AB447" s="249"/>
      <c r="AC447" s="249"/>
      <c r="AD447" s="249"/>
      <c r="AE447" s="249"/>
      <c r="AF447" s="249"/>
      <c r="AG447" s="249"/>
      <c r="AH447" s="249"/>
      <c r="AI447" s="249"/>
      <c r="AJ447" s="249"/>
      <c r="AK447" s="249"/>
      <c r="AL447" s="249"/>
      <c r="AM447" s="249"/>
      <c r="AN447" s="537"/>
      <c r="AO447" s="249" t="str">
        <f>IF(Z447="Yes",COUNTIF($Z$6:Z447,"Yes"),"")</f>
        <v/>
      </c>
      <c r="AP447" s="249" t="str">
        <f>IF(AA447="Yes",COUNTIF($AA$6:AA447,"Yes"),"")</f>
        <v/>
      </c>
      <c r="AQ447" s="249" t="str">
        <f>IF(AC447="Yes",COUNTIF($AC$6:AC447,"Yes"),"")</f>
        <v/>
      </c>
    </row>
    <row r="448" spans="1:43">
      <c r="A448" s="249"/>
      <c r="B448" s="249"/>
      <c r="C448" s="249"/>
      <c r="D448" s="249"/>
      <c r="E448" s="249"/>
      <c r="F448" s="249"/>
      <c r="G448" s="249"/>
      <c r="H448" s="249"/>
      <c r="I448" s="249"/>
      <c r="J448" s="249"/>
      <c r="K448" s="249"/>
      <c r="L448" s="249"/>
      <c r="M448" s="249"/>
      <c r="N448" s="249"/>
      <c r="O448" s="249"/>
      <c r="P448" s="537"/>
      <c r="Q448" s="537"/>
      <c r="R448" s="537"/>
      <c r="S448" s="538" t="str">
        <f t="shared" ca="1" si="16"/>
        <v/>
      </c>
      <c r="T448" s="538" t="str">
        <f t="shared" ca="1" si="17"/>
        <v/>
      </c>
      <c r="U448" s="249"/>
      <c r="V448" s="249"/>
      <c r="W448" s="249"/>
      <c r="X448" s="249"/>
      <c r="Y448" s="249"/>
      <c r="Z448" s="249"/>
      <c r="AA448" s="249"/>
      <c r="AB448" s="249"/>
      <c r="AC448" s="249"/>
      <c r="AD448" s="249"/>
      <c r="AE448" s="249"/>
      <c r="AF448" s="249"/>
      <c r="AG448" s="249"/>
      <c r="AH448" s="249"/>
      <c r="AI448" s="249"/>
      <c r="AJ448" s="249"/>
      <c r="AK448" s="249"/>
      <c r="AL448" s="249"/>
      <c r="AM448" s="249"/>
      <c r="AN448" s="537"/>
      <c r="AO448" s="249" t="str">
        <f>IF(Z448="Yes",COUNTIF($Z$6:Z448,"Yes"),"")</f>
        <v/>
      </c>
      <c r="AP448" s="249" t="str">
        <f>IF(AA448="Yes",COUNTIF($AA$6:AA448,"Yes"),"")</f>
        <v/>
      </c>
      <c r="AQ448" s="249" t="str">
        <f>IF(AC448="Yes",COUNTIF($AC$6:AC448,"Yes"),"")</f>
        <v/>
      </c>
    </row>
    <row r="449" spans="1:43">
      <c r="A449" s="249"/>
      <c r="B449" s="249"/>
      <c r="C449" s="249"/>
      <c r="D449" s="249"/>
      <c r="E449" s="249"/>
      <c r="F449" s="249"/>
      <c r="G449" s="249"/>
      <c r="H449" s="249"/>
      <c r="I449" s="249"/>
      <c r="J449" s="249"/>
      <c r="K449" s="249"/>
      <c r="L449" s="249"/>
      <c r="M449" s="249"/>
      <c r="N449" s="249"/>
      <c r="O449" s="249"/>
      <c r="P449" s="537"/>
      <c r="Q449" s="537"/>
      <c r="R449" s="537"/>
      <c r="S449" s="538" t="str">
        <f t="shared" ca="1" si="16"/>
        <v/>
      </c>
      <c r="T449" s="538" t="str">
        <f t="shared" ca="1" si="17"/>
        <v/>
      </c>
      <c r="U449" s="249"/>
      <c r="V449" s="249"/>
      <c r="W449" s="249"/>
      <c r="X449" s="249"/>
      <c r="Y449" s="249"/>
      <c r="Z449" s="249"/>
      <c r="AA449" s="249"/>
      <c r="AB449" s="249"/>
      <c r="AC449" s="249"/>
      <c r="AD449" s="249"/>
      <c r="AE449" s="249"/>
      <c r="AF449" s="249"/>
      <c r="AG449" s="249"/>
      <c r="AH449" s="249"/>
      <c r="AI449" s="249"/>
      <c r="AJ449" s="249"/>
      <c r="AK449" s="249"/>
      <c r="AL449" s="249"/>
      <c r="AM449" s="249"/>
      <c r="AN449" s="537"/>
      <c r="AO449" s="249" t="str">
        <f>IF(Z449="Yes",COUNTIF($Z$6:Z449,"Yes"),"")</f>
        <v/>
      </c>
      <c r="AP449" s="249" t="str">
        <f>IF(AA449="Yes",COUNTIF($AA$6:AA449,"Yes"),"")</f>
        <v/>
      </c>
      <c r="AQ449" s="249" t="str">
        <f>IF(AC449="Yes",COUNTIF($AC$6:AC449,"Yes"),"")</f>
        <v/>
      </c>
    </row>
    <row r="450" spans="1:43">
      <c r="A450" s="249"/>
      <c r="B450" s="249"/>
      <c r="C450" s="249"/>
      <c r="D450" s="249"/>
      <c r="E450" s="249"/>
      <c r="F450" s="249"/>
      <c r="G450" s="249"/>
      <c r="H450" s="249"/>
      <c r="I450" s="249"/>
      <c r="J450" s="249"/>
      <c r="K450" s="249"/>
      <c r="L450" s="249"/>
      <c r="M450" s="249"/>
      <c r="N450" s="249"/>
      <c r="O450" s="249"/>
      <c r="P450" s="537"/>
      <c r="Q450" s="537"/>
      <c r="R450" s="537"/>
      <c r="S450" s="538" t="str">
        <f t="shared" ca="1" si="16"/>
        <v/>
      </c>
      <c r="T450" s="538" t="str">
        <f t="shared" ca="1" si="17"/>
        <v/>
      </c>
      <c r="U450" s="249"/>
      <c r="V450" s="249"/>
      <c r="W450" s="249"/>
      <c r="X450" s="249"/>
      <c r="Y450" s="249"/>
      <c r="Z450" s="249"/>
      <c r="AA450" s="249"/>
      <c r="AB450" s="249"/>
      <c r="AC450" s="249"/>
      <c r="AD450" s="249"/>
      <c r="AE450" s="249"/>
      <c r="AF450" s="249"/>
      <c r="AG450" s="249"/>
      <c r="AH450" s="249"/>
      <c r="AI450" s="249"/>
      <c r="AJ450" s="249"/>
      <c r="AK450" s="249"/>
      <c r="AL450" s="249"/>
      <c r="AM450" s="249"/>
      <c r="AN450" s="537"/>
      <c r="AO450" s="249" t="str">
        <f>IF(Z450="Yes",COUNTIF($Z$6:Z450,"Yes"),"")</f>
        <v/>
      </c>
      <c r="AP450" s="249" t="str">
        <f>IF(AA450="Yes",COUNTIF($AA$6:AA450,"Yes"),"")</f>
        <v/>
      </c>
      <c r="AQ450" s="249" t="str">
        <f>IF(AC450="Yes",COUNTIF($AC$6:AC450,"Yes"),"")</f>
        <v/>
      </c>
    </row>
    <row r="451" spans="1:43">
      <c r="A451" s="249"/>
      <c r="B451" s="249"/>
      <c r="C451" s="249"/>
      <c r="D451" s="249"/>
      <c r="E451" s="249"/>
      <c r="F451" s="249"/>
      <c r="G451" s="249"/>
      <c r="H451" s="249"/>
      <c r="I451" s="249"/>
      <c r="J451" s="249"/>
      <c r="K451" s="249"/>
      <c r="L451" s="249"/>
      <c r="M451" s="249"/>
      <c r="N451" s="249"/>
      <c r="O451" s="249"/>
      <c r="P451" s="537"/>
      <c r="Q451" s="537"/>
      <c r="R451" s="537"/>
      <c r="S451" s="538" t="str">
        <f t="shared" ca="1" si="16"/>
        <v/>
      </c>
      <c r="T451" s="538" t="str">
        <f t="shared" ca="1" si="17"/>
        <v/>
      </c>
      <c r="U451" s="249"/>
      <c r="V451" s="249"/>
      <c r="W451" s="249"/>
      <c r="X451" s="249"/>
      <c r="Y451" s="249"/>
      <c r="Z451" s="249"/>
      <c r="AA451" s="249"/>
      <c r="AB451" s="249"/>
      <c r="AC451" s="249"/>
      <c r="AD451" s="249"/>
      <c r="AE451" s="249"/>
      <c r="AF451" s="249"/>
      <c r="AG451" s="249"/>
      <c r="AH451" s="249"/>
      <c r="AI451" s="249"/>
      <c r="AJ451" s="249"/>
      <c r="AK451" s="249"/>
      <c r="AL451" s="249"/>
      <c r="AM451" s="249"/>
      <c r="AN451" s="537"/>
      <c r="AO451" s="249" t="str">
        <f>IF(Z451="Yes",COUNTIF($Z$6:Z451,"Yes"),"")</f>
        <v/>
      </c>
      <c r="AP451" s="249" t="str">
        <f>IF(AA451="Yes",COUNTIF($AA$6:AA451,"Yes"),"")</f>
        <v/>
      </c>
      <c r="AQ451" s="249" t="str">
        <f>IF(AC451="Yes",COUNTIF($AC$6:AC451,"Yes"),"")</f>
        <v/>
      </c>
    </row>
    <row r="452" spans="1:43">
      <c r="A452" s="249"/>
      <c r="B452" s="249"/>
      <c r="C452" s="249"/>
      <c r="D452" s="249"/>
      <c r="E452" s="249"/>
      <c r="F452" s="249"/>
      <c r="G452" s="249"/>
      <c r="H452" s="249"/>
      <c r="I452" s="249"/>
      <c r="J452" s="249"/>
      <c r="K452" s="249"/>
      <c r="L452" s="249"/>
      <c r="M452" s="249"/>
      <c r="N452" s="249"/>
      <c r="O452" s="249"/>
      <c r="P452" s="537"/>
      <c r="Q452" s="537"/>
      <c r="R452" s="537"/>
      <c r="S452" s="538" t="str">
        <f t="shared" ca="1" si="16"/>
        <v/>
      </c>
      <c r="T452" s="538" t="str">
        <f t="shared" ca="1" si="17"/>
        <v/>
      </c>
      <c r="U452" s="249"/>
      <c r="V452" s="249"/>
      <c r="W452" s="249"/>
      <c r="X452" s="249"/>
      <c r="Y452" s="249"/>
      <c r="Z452" s="249"/>
      <c r="AA452" s="249"/>
      <c r="AB452" s="249"/>
      <c r="AC452" s="249"/>
      <c r="AD452" s="249"/>
      <c r="AE452" s="249"/>
      <c r="AF452" s="249"/>
      <c r="AG452" s="249"/>
      <c r="AH452" s="249"/>
      <c r="AI452" s="249"/>
      <c r="AJ452" s="249"/>
      <c r="AK452" s="249"/>
      <c r="AL452" s="249"/>
      <c r="AM452" s="249"/>
      <c r="AN452" s="537"/>
      <c r="AO452" s="249" t="str">
        <f>IF(Z452="Yes",COUNTIF($Z$6:Z452,"Yes"),"")</f>
        <v/>
      </c>
      <c r="AP452" s="249" t="str">
        <f>IF(AA452="Yes",COUNTIF($AA$6:AA452,"Yes"),"")</f>
        <v/>
      </c>
      <c r="AQ452" s="249" t="str">
        <f>IF(AC452="Yes",COUNTIF($AC$6:AC452,"Yes"),"")</f>
        <v/>
      </c>
    </row>
    <row r="453" spans="1:43">
      <c r="A453" s="249"/>
      <c r="B453" s="249"/>
      <c r="C453" s="249"/>
      <c r="D453" s="249"/>
      <c r="E453" s="249"/>
      <c r="F453" s="249"/>
      <c r="G453" s="249"/>
      <c r="H453" s="249"/>
      <c r="I453" s="249"/>
      <c r="J453" s="249"/>
      <c r="K453" s="249"/>
      <c r="L453" s="249"/>
      <c r="M453" s="249"/>
      <c r="N453" s="249"/>
      <c r="O453" s="249"/>
      <c r="P453" s="537"/>
      <c r="Q453" s="537"/>
      <c r="R453" s="537"/>
      <c r="S453" s="538" t="str">
        <f t="shared" ca="1" si="16"/>
        <v/>
      </c>
      <c r="T453" s="538" t="str">
        <f t="shared" ca="1" si="17"/>
        <v/>
      </c>
      <c r="U453" s="249"/>
      <c r="V453" s="249"/>
      <c r="W453" s="249"/>
      <c r="X453" s="249"/>
      <c r="Y453" s="249"/>
      <c r="Z453" s="249"/>
      <c r="AA453" s="249"/>
      <c r="AB453" s="249"/>
      <c r="AC453" s="249"/>
      <c r="AD453" s="249"/>
      <c r="AE453" s="249"/>
      <c r="AF453" s="249"/>
      <c r="AG453" s="249"/>
      <c r="AH453" s="249"/>
      <c r="AI453" s="249"/>
      <c r="AJ453" s="249"/>
      <c r="AK453" s="249"/>
      <c r="AL453" s="249"/>
      <c r="AM453" s="249"/>
      <c r="AN453" s="537"/>
      <c r="AO453" s="249" t="str">
        <f>IF(Z453="Yes",COUNTIF($Z$6:Z453,"Yes"),"")</f>
        <v/>
      </c>
      <c r="AP453" s="249" t="str">
        <f>IF(AA453="Yes",COUNTIF($AA$6:AA453,"Yes"),"")</f>
        <v/>
      </c>
      <c r="AQ453" s="249" t="str">
        <f>IF(AC453="Yes",COUNTIF($AC$6:AC453,"Yes"),"")</f>
        <v/>
      </c>
    </row>
    <row r="454" spans="1:43">
      <c r="A454" s="249"/>
      <c r="B454" s="249"/>
      <c r="C454" s="249"/>
      <c r="D454" s="249"/>
      <c r="E454" s="249"/>
      <c r="F454" s="249"/>
      <c r="G454" s="249"/>
      <c r="H454" s="249"/>
      <c r="I454" s="249"/>
      <c r="J454" s="249"/>
      <c r="K454" s="249"/>
      <c r="L454" s="249"/>
      <c r="M454" s="249"/>
      <c r="N454" s="249"/>
      <c r="O454" s="249"/>
      <c r="P454" s="537"/>
      <c r="Q454" s="537"/>
      <c r="R454" s="537"/>
      <c r="S454" s="538" t="str">
        <f t="shared" ref="S454:S505" ca="1" si="18">IF(P454="","",IF(R454&lt;&gt;"",R454-P454,TODAY()-P454))</f>
        <v/>
      </c>
      <c r="T454" s="538" t="str">
        <f t="shared" ref="T454:T505" ca="1" si="19">IF(Q454="","",Q454-TODAY())</f>
        <v/>
      </c>
      <c r="U454" s="249"/>
      <c r="V454" s="249"/>
      <c r="W454" s="249"/>
      <c r="X454" s="249"/>
      <c r="Y454" s="249"/>
      <c r="Z454" s="249"/>
      <c r="AA454" s="249"/>
      <c r="AB454" s="249"/>
      <c r="AC454" s="249"/>
      <c r="AD454" s="249"/>
      <c r="AE454" s="249"/>
      <c r="AF454" s="249"/>
      <c r="AG454" s="249"/>
      <c r="AH454" s="249"/>
      <c r="AI454" s="249"/>
      <c r="AJ454" s="249"/>
      <c r="AK454" s="249"/>
      <c r="AL454" s="249"/>
      <c r="AM454" s="249"/>
      <c r="AN454" s="537"/>
      <c r="AO454" s="249" t="str">
        <f>IF(Z454="Yes",COUNTIF($Z$6:Z454,"Yes"),"")</f>
        <v/>
      </c>
      <c r="AP454" s="249" t="str">
        <f>IF(AA454="Yes",COUNTIF($AA$6:AA454,"Yes"),"")</f>
        <v/>
      </c>
      <c r="AQ454" s="249" t="str">
        <f>IF(AC454="Yes",COUNTIF($AC$6:AC454,"Yes"),"")</f>
        <v/>
      </c>
    </row>
    <row r="455" spans="1:43">
      <c r="A455" s="249"/>
      <c r="B455" s="249"/>
      <c r="C455" s="249"/>
      <c r="D455" s="249"/>
      <c r="E455" s="249"/>
      <c r="F455" s="249"/>
      <c r="G455" s="249"/>
      <c r="H455" s="249"/>
      <c r="I455" s="249"/>
      <c r="J455" s="249"/>
      <c r="K455" s="249"/>
      <c r="L455" s="249"/>
      <c r="M455" s="249"/>
      <c r="N455" s="249"/>
      <c r="O455" s="249"/>
      <c r="P455" s="537"/>
      <c r="Q455" s="537"/>
      <c r="R455" s="537"/>
      <c r="S455" s="538" t="str">
        <f t="shared" ca="1" si="18"/>
        <v/>
      </c>
      <c r="T455" s="538" t="str">
        <f t="shared" ca="1" si="19"/>
        <v/>
      </c>
      <c r="U455" s="249"/>
      <c r="V455" s="249"/>
      <c r="W455" s="249"/>
      <c r="X455" s="249"/>
      <c r="Y455" s="249"/>
      <c r="Z455" s="249"/>
      <c r="AA455" s="249"/>
      <c r="AB455" s="249"/>
      <c r="AC455" s="249"/>
      <c r="AD455" s="249"/>
      <c r="AE455" s="249"/>
      <c r="AF455" s="249"/>
      <c r="AG455" s="249"/>
      <c r="AH455" s="249"/>
      <c r="AI455" s="249"/>
      <c r="AJ455" s="249"/>
      <c r="AK455" s="249"/>
      <c r="AL455" s="249"/>
      <c r="AM455" s="249"/>
      <c r="AN455" s="537"/>
      <c r="AO455" s="249" t="str">
        <f>IF(Z455="Yes",COUNTIF($Z$6:Z455,"Yes"),"")</f>
        <v/>
      </c>
      <c r="AP455" s="249" t="str">
        <f>IF(AA455="Yes",COUNTIF($AA$6:AA455,"Yes"),"")</f>
        <v/>
      </c>
      <c r="AQ455" s="249" t="str">
        <f>IF(AC455="Yes",COUNTIF($AC$6:AC455,"Yes"),"")</f>
        <v/>
      </c>
    </row>
    <row r="456" spans="1:43">
      <c r="A456" s="249"/>
      <c r="B456" s="249"/>
      <c r="C456" s="249"/>
      <c r="D456" s="249"/>
      <c r="E456" s="249"/>
      <c r="F456" s="249"/>
      <c r="G456" s="249"/>
      <c r="H456" s="249"/>
      <c r="I456" s="249"/>
      <c r="J456" s="249"/>
      <c r="K456" s="249"/>
      <c r="L456" s="249"/>
      <c r="M456" s="249"/>
      <c r="N456" s="249"/>
      <c r="O456" s="249"/>
      <c r="P456" s="537"/>
      <c r="Q456" s="537"/>
      <c r="R456" s="537"/>
      <c r="S456" s="538" t="str">
        <f t="shared" ca="1" si="18"/>
        <v/>
      </c>
      <c r="T456" s="538" t="str">
        <f t="shared" ca="1" si="19"/>
        <v/>
      </c>
      <c r="U456" s="249"/>
      <c r="V456" s="249"/>
      <c r="W456" s="249"/>
      <c r="X456" s="249"/>
      <c r="Y456" s="249"/>
      <c r="Z456" s="249"/>
      <c r="AA456" s="249"/>
      <c r="AB456" s="249"/>
      <c r="AC456" s="249"/>
      <c r="AD456" s="249"/>
      <c r="AE456" s="249"/>
      <c r="AF456" s="249"/>
      <c r="AG456" s="249"/>
      <c r="AH456" s="249"/>
      <c r="AI456" s="249"/>
      <c r="AJ456" s="249"/>
      <c r="AK456" s="249"/>
      <c r="AL456" s="249"/>
      <c r="AM456" s="249"/>
      <c r="AN456" s="537"/>
      <c r="AO456" s="249" t="str">
        <f>IF(Z456="Yes",COUNTIF($Z$6:Z456,"Yes"),"")</f>
        <v/>
      </c>
      <c r="AP456" s="249" t="str">
        <f>IF(AA456="Yes",COUNTIF($AA$6:AA456,"Yes"),"")</f>
        <v/>
      </c>
      <c r="AQ456" s="249" t="str">
        <f>IF(AC456="Yes",COUNTIF($AC$6:AC456,"Yes"),"")</f>
        <v/>
      </c>
    </row>
    <row r="457" spans="1:43">
      <c r="A457" s="249"/>
      <c r="B457" s="249"/>
      <c r="C457" s="249"/>
      <c r="D457" s="249"/>
      <c r="E457" s="249"/>
      <c r="F457" s="249"/>
      <c r="G457" s="249"/>
      <c r="H457" s="249"/>
      <c r="I457" s="249"/>
      <c r="J457" s="249"/>
      <c r="K457" s="249"/>
      <c r="L457" s="249"/>
      <c r="M457" s="249"/>
      <c r="N457" s="249"/>
      <c r="O457" s="249"/>
      <c r="P457" s="537"/>
      <c r="Q457" s="537"/>
      <c r="R457" s="537"/>
      <c r="S457" s="538" t="str">
        <f t="shared" ca="1" si="18"/>
        <v/>
      </c>
      <c r="T457" s="538" t="str">
        <f t="shared" ca="1" si="19"/>
        <v/>
      </c>
      <c r="U457" s="249"/>
      <c r="V457" s="249"/>
      <c r="W457" s="249"/>
      <c r="X457" s="249"/>
      <c r="Y457" s="249"/>
      <c r="Z457" s="249"/>
      <c r="AA457" s="249"/>
      <c r="AB457" s="249"/>
      <c r="AC457" s="249"/>
      <c r="AD457" s="249"/>
      <c r="AE457" s="249"/>
      <c r="AF457" s="249"/>
      <c r="AG457" s="249"/>
      <c r="AH457" s="249"/>
      <c r="AI457" s="249"/>
      <c r="AJ457" s="249"/>
      <c r="AK457" s="249"/>
      <c r="AL457" s="249"/>
      <c r="AM457" s="249"/>
      <c r="AN457" s="537"/>
      <c r="AO457" s="249" t="str">
        <f>IF(Z457="Yes",COUNTIF($Z$6:Z457,"Yes"),"")</f>
        <v/>
      </c>
      <c r="AP457" s="249" t="str">
        <f>IF(AA457="Yes",COUNTIF($AA$6:AA457,"Yes"),"")</f>
        <v/>
      </c>
      <c r="AQ457" s="249" t="str">
        <f>IF(AC457="Yes",COUNTIF($AC$6:AC457,"Yes"),"")</f>
        <v/>
      </c>
    </row>
    <row r="458" spans="1:43">
      <c r="A458" s="249"/>
      <c r="B458" s="249"/>
      <c r="C458" s="249"/>
      <c r="D458" s="249"/>
      <c r="E458" s="249"/>
      <c r="F458" s="249"/>
      <c r="G458" s="249"/>
      <c r="H458" s="249"/>
      <c r="I458" s="249"/>
      <c r="J458" s="249"/>
      <c r="K458" s="249"/>
      <c r="L458" s="249"/>
      <c r="M458" s="249"/>
      <c r="N458" s="249"/>
      <c r="O458" s="249"/>
      <c r="P458" s="537"/>
      <c r="Q458" s="537"/>
      <c r="R458" s="537"/>
      <c r="S458" s="538" t="str">
        <f t="shared" ca="1" si="18"/>
        <v/>
      </c>
      <c r="T458" s="538" t="str">
        <f t="shared" ca="1" si="19"/>
        <v/>
      </c>
      <c r="U458" s="249"/>
      <c r="V458" s="249"/>
      <c r="W458" s="249"/>
      <c r="X458" s="249"/>
      <c r="Y458" s="249"/>
      <c r="Z458" s="249"/>
      <c r="AA458" s="249"/>
      <c r="AB458" s="249"/>
      <c r="AC458" s="249"/>
      <c r="AD458" s="249"/>
      <c r="AE458" s="249"/>
      <c r="AF458" s="249"/>
      <c r="AG458" s="249"/>
      <c r="AH458" s="249"/>
      <c r="AI458" s="249"/>
      <c r="AJ458" s="249"/>
      <c r="AK458" s="249"/>
      <c r="AL458" s="249"/>
      <c r="AM458" s="249"/>
      <c r="AN458" s="537"/>
      <c r="AO458" s="249" t="str">
        <f>IF(Z458="Yes",COUNTIF($Z$6:Z458,"Yes"),"")</f>
        <v/>
      </c>
      <c r="AP458" s="249" t="str">
        <f>IF(AA458="Yes",COUNTIF($AA$6:AA458,"Yes"),"")</f>
        <v/>
      </c>
      <c r="AQ458" s="249" t="str">
        <f>IF(AC458="Yes",COUNTIF($AC$6:AC458,"Yes"),"")</f>
        <v/>
      </c>
    </row>
    <row r="459" spans="1:43">
      <c r="A459" s="249"/>
      <c r="B459" s="249"/>
      <c r="C459" s="249"/>
      <c r="D459" s="249"/>
      <c r="E459" s="249"/>
      <c r="F459" s="249"/>
      <c r="G459" s="249"/>
      <c r="H459" s="249"/>
      <c r="I459" s="249"/>
      <c r="J459" s="249"/>
      <c r="K459" s="249"/>
      <c r="L459" s="249"/>
      <c r="M459" s="249"/>
      <c r="N459" s="249"/>
      <c r="O459" s="249"/>
      <c r="P459" s="537"/>
      <c r="Q459" s="537"/>
      <c r="R459" s="537"/>
      <c r="S459" s="538" t="str">
        <f t="shared" ca="1" si="18"/>
        <v/>
      </c>
      <c r="T459" s="538" t="str">
        <f t="shared" ca="1" si="19"/>
        <v/>
      </c>
      <c r="U459" s="249"/>
      <c r="V459" s="249"/>
      <c r="W459" s="249"/>
      <c r="X459" s="249"/>
      <c r="Y459" s="249"/>
      <c r="Z459" s="249"/>
      <c r="AA459" s="249"/>
      <c r="AB459" s="249"/>
      <c r="AC459" s="249"/>
      <c r="AD459" s="249"/>
      <c r="AE459" s="249"/>
      <c r="AF459" s="249"/>
      <c r="AG459" s="249"/>
      <c r="AH459" s="249"/>
      <c r="AI459" s="249"/>
      <c r="AJ459" s="249"/>
      <c r="AK459" s="249"/>
      <c r="AL459" s="249"/>
      <c r="AM459" s="249"/>
      <c r="AN459" s="537"/>
      <c r="AO459" s="249" t="str">
        <f>IF(Z459="Yes",COUNTIF($Z$6:Z459,"Yes"),"")</f>
        <v/>
      </c>
      <c r="AP459" s="249" t="str">
        <f>IF(AA459="Yes",COUNTIF($AA$6:AA459,"Yes"),"")</f>
        <v/>
      </c>
      <c r="AQ459" s="249" t="str">
        <f>IF(AC459="Yes",COUNTIF($AC$6:AC459,"Yes"),"")</f>
        <v/>
      </c>
    </row>
    <row r="460" spans="1:43">
      <c r="A460" s="249"/>
      <c r="B460" s="249"/>
      <c r="C460" s="249"/>
      <c r="D460" s="249"/>
      <c r="E460" s="249"/>
      <c r="F460" s="249"/>
      <c r="G460" s="249"/>
      <c r="H460" s="249"/>
      <c r="I460" s="249"/>
      <c r="J460" s="249"/>
      <c r="K460" s="249"/>
      <c r="L460" s="249"/>
      <c r="M460" s="249"/>
      <c r="N460" s="249"/>
      <c r="O460" s="249"/>
      <c r="P460" s="537"/>
      <c r="Q460" s="537"/>
      <c r="R460" s="537"/>
      <c r="S460" s="538" t="str">
        <f t="shared" ca="1" si="18"/>
        <v/>
      </c>
      <c r="T460" s="538" t="str">
        <f t="shared" ca="1" si="19"/>
        <v/>
      </c>
      <c r="U460" s="249"/>
      <c r="V460" s="249"/>
      <c r="W460" s="249"/>
      <c r="X460" s="249"/>
      <c r="Y460" s="249"/>
      <c r="Z460" s="249"/>
      <c r="AA460" s="249"/>
      <c r="AB460" s="249"/>
      <c r="AC460" s="249"/>
      <c r="AD460" s="249"/>
      <c r="AE460" s="249"/>
      <c r="AF460" s="249"/>
      <c r="AG460" s="249"/>
      <c r="AH460" s="249"/>
      <c r="AI460" s="249"/>
      <c r="AJ460" s="249"/>
      <c r="AK460" s="249"/>
      <c r="AL460" s="249"/>
      <c r="AM460" s="249"/>
      <c r="AN460" s="537"/>
      <c r="AO460" s="249" t="str">
        <f>IF(Z460="Yes",COUNTIF($Z$6:Z460,"Yes"),"")</f>
        <v/>
      </c>
      <c r="AP460" s="249" t="str">
        <f>IF(AA460="Yes",COUNTIF($AA$6:AA460,"Yes"),"")</f>
        <v/>
      </c>
      <c r="AQ460" s="249" t="str">
        <f>IF(AC460="Yes",COUNTIF($AC$6:AC460,"Yes"),"")</f>
        <v/>
      </c>
    </row>
    <row r="461" spans="1:43">
      <c r="A461" s="249"/>
      <c r="B461" s="249"/>
      <c r="C461" s="249"/>
      <c r="D461" s="249"/>
      <c r="E461" s="249"/>
      <c r="F461" s="249"/>
      <c r="G461" s="249"/>
      <c r="H461" s="249"/>
      <c r="I461" s="249"/>
      <c r="J461" s="249"/>
      <c r="K461" s="249"/>
      <c r="L461" s="249"/>
      <c r="M461" s="249"/>
      <c r="N461" s="249"/>
      <c r="O461" s="249"/>
      <c r="P461" s="537"/>
      <c r="Q461" s="537"/>
      <c r="R461" s="537"/>
      <c r="S461" s="538" t="str">
        <f t="shared" ca="1" si="18"/>
        <v/>
      </c>
      <c r="T461" s="538" t="str">
        <f t="shared" ca="1" si="19"/>
        <v/>
      </c>
      <c r="U461" s="249"/>
      <c r="V461" s="249"/>
      <c r="W461" s="249"/>
      <c r="X461" s="249"/>
      <c r="Y461" s="249"/>
      <c r="Z461" s="249"/>
      <c r="AA461" s="249"/>
      <c r="AB461" s="249"/>
      <c r="AC461" s="249"/>
      <c r="AD461" s="249"/>
      <c r="AE461" s="249"/>
      <c r="AF461" s="249"/>
      <c r="AG461" s="249"/>
      <c r="AH461" s="249"/>
      <c r="AI461" s="249"/>
      <c r="AJ461" s="249"/>
      <c r="AK461" s="249"/>
      <c r="AL461" s="249"/>
      <c r="AM461" s="249"/>
      <c r="AN461" s="537"/>
      <c r="AO461" s="249" t="str">
        <f>IF(Z461="Yes",COUNTIF($Z$6:Z461,"Yes"),"")</f>
        <v/>
      </c>
      <c r="AP461" s="249" t="str">
        <f>IF(AA461="Yes",COUNTIF($AA$6:AA461,"Yes"),"")</f>
        <v/>
      </c>
      <c r="AQ461" s="249" t="str">
        <f>IF(AC461="Yes",COUNTIF($AC$6:AC461,"Yes"),"")</f>
        <v/>
      </c>
    </row>
    <row r="462" spans="1:43">
      <c r="A462" s="249"/>
      <c r="B462" s="249"/>
      <c r="C462" s="249"/>
      <c r="D462" s="249"/>
      <c r="E462" s="249"/>
      <c r="F462" s="249"/>
      <c r="G462" s="249"/>
      <c r="H462" s="249"/>
      <c r="I462" s="249"/>
      <c r="J462" s="249"/>
      <c r="K462" s="249"/>
      <c r="L462" s="249"/>
      <c r="M462" s="249"/>
      <c r="N462" s="249"/>
      <c r="O462" s="249"/>
      <c r="P462" s="537"/>
      <c r="Q462" s="537"/>
      <c r="R462" s="537"/>
      <c r="S462" s="538" t="str">
        <f t="shared" ca="1" si="18"/>
        <v/>
      </c>
      <c r="T462" s="538" t="str">
        <f t="shared" ca="1" si="19"/>
        <v/>
      </c>
      <c r="U462" s="249"/>
      <c r="V462" s="249"/>
      <c r="W462" s="249"/>
      <c r="X462" s="249"/>
      <c r="Y462" s="249"/>
      <c r="Z462" s="249"/>
      <c r="AA462" s="249"/>
      <c r="AB462" s="249"/>
      <c r="AC462" s="249"/>
      <c r="AD462" s="249"/>
      <c r="AE462" s="249"/>
      <c r="AF462" s="249"/>
      <c r="AG462" s="249"/>
      <c r="AH462" s="249"/>
      <c r="AI462" s="249"/>
      <c r="AJ462" s="249"/>
      <c r="AK462" s="249"/>
      <c r="AL462" s="249"/>
      <c r="AM462" s="249"/>
      <c r="AN462" s="537"/>
      <c r="AO462" s="249" t="str">
        <f>IF(Z462="Yes",COUNTIF($Z$6:Z462,"Yes"),"")</f>
        <v/>
      </c>
      <c r="AP462" s="249" t="str">
        <f>IF(AA462="Yes",COUNTIF($AA$6:AA462,"Yes"),"")</f>
        <v/>
      </c>
      <c r="AQ462" s="249" t="str">
        <f>IF(AC462="Yes",COUNTIF($AC$6:AC462,"Yes"),"")</f>
        <v/>
      </c>
    </row>
    <row r="463" spans="1:43">
      <c r="A463" s="249"/>
      <c r="B463" s="249"/>
      <c r="C463" s="249"/>
      <c r="D463" s="249"/>
      <c r="E463" s="249"/>
      <c r="F463" s="249"/>
      <c r="G463" s="249"/>
      <c r="H463" s="249"/>
      <c r="I463" s="249"/>
      <c r="J463" s="249"/>
      <c r="K463" s="249"/>
      <c r="L463" s="249"/>
      <c r="M463" s="249"/>
      <c r="N463" s="249"/>
      <c r="O463" s="249"/>
      <c r="P463" s="537"/>
      <c r="Q463" s="537"/>
      <c r="R463" s="537"/>
      <c r="S463" s="538" t="str">
        <f t="shared" ca="1" si="18"/>
        <v/>
      </c>
      <c r="T463" s="538" t="str">
        <f t="shared" ca="1" si="19"/>
        <v/>
      </c>
      <c r="U463" s="249"/>
      <c r="V463" s="249"/>
      <c r="W463" s="249"/>
      <c r="X463" s="249"/>
      <c r="Y463" s="249"/>
      <c r="Z463" s="249"/>
      <c r="AA463" s="249"/>
      <c r="AB463" s="249"/>
      <c r="AC463" s="249"/>
      <c r="AD463" s="249"/>
      <c r="AE463" s="249"/>
      <c r="AF463" s="249"/>
      <c r="AG463" s="249"/>
      <c r="AH463" s="249"/>
      <c r="AI463" s="249"/>
      <c r="AJ463" s="249"/>
      <c r="AK463" s="249"/>
      <c r="AL463" s="249"/>
      <c r="AM463" s="249"/>
      <c r="AN463" s="537"/>
      <c r="AO463" s="249" t="str">
        <f>IF(Z463="Yes",COUNTIF($Z$6:Z463,"Yes"),"")</f>
        <v/>
      </c>
      <c r="AP463" s="249" t="str">
        <f>IF(AA463="Yes",COUNTIF($AA$6:AA463,"Yes"),"")</f>
        <v/>
      </c>
      <c r="AQ463" s="249" t="str">
        <f>IF(AC463="Yes",COUNTIF($AC$6:AC463,"Yes"),"")</f>
        <v/>
      </c>
    </row>
    <row r="464" spans="1:43">
      <c r="A464" s="249"/>
      <c r="B464" s="249"/>
      <c r="C464" s="249"/>
      <c r="D464" s="249"/>
      <c r="E464" s="249"/>
      <c r="F464" s="249"/>
      <c r="G464" s="249"/>
      <c r="H464" s="249"/>
      <c r="I464" s="249"/>
      <c r="J464" s="249"/>
      <c r="K464" s="249"/>
      <c r="L464" s="249"/>
      <c r="M464" s="249"/>
      <c r="N464" s="249"/>
      <c r="O464" s="249"/>
      <c r="P464" s="537"/>
      <c r="Q464" s="537"/>
      <c r="R464" s="537"/>
      <c r="S464" s="538" t="str">
        <f t="shared" ca="1" si="18"/>
        <v/>
      </c>
      <c r="T464" s="538" t="str">
        <f t="shared" ca="1" si="19"/>
        <v/>
      </c>
      <c r="U464" s="249"/>
      <c r="V464" s="249"/>
      <c r="W464" s="249"/>
      <c r="X464" s="249"/>
      <c r="Y464" s="249"/>
      <c r="Z464" s="249"/>
      <c r="AA464" s="249"/>
      <c r="AB464" s="249"/>
      <c r="AC464" s="249"/>
      <c r="AD464" s="249"/>
      <c r="AE464" s="249"/>
      <c r="AF464" s="249"/>
      <c r="AG464" s="249"/>
      <c r="AH464" s="249"/>
      <c r="AI464" s="249"/>
      <c r="AJ464" s="249"/>
      <c r="AK464" s="249"/>
      <c r="AL464" s="249"/>
      <c r="AM464" s="249"/>
      <c r="AN464" s="537"/>
      <c r="AO464" s="249" t="str">
        <f>IF(Z464="Yes",COUNTIF($Z$6:Z464,"Yes"),"")</f>
        <v/>
      </c>
      <c r="AP464" s="249" t="str">
        <f>IF(AA464="Yes",COUNTIF($AA$6:AA464,"Yes"),"")</f>
        <v/>
      </c>
      <c r="AQ464" s="249" t="str">
        <f>IF(AC464="Yes",COUNTIF($AC$6:AC464,"Yes"),"")</f>
        <v/>
      </c>
    </row>
    <row r="465" spans="1:43">
      <c r="A465" s="249"/>
      <c r="B465" s="249"/>
      <c r="C465" s="249"/>
      <c r="D465" s="249"/>
      <c r="E465" s="249"/>
      <c r="F465" s="249"/>
      <c r="G465" s="249"/>
      <c r="H465" s="249"/>
      <c r="I465" s="249"/>
      <c r="J465" s="249"/>
      <c r="K465" s="249"/>
      <c r="L465" s="249"/>
      <c r="M465" s="249"/>
      <c r="N465" s="249"/>
      <c r="O465" s="249"/>
      <c r="P465" s="537"/>
      <c r="Q465" s="537"/>
      <c r="R465" s="537"/>
      <c r="S465" s="538" t="str">
        <f t="shared" ca="1" si="18"/>
        <v/>
      </c>
      <c r="T465" s="538" t="str">
        <f t="shared" ca="1" si="19"/>
        <v/>
      </c>
      <c r="U465" s="249"/>
      <c r="V465" s="249"/>
      <c r="W465" s="249"/>
      <c r="X465" s="249"/>
      <c r="Y465" s="249"/>
      <c r="Z465" s="249"/>
      <c r="AA465" s="249"/>
      <c r="AB465" s="249"/>
      <c r="AC465" s="249"/>
      <c r="AD465" s="249"/>
      <c r="AE465" s="249"/>
      <c r="AF465" s="249"/>
      <c r="AG465" s="249"/>
      <c r="AH465" s="249"/>
      <c r="AI465" s="249"/>
      <c r="AJ465" s="249"/>
      <c r="AK465" s="249"/>
      <c r="AL465" s="249"/>
      <c r="AM465" s="249"/>
      <c r="AN465" s="537"/>
      <c r="AO465" s="249" t="str">
        <f>IF(Z465="Yes",COUNTIF($Z$6:Z465,"Yes"),"")</f>
        <v/>
      </c>
      <c r="AP465" s="249" t="str">
        <f>IF(AA465="Yes",COUNTIF($AA$6:AA465,"Yes"),"")</f>
        <v/>
      </c>
      <c r="AQ465" s="249" t="str">
        <f>IF(AC465="Yes",COUNTIF($AC$6:AC465,"Yes"),"")</f>
        <v/>
      </c>
    </row>
    <row r="466" spans="1:43">
      <c r="A466" s="249"/>
      <c r="B466" s="249"/>
      <c r="C466" s="249"/>
      <c r="D466" s="249"/>
      <c r="E466" s="249"/>
      <c r="F466" s="249"/>
      <c r="G466" s="249"/>
      <c r="H466" s="249"/>
      <c r="I466" s="249"/>
      <c r="J466" s="249"/>
      <c r="K466" s="249"/>
      <c r="L466" s="249"/>
      <c r="M466" s="249"/>
      <c r="N466" s="249"/>
      <c r="O466" s="249"/>
      <c r="P466" s="537"/>
      <c r="Q466" s="537"/>
      <c r="R466" s="537"/>
      <c r="S466" s="538" t="str">
        <f t="shared" ca="1" si="18"/>
        <v/>
      </c>
      <c r="T466" s="538" t="str">
        <f t="shared" ca="1" si="19"/>
        <v/>
      </c>
      <c r="U466" s="249"/>
      <c r="V466" s="249"/>
      <c r="W466" s="249"/>
      <c r="X466" s="249"/>
      <c r="Y466" s="249"/>
      <c r="Z466" s="249"/>
      <c r="AA466" s="249"/>
      <c r="AB466" s="249"/>
      <c r="AC466" s="249"/>
      <c r="AD466" s="249"/>
      <c r="AE466" s="249"/>
      <c r="AF466" s="249"/>
      <c r="AG466" s="249"/>
      <c r="AH466" s="249"/>
      <c r="AI466" s="249"/>
      <c r="AJ466" s="249"/>
      <c r="AK466" s="249"/>
      <c r="AL466" s="249"/>
      <c r="AM466" s="249"/>
      <c r="AN466" s="537"/>
      <c r="AO466" s="249" t="str">
        <f>IF(Z466="Yes",COUNTIF($Z$6:Z466,"Yes"),"")</f>
        <v/>
      </c>
      <c r="AP466" s="249" t="str">
        <f>IF(AA466="Yes",COUNTIF($AA$6:AA466,"Yes"),"")</f>
        <v/>
      </c>
      <c r="AQ466" s="249" t="str">
        <f>IF(AC466="Yes",COUNTIF($AC$6:AC466,"Yes"),"")</f>
        <v/>
      </c>
    </row>
    <row r="467" spans="1:43">
      <c r="A467" s="249"/>
      <c r="B467" s="249"/>
      <c r="C467" s="249"/>
      <c r="D467" s="249"/>
      <c r="E467" s="249"/>
      <c r="F467" s="249"/>
      <c r="G467" s="249"/>
      <c r="H467" s="249"/>
      <c r="I467" s="249"/>
      <c r="J467" s="249"/>
      <c r="K467" s="249"/>
      <c r="L467" s="249"/>
      <c r="M467" s="249"/>
      <c r="N467" s="249"/>
      <c r="O467" s="249"/>
      <c r="P467" s="537"/>
      <c r="Q467" s="537"/>
      <c r="R467" s="537"/>
      <c r="S467" s="538" t="str">
        <f t="shared" ca="1" si="18"/>
        <v/>
      </c>
      <c r="T467" s="538" t="str">
        <f t="shared" ca="1" si="19"/>
        <v/>
      </c>
      <c r="U467" s="249"/>
      <c r="V467" s="249"/>
      <c r="W467" s="249"/>
      <c r="X467" s="249"/>
      <c r="Y467" s="249"/>
      <c r="Z467" s="249"/>
      <c r="AA467" s="249"/>
      <c r="AB467" s="249"/>
      <c r="AC467" s="249"/>
      <c r="AD467" s="249"/>
      <c r="AE467" s="249"/>
      <c r="AF467" s="249"/>
      <c r="AG467" s="249"/>
      <c r="AH467" s="249"/>
      <c r="AI467" s="249"/>
      <c r="AJ467" s="249"/>
      <c r="AK467" s="249"/>
      <c r="AL467" s="249"/>
      <c r="AM467" s="249"/>
      <c r="AN467" s="537"/>
      <c r="AO467" s="249" t="str">
        <f>IF(Z467="Yes",COUNTIF($Z$6:Z467,"Yes"),"")</f>
        <v/>
      </c>
      <c r="AP467" s="249" t="str">
        <f>IF(AA467="Yes",COUNTIF($AA$6:AA467,"Yes"),"")</f>
        <v/>
      </c>
      <c r="AQ467" s="249" t="str">
        <f>IF(AC467="Yes",COUNTIF($AC$6:AC467,"Yes"),"")</f>
        <v/>
      </c>
    </row>
    <row r="468" spans="1:43">
      <c r="A468" s="249"/>
      <c r="B468" s="249"/>
      <c r="C468" s="249"/>
      <c r="D468" s="249"/>
      <c r="E468" s="249"/>
      <c r="F468" s="249"/>
      <c r="G468" s="249"/>
      <c r="H468" s="249"/>
      <c r="I468" s="249"/>
      <c r="J468" s="249"/>
      <c r="K468" s="249"/>
      <c r="L468" s="249"/>
      <c r="M468" s="249"/>
      <c r="N468" s="249"/>
      <c r="O468" s="249"/>
      <c r="P468" s="537"/>
      <c r="Q468" s="537"/>
      <c r="R468" s="537"/>
      <c r="S468" s="538" t="str">
        <f t="shared" ca="1" si="18"/>
        <v/>
      </c>
      <c r="T468" s="538" t="str">
        <f t="shared" ca="1" si="19"/>
        <v/>
      </c>
      <c r="U468" s="249"/>
      <c r="V468" s="249"/>
      <c r="W468" s="249"/>
      <c r="X468" s="249"/>
      <c r="Y468" s="249"/>
      <c r="Z468" s="249"/>
      <c r="AA468" s="249"/>
      <c r="AB468" s="249"/>
      <c r="AC468" s="249"/>
      <c r="AD468" s="249"/>
      <c r="AE468" s="249"/>
      <c r="AF468" s="249"/>
      <c r="AG468" s="249"/>
      <c r="AH468" s="249"/>
      <c r="AI468" s="249"/>
      <c r="AJ468" s="249"/>
      <c r="AK468" s="249"/>
      <c r="AL468" s="249"/>
      <c r="AM468" s="249"/>
      <c r="AN468" s="537"/>
      <c r="AO468" s="249" t="str">
        <f>IF(Z468="Yes",COUNTIF($Z$6:Z468,"Yes"),"")</f>
        <v/>
      </c>
      <c r="AP468" s="249" t="str">
        <f>IF(AA468="Yes",COUNTIF($AA$6:AA468,"Yes"),"")</f>
        <v/>
      </c>
      <c r="AQ468" s="249" t="str">
        <f>IF(AC468="Yes",COUNTIF($AC$6:AC468,"Yes"),"")</f>
        <v/>
      </c>
    </row>
    <row r="469" spans="1:43">
      <c r="A469" s="249"/>
      <c r="B469" s="249"/>
      <c r="C469" s="249"/>
      <c r="D469" s="249"/>
      <c r="E469" s="249"/>
      <c r="F469" s="249"/>
      <c r="G469" s="249"/>
      <c r="H469" s="249"/>
      <c r="I469" s="249"/>
      <c r="J469" s="249"/>
      <c r="K469" s="249"/>
      <c r="L469" s="249"/>
      <c r="M469" s="249"/>
      <c r="N469" s="249"/>
      <c r="O469" s="249"/>
      <c r="P469" s="537"/>
      <c r="Q469" s="537"/>
      <c r="R469" s="537"/>
      <c r="S469" s="538" t="str">
        <f t="shared" ca="1" si="18"/>
        <v/>
      </c>
      <c r="T469" s="538" t="str">
        <f t="shared" ca="1" si="19"/>
        <v/>
      </c>
      <c r="U469" s="249"/>
      <c r="V469" s="249"/>
      <c r="W469" s="249"/>
      <c r="X469" s="249"/>
      <c r="Y469" s="249"/>
      <c r="Z469" s="249"/>
      <c r="AA469" s="249"/>
      <c r="AB469" s="249"/>
      <c r="AC469" s="249"/>
      <c r="AD469" s="249"/>
      <c r="AE469" s="249"/>
      <c r="AF469" s="249"/>
      <c r="AG469" s="249"/>
      <c r="AH469" s="249"/>
      <c r="AI469" s="249"/>
      <c r="AJ469" s="249"/>
      <c r="AK469" s="249"/>
      <c r="AL469" s="249"/>
      <c r="AM469" s="249"/>
      <c r="AN469" s="537"/>
      <c r="AO469" s="249" t="str">
        <f>IF(Z469="Yes",COUNTIF($Z$6:Z469,"Yes"),"")</f>
        <v/>
      </c>
      <c r="AP469" s="249" t="str">
        <f>IF(AA469="Yes",COUNTIF($AA$6:AA469,"Yes"),"")</f>
        <v/>
      </c>
      <c r="AQ469" s="249" t="str">
        <f>IF(AC469="Yes",COUNTIF($AC$6:AC469,"Yes"),"")</f>
        <v/>
      </c>
    </row>
    <row r="470" spans="1:43">
      <c r="A470" s="249"/>
      <c r="B470" s="249"/>
      <c r="C470" s="249"/>
      <c r="D470" s="249"/>
      <c r="E470" s="249"/>
      <c r="F470" s="249"/>
      <c r="G470" s="249"/>
      <c r="H470" s="249"/>
      <c r="I470" s="249"/>
      <c r="J470" s="249"/>
      <c r="K470" s="249"/>
      <c r="L470" s="249"/>
      <c r="M470" s="249"/>
      <c r="N470" s="249"/>
      <c r="O470" s="249"/>
      <c r="P470" s="537"/>
      <c r="Q470" s="537"/>
      <c r="R470" s="537"/>
      <c r="S470" s="538" t="str">
        <f t="shared" ca="1" si="18"/>
        <v/>
      </c>
      <c r="T470" s="538" t="str">
        <f t="shared" ca="1" si="19"/>
        <v/>
      </c>
      <c r="U470" s="249"/>
      <c r="V470" s="249"/>
      <c r="W470" s="249"/>
      <c r="X470" s="249"/>
      <c r="Y470" s="249"/>
      <c r="Z470" s="249"/>
      <c r="AA470" s="249"/>
      <c r="AB470" s="249"/>
      <c r="AC470" s="249"/>
      <c r="AD470" s="249"/>
      <c r="AE470" s="249"/>
      <c r="AF470" s="249"/>
      <c r="AG470" s="249"/>
      <c r="AH470" s="249"/>
      <c r="AI470" s="249"/>
      <c r="AJ470" s="249"/>
      <c r="AK470" s="249"/>
      <c r="AL470" s="249"/>
      <c r="AM470" s="249"/>
      <c r="AN470" s="537"/>
      <c r="AO470" s="249" t="str">
        <f>IF(Z470="Yes",COUNTIF($Z$6:Z470,"Yes"),"")</f>
        <v/>
      </c>
      <c r="AP470" s="249" t="str">
        <f>IF(AA470="Yes",COUNTIF($AA$6:AA470,"Yes"),"")</f>
        <v/>
      </c>
      <c r="AQ470" s="249" t="str">
        <f>IF(AC470="Yes",COUNTIF($AC$6:AC470,"Yes"),"")</f>
        <v/>
      </c>
    </row>
    <row r="471" spans="1:43">
      <c r="A471" s="249"/>
      <c r="B471" s="249"/>
      <c r="C471" s="249"/>
      <c r="D471" s="249"/>
      <c r="E471" s="249"/>
      <c r="F471" s="249"/>
      <c r="G471" s="249"/>
      <c r="H471" s="249"/>
      <c r="I471" s="249"/>
      <c r="J471" s="249"/>
      <c r="K471" s="249"/>
      <c r="L471" s="249"/>
      <c r="M471" s="249"/>
      <c r="N471" s="249"/>
      <c r="O471" s="249"/>
      <c r="P471" s="537"/>
      <c r="Q471" s="537"/>
      <c r="R471" s="537"/>
      <c r="S471" s="538" t="str">
        <f t="shared" ca="1" si="18"/>
        <v/>
      </c>
      <c r="T471" s="538" t="str">
        <f t="shared" ca="1" si="19"/>
        <v/>
      </c>
      <c r="U471" s="249"/>
      <c r="V471" s="249"/>
      <c r="W471" s="249"/>
      <c r="X471" s="249"/>
      <c r="Y471" s="249"/>
      <c r="Z471" s="249"/>
      <c r="AA471" s="249"/>
      <c r="AB471" s="249"/>
      <c r="AC471" s="249"/>
      <c r="AD471" s="249"/>
      <c r="AE471" s="249"/>
      <c r="AF471" s="249"/>
      <c r="AG471" s="249"/>
      <c r="AH471" s="249"/>
      <c r="AI471" s="249"/>
      <c r="AJ471" s="249"/>
      <c r="AK471" s="249"/>
      <c r="AL471" s="249"/>
      <c r="AM471" s="249"/>
      <c r="AN471" s="537"/>
      <c r="AO471" s="249" t="str">
        <f>IF(Z471="Yes",COUNTIF($Z$6:Z471,"Yes"),"")</f>
        <v/>
      </c>
      <c r="AP471" s="249" t="str">
        <f>IF(AA471="Yes",COUNTIF($AA$6:AA471,"Yes"),"")</f>
        <v/>
      </c>
      <c r="AQ471" s="249" t="str">
        <f>IF(AC471="Yes",COUNTIF($AC$6:AC471,"Yes"),"")</f>
        <v/>
      </c>
    </row>
    <row r="472" spans="1:43">
      <c r="A472" s="249"/>
      <c r="B472" s="249"/>
      <c r="C472" s="249"/>
      <c r="D472" s="249"/>
      <c r="E472" s="249"/>
      <c r="F472" s="249"/>
      <c r="G472" s="249"/>
      <c r="H472" s="249"/>
      <c r="I472" s="249"/>
      <c r="J472" s="249"/>
      <c r="K472" s="249"/>
      <c r="L472" s="249"/>
      <c r="M472" s="249"/>
      <c r="N472" s="249"/>
      <c r="O472" s="249"/>
      <c r="P472" s="537"/>
      <c r="Q472" s="537"/>
      <c r="R472" s="537"/>
      <c r="S472" s="538" t="str">
        <f t="shared" ca="1" si="18"/>
        <v/>
      </c>
      <c r="T472" s="538" t="str">
        <f t="shared" ca="1" si="19"/>
        <v/>
      </c>
      <c r="U472" s="249"/>
      <c r="V472" s="249"/>
      <c r="W472" s="249"/>
      <c r="X472" s="249"/>
      <c r="Y472" s="249"/>
      <c r="Z472" s="249"/>
      <c r="AA472" s="249"/>
      <c r="AB472" s="249"/>
      <c r="AC472" s="249"/>
      <c r="AD472" s="249"/>
      <c r="AE472" s="249"/>
      <c r="AF472" s="249"/>
      <c r="AG472" s="249"/>
      <c r="AH472" s="249"/>
      <c r="AI472" s="249"/>
      <c r="AJ472" s="249"/>
      <c r="AK472" s="249"/>
      <c r="AL472" s="249"/>
      <c r="AM472" s="249"/>
      <c r="AN472" s="537"/>
      <c r="AO472" s="249" t="str">
        <f>IF(Z472="Yes",COUNTIF($Z$6:Z472,"Yes"),"")</f>
        <v/>
      </c>
      <c r="AP472" s="249" t="str">
        <f>IF(AA472="Yes",COUNTIF($AA$6:AA472,"Yes"),"")</f>
        <v/>
      </c>
      <c r="AQ472" s="249" t="str">
        <f>IF(AC472="Yes",COUNTIF($AC$6:AC472,"Yes"),"")</f>
        <v/>
      </c>
    </row>
    <row r="473" spans="1:43">
      <c r="A473" s="249"/>
      <c r="B473" s="249"/>
      <c r="C473" s="249"/>
      <c r="D473" s="249"/>
      <c r="E473" s="249"/>
      <c r="F473" s="249"/>
      <c r="G473" s="249"/>
      <c r="H473" s="249"/>
      <c r="I473" s="249"/>
      <c r="J473" s="249"/>
      <c r="K473" s="249"/>
      <c r="L473" s="249"/>
      <c r="M473" s="249"/>
      <c r="N473" s="249"/>
      <c r="O473" s="249"/>
      <c r="P473" s="537"/>
      <c r="Q473" s="537"/>
      <c r="R473" s="537"/>
      <c r="S473" s="538" t="str">
        <f t="shared" ca="1" si="18"/>
        <v/>
      </c>
      <c r="T473" s="538" t="str">
        <f t="shared" ca="1" si="19"/>
        <v/>
      </c>
      <c r="U473" s="249"/>
      <c r="V473" s="249"/>
      <c r="W473" s="249"/>
      <c r="X473" s="249"/>
      <c r="Y473" s="249"/>
      <c r="Z473" s="249"/>
      <c r="AA473" s="249"/>
      <c r="AB473" s="249"/>
      <c r="AC473" s="249"/>
      <c r="AD473" s="249"/>
      <c r="AE473" s="249"/>
      <c r="AF473" s="249"/>
      <c r="AG473" s="249"/>
      <c r="AH473" s="249"/>
      <c r="AI473" s="249"/>
      <c r="AJ473" s="249"/>
      <c r="AK473" s="249"/>
      <c r="AL473" s="249"/>
      <c r="AM473" s="249"/>
      <c r="AN473" s="537"/>
      <c r="AO473" s="249" t="str">
        <f>IF(Z473="Yes",COUNTIF($Z$6:Z473,"Yes"),"")</f>
        <v/>
      </c>
      <c r="AP473" s="249" t="str">
        <f>IF(AA473="Yes",COUNTIF($AA$6:AA473,"Yes"),"")</f>
        <v/>
      </c>
      <c r="AQ473" s="249" t="str">
        <f>IF(AC473="Yes",COUNTIF($AC$6:AC473,"Yes"),"")</f>
        <v/>
      </c>
    </row>
    <row r="474" spans="1:43">
      <c r="A474" s="249"/>
      <c r="B474" s="249"/>
      <c r="C474" s="249"/>
      <c r="D474" s="249"/>
      <c r="E474" s="249"/>
      <c r="F474" s="249"/>
      <c r="G474" s="249"/>
      <c r="H474" s="249"/>
      <c r="I474" s="249"/>
      <c r="J474" s="249"/>
      <c r="K474" s="249"/>
      <c r="L474" s="249"/>
      <c r="M474" s="249"/>
      <c r="N474" s="249"/>
      <c r="O474" s="249"/>
      <c r="P474" s="537"/>
      <c r="Q474" s="537"/>
      <c r="R474" s="537"/>
      <c r="S474" s="538" t="str">
        <f t="shared" ca="1" si="18"/>
        <v/>
      </c>
      <c r="T474" s="538" t="str">
        <f t="shared" ca="1" si="19"/>
        <v/>
      </c>
      <c r="U474" s="249"/>
      <c r="V474" s="249"/>
      <c r="W474" s="249"/>
      <c r="X474" s="249"/>
      <c r="Y474" s="249"/>
      <c r="Z474" s="249"/>
      <c r="AA474" s="249"/>
      <c r="AB474" s="249"/>
      <c r="AC474" s="249"/>
      <c r="AD474" s="249"/>
      <c r="AE474" s="249"/>
      <c r="AF474" s="249"/>
      <c r="AG474" s="249"/>
      <c r="AH474" s="249"/>
      <c r="AI474" s="249"/>
      <c r="AJ474" s="249"/>
      <c r="AK474" s="249"/>
      <c r="AL474" s="249"/>
      <c r="AM474" s="249"/>
      <c r="AN474" s="537"/>
      <c r="AO474" s="249" t="str">
        <f>IF(Z474="Yes",COUNTIF($Z$6:Z474,"Yes"),"")</f>
        <v/>
      </c>
      <c r="AP474" s="249" t="str">
        <f>IF(AA474="Yes",COUNTIF($AA$6:AA474,"Yes"),"")</f>
        <v/>
      </c>
      <c r="AQ474" s="249" t="str">
        <f>IF(AC474="Yes",COUNTIF($AC$6:AC474,"Yes"),"")</f>
        <v/>
      </c>
    </row>
    <row r="475" spans="1:43">
      <c r="A475" s="249"/>
      <c r="B475" s="249"/>
      <c r="C475" s="249"/>
      <c r="D475" s="249"/>
      <c r="E475" s="249"/>
      <c r="F475" s="249"/>
      <c r="G475" s="249"/>
      <c r="H475" s="249"/>
      <c r="I475" s="249"/>
      <c r="J475" s="249"/>
      <c r="K475" s="249"/>
      <c r="L475" s="249"/>
      <c r="M475" s="249"/>
      <c r="N475" s="249"/>
      <c r="O475" s="249"/>
      <c r="P475" s="537"/>
      <c r="Q475" s="537"/>
      <c r="R475" s="537"/>
      <c r="S475" s="538" t="str">
        <f t="shared" ca="1" si="18"/>
        <v/>
      </c>
      <c r="T475" s="538" t="str">
        <f t="shared" ca="1" si="19"/>
        <v/>
      </c>
      <c r="U475" s="249"/>
      <c r="V475" s="249"/>
      <c r="W475" s="249"/>
      <c r="X475" s="249"/>
      <c r="Y475" s="249"/>
      <c r="Z475" s="249"/>
      <c r="AA475" s="249"/>
      <c r="AB475" s="249"/>
      <c r="AC475" s="249"/>
      <c r="AD475" s="249"/>
      <c r="AE475" s="249"/>
      <c r="AF475" s="249"/>
      <c r="AG475" s="249"/>
      <c r="AH475" s="249"/>
      <c r="AI475" s="249"/>
      <c r="AJ475" s="249"/>
      <c r="AK475" s="249"/>
      <c r="AL475" s="249"/>
      <c r="AM475" s="249"/>
      <c r="AN475" s="537"/>
      <c r="AO475" s="249" t="str">
        <f>IF(Z475="Yes",COUNTIF($Z$6:Z475,"Yes"),"")</f>
        <v/>
      </c>
      <c r="AP475" s="249" t="str">
        <f>IF(AA475="Yes",COUNTIF($AA$6:AA475,"Yes"),"")</f>
        <v/>
      </c>
      <c r="AQ475" s="249" t="str">
        <f>IF(AC475="Yes",COUNTIF($AC$6:AC475,"Yes"),"")</f>
        <v/>
      </c>
    </row>
    <row r="476" spans="1:43">
      <c r="A476" s="249"/>
      <c r="B476" s="249"/>
      <c r="C476" s="249"/>
      <c r="D476" s="249"/>
      <c r="E476" s="249"/>
      <c r="F476" s="249"/>
      <c r="G476" s="249"/>
      <c r="H476" s="249"/>
      <c r="I476" s="249"/>
      <c r="J476" s="249"/>
      <c r="K476" s="249"/>
      <c r="L476" s="249"/>
      <c r="M476" s="249"/>
      <c r="N476" s="249"/>
      <c r="O476" s="249"/>
      <c r="P476" s="537"/>
      <c r="Q476" s="537"/>
      <c r="R476" s="537"/>
      <c r="S476" s="538" t="str">
        <f t="shared" ca="1" si="18"/>
        <v/>
      </c>
      <c r="T476" s="538" t="str">
        <f t="shared" ca="1" si="19"/>
        <v/>
      </c>
      <c r="U476" s="249"/>
      <c r="V476" s="249"/>
      <c r="W476" s="249"/>
      <c r="X476" s="249"/>
      <c r="Y476" s="249"/>
      <c r="Z476" s="249"/>
      <c r="AA476" s="249"/>
      <c r="AB476" s="249"/>
      <c r="AC476" s="249"/>
      <c r="AD476" s="249"/>
      <c r="AE476" s="249"/>
      <c r="AF476" s="249"/>
      <c r="AG476" s="249"/>
      <c r="AH476" s="249"/>
      <c r="AI476" s="249"/>
      <c r="AJ476" s="249"/>
      <c r="AK476" s="249"/>
      <c r="AL476" s="249"/>
      <c r="AM476" s="249"/>
      <c r="AN476" s="537"/>
      <c r="AO476" s="249" t="str">
        <f>IF(Z476="Yes",COUNTIF($Z$6:Z476,"Yes"),"")</f>
        <v/>
      </c>
      <c r="AP476" s="249" t="str">
        <f>IF(AA476="Yes",COUNTIF($AA$6:AA476,"Yes"),"")</f>
        <v/>
      </c>
      <c r="AQ476" s="249" t="str">
        <f>IF(AC476="Yes",COUNTIF($AC$6:AC476,"Yes"),"")</f>
        <v/>
      </c>
    </row>
    <row r="477" spans="1:43">
      <c r="A477" s="249"/>
      <c r="B477" s="249"/>
      <c r="C477" s="249"/>
      <c r="D477" s="249"/>
      <c r="E477" s="249"/>
      <c r="F477" s="249"/>
      <c r="G477" s="249"/>
      <c r="H477" s="249"/>
      <c r="I477" s="249"/>
      <c r="J477" s="249"/>
      <c r="K477" s="249"/>
      <c r="L477" s="249"/>
      <c r="M477" s="249"/>
      <c r="N477" s="249"/>
      <c r="O477" s="249"/>
      <c r="P477" s="537"/>
      <c r="Q477" s="537"/>
      <c r="R477" s="537"/>
      <c r="S477" s="538" t="str">
        <f t="shared" ca="1" si="18"/>
        <v/>
      </c>
      <c r="T477" s="538" t="str">
        <f t="shared" ca="1" si="19"/>
        <v/>
      </c>
      <c r="U477" s="249"/>
      <c r="V477" s="249"/>
      <c r="W477" s="249"/>
      <c r="X477" s="249"/>
      <c r="Y477" s="249"/>
      <c r="Z477" s="249"/>
      <c r="AA477" s="249"/>
      <c r="AB477" s="249"/>
      <c r="AC477" s="249"/>
      <c r="AD477" s="249"/>
      <c r="AE477" s="249"/>
      <c r="AF477" s="249"/>
      <c r="AG477" s="249"/>
      <c r="AH477" s="249"/>
      <c r="AI477" s="249"/>
      <c r="AJ477" s="249"/>
      <c r="AK477" s="249"/>
      <c r="AL477" s="249"/>
      <c r="AM477" s="249"/>
      <c r="AN477" s="537"/>
      <c r="AO477" s="249" t="str">
        <f>IF(Z477="Yes",COUNTIF($Z$6:Z477,"Yes"),"")</f>
        <v/>
      </c>
      <c r="AP477" s="249" t="str">
        <f>IF(AA477="Yes",COUNTIF($AA$6:AA477,"Yes"),"")</f>
        <v/>
      </c>
      <c r="AQ477" s="249" t="str">
        <f>IF(AC477="Yes",COUNTIF($AC$6:AC477,"Yes"),"")</f>
        <v/>
      </c>
    </row>
    <row r="478" spans="1:43">
      <c r="A478" s="249"/>
      <c r="B478" s="249"/>
      <c r="C478" s="249"/>
      <c r="D478" s="249"/>
      <c r="E478" s="249"/>
      <c r="F478" s="249"/>
      <c r="G478" s="249"/>
      <c r="H478" s="249"/>
      <c r="I478" s="249"/>
      <c r="J478" s="249"/>
      <c r="K478" s="249"/>
      <c r="L478" s="249"/>
      <c r="M478" s="249"/>
      <c r="N478" s="249"/>
      <c r="O478" s="249"/>
      <c r="P478" s="537"/>
      <c r="Q478" s="537"/>
      <c r="R478" s="537"/>
      <c r="S478" s="538" t="str">
        <f t="shared" ca="1" si="18"/>
        <v/>
      </c>
      <c r="T478" s="538" t="str">
        <f t="shared" ca="1" si="19"/>
        <v/>
      </c>
      <c r="U478" s="249"/>
      <c r="V478" s="249"/>
      <c r="W478" s="249"/>
      <c r="X478" s="249"/>
      <c r="Y478" s="249"/>
      <c r="Z478" s="249"/>
      <c r="AA478" s="249"/>
      <c r="AB478" s="249"/>
      <c r="AC478" s="249"/>
      <c r="AD478" s="249"/>
      <c r="AE478" s="249"/>
      <c r="AF478" s="249"/>
      <c r="AG478" s="249"/>
      <c r="AH478" s="249"/>
      <c r="AI478" s="249"/>
      <c r="AJ478" s="249"/>
      <c r="AK478" s="249"/>
      <c r="AL478" s="249"/>
      <c r="AM478" s="249"/>
      <c r="AN478" s="537"/>
      <c r="AO478" s="249" t="str">
        <f>IF(Z478="Yes",COUNTIF($Z$6:Z478,"Yes"),"")</f>
        <v/>
      </c>
      <c r="AP478" s="249" t="str">
        <f>IF(AA478="Yes",COUNTIF($AA$6:AA478,"Yes"),"")</f>
        <v/>
      </c>
      <c r="AQ478" s="249" t="str">
        <f>IF(AC478="Yes",COUNTIF($AC$6:AC478,"Yes"),"")</f>
        <v/>
      </c>
    </row>
    <row r="479" spans="1:43">
      <c r="A479" s="249"/>
      <c r="B479" s="249"/>
      <c r="C479" s="249"/>
      <c r="D479" s="249"/>
      <c r="E479" s="249"/>
      <c r="F479" s="249"/>
      <c r="G479" s="249"/>
      <c r="H479" s="249"/>
      <c r="I479" s="249"/>
      <c r="J479" s="249"/>
      <c r="K479" s="249"/>
      <c r="L479" s="249"/>
      <c r="M479" s="249"/>
      <c r="N479" s="249"/>
      <c r="O479" s="249"/>
      <c r="P479" s="537"/>
      <c r="Q479" s="537"/>
      <c r="R479" s="537"/>
      <c r="S479" s="538" t="str">
        <f t="shared" ca="1" si="18"/>
        <v/>
      </c>
      <c r="T479" s="538" t="str">
        <f t="shared" ca="1" si="19"/>
        <v/>
      </c>
      <c r="U479" s="249"/>
      <c r="V479" s="249"/>
      <c r="W479" s="249"/>
      <c r="X479" s="249"/>
      <c r="Y479" s="249"/>
      <c r="Z479" s="249"/>
      <c r="AA479" s="249"/>
      <c r="AB479" s="249"/>
      <c r="AC479" s="249"/>
      <c r="AD479" s="249"/>
      <c r="AE479" s="249"/>
      <c r="AF479" s="249"/>
      <c r="AG479" s="249"/>
      <c r="AH479" s="249"/>
      <c r="AI479" s="249"/>
      <c r="AJ479" s="249"/>
      <c r="AK479" s="249"/>
      <c r="AL479" s="249"/>
      <c r="AM479" s="249"/>
      <c r="AN479" s="537"/>
      <c r="AO479" s="249" t="str">
        <f>IF(Z479="Yes",COUNTIF($Z$6:Z479,"Yes"),"")</f>
        <v/>
      </c>
      <c r="AP479" s="249" t="str">
        <f>IF(AA479="Yes",COUNTIF($AA$6:AA479,"Yes"),"")</f>
        <v/>
      </c>
      <c r="AQ479" s="249" t="str">
        <f>IF(AC479="Yes",COUNTIF($AC$6:AC479,"Yes"),"")</f>
        <v/>
      </c>
    </row>
    <row r="480" spans="1:43">
      <c r="A480" s="249"/>
      <c r="B480" s="249"/>
      <c r="C480" s="249"/>
      <c r="D480" s="249"/>
      <c r="E480" s="249"/>
      <c r="F480" s="249"/>
      <c r="G480" s="249"/>
      <c r="H480" s="249"/>
      <c r="I480" s="249"/>
      <c r="J480" s="249"/>
      <c r="K480" s="249"/>
      <c r="L480" s="249"/>
      <c r="M480" s="249"/>
      <c r="N480" s="249"/>
      <c r="O480" s="249"/>
      <c r="P480" s="537"/>
      <c r="Q480" s="537"/>
      <c r="R480" s="537"/>
      <c r="S480" s="538" t="str">
        <f t="shared" ca="1" si="18"/>
        <v/>
      </c>
      <c r="T480" s="538" t="str">
        <f t="shared" ca="1" si="19"/>
        <v/>
      </c>
      <c r="U480" s="249"/>
      <c r="V480" s="249"/>
      <c r="W480" s="249"/>
      <c r="X480" s="249"/>
      <c r="Y480" s="249"/>
      <c r="Z480" s="249"/>
      <c r="AA480" s="249"/>
      <c r="AB480" s="249"/>
      <c r="AC480" s="249"/>
      <c r="AD480" s="249"/>
      <c r="AE480" s="249"/>
      <c r="AF480" s="249"/>
      <c r="AG480" s="249"/>
      <c r="AH480" s="249"/>
      <c r="AI480" s="249"/>
      <c r="AJ480" s="249"/>
      <c r="AK480" s="249"/>
      <c r="AL480" s="249"/>
      <c r="AM480" s="249"/>
      <c r="AN480" s="537"/>
      <c r="AO480" s="249" t="str">
        <f>IF(Z480="Yes",COUNTIF($Z$6:Z480,"Yes"),"")</f>
        <v/>
      </c>
      <c r="AP480" s="249" t="str">
        <f>IF(AA480="Yes",COUNTIF($AA$6:AA480,"Yes"),"")</f>
        <v/>
      </c>
      <c r="AQ480" s="249" t="str">
        <f>IF(AC480="Yes",COUNTIF($AC$6:AC480,"Yes"),"")</f>
        <v/>
      </c>
    </row>
    <row r="481" spans="1:43">
      <c r="A481" s="249"/>
      <c r="B481" s="249"/>
      <c r="C481" s="249"/>
      <c r="D481" s="249"/>
      <c r="E481" s="249"/>
      <c r="F481" s="249"/>
      <c r="G481" s="249"/>
      <c r="H481" s="249"/>
      <c r="I481" s="249"/>
      <c r="J481" s="249"/>
      <c r="K481" s="249"/>
      <c r="L481" s="249"/>
      <c r="M481" s="249"/>
      <c r="N481" s="249"/>
      <c r="O481" s="249"/>
      <c r="P481" s="537"/>
      <c r="Q481" s="537"/>
      <c r="R481" s="537"/>
      <c r="S481" s="538" t="str">
        <f t="shared" ca="1" si="18"/>
        <v/>
      </c>
      <c r="T481" s="538" t="str">
        <f t="shared" ca="1" si="19"/>
        <v/>
      </c>
      <c r="U481" s="249"/>
      <c r="V481" s="249"/>
      <c r="W481" s="249"/>
      <c r="X481" s="249"/>
      <c r="Y481" s="249"/>
      <c r="Z481" s="249"/>
      <c r="AA481" s="249"/>
      <c r="AB481" s="249"/>
      <c r="AC481" s="249"/>
      <c r="AD481" s="249"/>
      <c r="AE481" s="249"/>
      <c r="AF481" s="249"/>
      <c r="AG481" s="249"/>
      <c r="AH481" s="249"/>
      <c r="AI481" s="249"/>
      <c r="AJ481" s="249"/>
      <c r="AK481" s="249"/>
      <c r="AL481" s="249"/>
      <c r="AM481" s="249"/>
      <c r="AN481" s="537"/>
      <c r="AO481" s="249" t="str">
        <f>IF(Z481="Yes",COUNTIF($Z$6:Z481,"Yes"),"")</f>
        <v/>
      </c>
      <c r="AP481" s="249" t="str">
        <f>IF(AA481="Yes",COUNTIF($AA$6:AA481,"Yes"),"")</f>
        <v/>
      </c>
      <c r="AQ481" s="249" t="str">
        <f>IF(AC481="Yes",COUNTIF($AC$6:AC481,"Yes"),"")</f>
        <v/>
      </c>
    </row>
    <row r="482" spans="1:43">
      <c r="A482" s="249"/>
      <c r="B482" s="249"/>
      <c r="C482" s="249"/>
      <c r="D482" s="249"/>
      <c r="E482" s="249"/>
      <c r="F482" s="249"/>
      <c r="G482" s="249"/>
      <c r="H482" s="249"/>
      <c r="I482" s="249"/>
      <c r="J482" s="249"/>
      <c r="K482" s="249"/>
      <c r="L482" s="249"/>
      <c r="M482" s="249"/>
      <c r="N482" s="249"/>
      <c r="O482" s="249"/>
      <c r="P482" s="537"/>
      <c r="Q482" s="537"/>
      <c r="R482" s="537"/>
      <c r="S482" s="538" t="str">
        <f t="shared" ca="1" si="18"/>
        <v/>
      </c>
      <c r="T482" s="538" t="str">
        <f t="shared" ca="1" si="19"/>
        <v/>
      </c>
      <c r="U482" s="249"/>
      <c r="V482" s="249"/>
      <c r="W482" s="249"/>
      <c r="X482" s="249"/>
      <c r="Y482" s="249"/>
      <c r="Z482" s="249"/>
      <c r="AA482" s="249"/>
      <c r="AB482" s="249"/>
      <c r="AC482" s="249"/>
      <c r="AD482" s="249"/>
      <c r="AE482" s="249"/>
      <c r="AF482" s="249"/>
      <c r="AG482" s="249"/>
      <c r="AH482" s="249"/>
      <c r="AI482" s="249"/>
      <c r="AJ482" s="249"/>
      <c r="AK482" s="249"/>
      <c r="AL482" s="249"/>
      <c r="AM482" s="249"/>
      <c r="AN482" s="537"/>
      <c r="AO482" s="249" t="str">
        <f>IF(Z482="Yes",COUNTIF($Z$6:Z482,"Yes"),"")</f>
        <v/>
      </c>
      <c r="AP482" s="249" t="str">
        <f>IF(AA482="Yes",COUNTIF($AA$6:AA482,"Yes"),"")</f>
        <v/>
      </c>
      <c r="AQ482" s="249" t="str">
        <f>IF(AC482="Yes",COUNTIF($AC$6:AC482,"Yes"),"")</f>
        <v/>
      </c>
    </row>
    <row r="483" spans="1:43">
      <c r="A483" s="249"/>
      <c r="B483" s="249"/>
      <c r="C483" s="249"/>
      <c r="D483" s="249"/>
      <c r="E483" s="249"/>
      <c r="F483" s="249"/>
      <c r="G483" s="249"/>
      <c r="H483" s="249"/>
      <c r="I483" s="249"/>
      <c r="J483" s="249"/>
      <c r="K483" s="249"/>
      <c r="L483" s="249"/>
      <c r="M483" s="249"/>
      <c r="N483" s="249"/>
      <c r="O483" s="249"/>
      <c r="P483" s="537"/>
      <c r="Q483" s="537"/>
      <c r="R483" s="537"/>
      <c r="S483" s="538" t="str">
        <f t="shared" ca="1" si="18"/>
        <v/>
      </c>
      <c r="T483" s="538" t="str">
        <f t="shared" ca="1" si="19"/>
        <v/>
      </c>
      <c r="U483" s="249"/>
      <c r="V483" s="249"/>
      <c r="W483" s="249"/>
      <c r="X483" s="249"/>
      <c r="Y483" s="249"/>
      <c r="Z483" s="249"/>
      <c r="AA483" s="249"/>
      <c r="AB483" s="249"/>
      <c r="AC483" s="249"/>
      <c r="AD483" s="249"/>
      <c r="AE483" s="249"/>
      <c r="AF483" s="249"/>
      <c r="AG483" s="249"/>
      <c r="AH483" s="249"/>
      <c r="AI483" s="249"/>
      <c r="AJ483" s="249"/>
      <c r="AK483" s="249"/>
      <c r="AL483" s="249"/>
      <c r="AM483" s="249"/>
      <c r="AN483" s="537"/>
      <c r="AO483" s="249" t="str">
        <f>IF(Z483="Yes",COUNTIF($Z$6:Z483,"Yes"),"")</f>
        <v/>
      </c>
      <c r="AP483" s="249" t="str">
        <f>IF(AA483="Yes",COUNTIF($AA$6:AA483,"Yes"),"")</f>
        <v/>
      </c>
      <c r="AQ483" s="249" t="str">
        <f>IF(AC483="Yes",COUNTIF($AC$6:AC483,"Yes"),"")</f>
        <v/>
      </c>
    </row>
    <row r="484" spans="1:43">
      <c r="A484" s="249"/>
      <c r="B484" s="249"/>
      <c r="C484" s="249"/>
      <c r="D484" s="249"/>
      <c r="E484" s="249"/>
      <c r="F484" s="249"/>
      <c r="G484" s="249"/>
      <c r="H484" s="249"/>
      <c r="I484" s="249"/>
      <c r="J484" s="249"/>
      <c r="K484" s="249"/>
      <c r="L484" s="249"/>
      <c r="M484" s="249"/>
      <c r="N484" s="249"/>
      <c r="O484" s="249"/>
      <c r="P484" s="537"/>
      <c r="Q484" s="537"/>
      <c r="R484" s="537"/>
      <c r="S484" s="538" t="str">
        <f t="shared" ca="1" si="18"/>
        <v/>
      </c>
      <c r="T484" s="538" t="str">
        <f t="shared" ca="1" si="19"/>
        <v/>
      </c>
      <c r="U484" s="249"/>
      <c r="V484" s="249"/>
      <c r="W484" s="249"/>
      <c r="X484" s="249"/>
      <c r="Y484" s="249"/>
      <c r="Z484" s="249"/>
      <c r="AA484" s="249"/>
      <c r="AB484" s="249"/>
      <c r="AC484" s="249"/>
      <c r="AD484" s="249"/>
      <c r="AE484" s="249"/>
      <c r="AF484" s="249"/>
      <c r="AG484" s="249"/>
      <c r="AH484" s="249"/>
      <c r="AI484" s="249"/>
      <c r="AJ484" s="249"/>
      <c r="AK484" s="249"/>
      <c r="AL484" s="249"/>
      <c r="AM484" s="249"/>
      <c r="AN484" s="537"/>
      <c r="AO484" s="249" t="str">
        <f>IF(Z484="Yes",COUNTIF($Z$6:Z484,"Yes"),"")</f>
        <v/>
      </c>
      <c r="AP484" s="249" t="str">
        <f>IF(AA484="Yes",COUNTIF($AA$6:AA484,"Yes"),"")</f>
        <v/>
      </c>
      <c r="AQ484" s="249" t="str">
        <f>IF(AC484="Yes",COUNTIF($AC$6:AC484,"Yes"),"")</f>
        <v/>
      </c>
    </row>
    <row r="485" spans="1:43">
      <c r="A485" s="249"/>
      <c r="B485" s="249"/>
      <c r="C485" s="249"/>
      <c r="D485" s="249"/>
      <c r="E485" s="249"/>
      <c r="F485" s="249"/>
      <c r="G485" s="249"/>
      <c r="H485" s="249"/>
      <c r="I485" s="249"/>
      <c r="J485" s="249"/>
      <c r="K485" s="249"/>
      <c r="L485" s="249"/>
      <c r="M485" s="249"/>
      <c r="N485" s="249"/>
      <c r="O485" s="249"/>
      <c r="P485" s="537"/>
      <c r="Q485" s="537"/>
      <c r="R485" s="537"/>
      <c r="S485" s="538" t="str">
        <f t="shared" ca="1" si="18"/>
        <v/>
      </c>
      <c r="T485" s="538" t="str">
        <f t="shared" ca="1" si="19"/>
        <v/>
      </c>
      <c r="U485" s="249"/>
      <c r="V485" s="249"/>
      <c r="W485" s="249"/>
      <c r="X485" s="249"/>
      <c r="Y485" s="249"/>
      <c r="Z485" s="249"/>
      <c r="AA485" s="249"/>
      <c r="AB485" s="249"/>
      <c r="AC485" s="249"/>
      <c r="AD485" s="249"/>
      <c r="AE485" s="249"/>
      <c r="AF485" s="249"/>
      <c r="AG485" s="249"/>
      <c r="AH485" s="249"/>
      <c r="AI485" s="249"/>
      <c r="AJ485" s="249"/>
      <c r="AK485" s="249"/>
      <c r="AL485" s="249"/>
      <c r="AM485" s="249"/>
      <c r="AN485" s="537"/>
      <c r="AO485" s="249" t="str">
        <f>IF(Z485="Yes",COUNTIF($Z$6:Z485,"Yes"),"")</f>
        <v/>
      </c>
      <c r="AP485" s="249" t="str">
        <f>IF(AA485="Yes",COUNTIF($AA$6:AA485,"Yes"),"")</f>
        <v/>
      </c>
      <c r="AQ485" s="249" t="str">
        <f>IF(AC485="Yes",COUNTIF($AC$6:AC485,"Yes"),"")</f>
        <v/>
      </c>
    </row>
    <row r="486" spans="1:43">
      <c r="A486" s="249"/>
      <c r="B486" s="249"/>
      <c r="C486" s="249"/>
      <c r="D486" s="249"/>
      <c r="E486" s="249"/>
      <c r="F486" s="249"/>
      <c r="G486" s="249"/>
      <c r="H486" s="249"/>
      <c r="I486" s="249"/>
      <c r="J486" s="249"/>
      <c r="K486" s="249"/>
      <c r="L486" s="249"/>
      <c r="M486" s="249"/>
      <c r="N486" s="249"/>
      <c r="O486" s="249"/>
      <c r="P486" s="537"/>
      <c r="Q486" s="537"/>
      <c r="R486" s="537"/>
      <c r="S486" s="538" t="str">
        <f t="shared" ca="1" si="18"/>
        <v/>
      </c>
      <c r="T486" s="538" t="str">
        <f t="shared" ca="1" si="19"/>
        <v/>
      </c>
      <c r="U486" s="249"/>
      <c r="V486" s="249"/>
      <c r="W486" s="249"/>
      <c r="X486" s="249"/>
      <c r="Y486" s="249"/>
      <c r="Z486" s="249"/>
      <c r="AA486" s="249"/>
      <c r="AB486" s="249"/>
      <c r="AC486" s="249"/>
      <c r="AD486" s="249"/>
      <c r="AE486" s="249"/>
      <c r="AF486" s="249"/>
      <c r="AG486" s="249"/>
      <c r="AH486" s="249"/>
      <c r="AI486" s="249"/>
      <c r="AJ486" s="249"/>
      <c r="AK486" s="249"/>
      <c r="AL486" s="249"/>
      <c r="AM486" s="249"/>
      <c r="AN486" s="537"/>
      <c r="AO486" s="249" t="str">
        <f>IF(Z486="Yes",COUNTIF($Z$6:Z486,"Yes"),"")</f>
        <v/>
      </c>
      <c r="AP486" s="249" t="str">
        <f>IF(AA486="Yes",COUNTIF($AA$6:AA486,"Yes"),"")</f>
        <v/>
      </c>
      <c r="AQ486" s="249" t="str">
        <f>IF(AC486="Yes",COUNTIF($AC$6:AC486,"Yes"),"")</f>
        <v/>
      </c>
    </row>
    <row r="487" spans="1:43">
      <c r="A487" s="249"/>
      <c r="B487" s="249"/>
      <c r="C487" s="249"/>
      <c r="D487" s="249"/>
      <c r="E487" s="249"/>
      <c r="F487" s="249"/>
      <c r="G487" s="249"/>
      <c r="H487" s="249"/>
      <c r="I487" s="249"/>
      <c r="J487" s="249"/>
      <c r="K487" s="249"/>
      <c r="L487" s="249"/>
      <c r="M487" s="249"/>
      <c r="N487" s="249"/>
      <c r="O487" s="249"/>
      <c r="P487" s="537"/>
      <c r="Q487" s="537"/>
      <c r="R487" s="537"/>
      <c r="S487" s="538" t="str">
        <f t="shared" ca="1" si="18"/>
        <v/>
      </c>
      <c r="T487" s="538" t="str">
        <f t="shared" ca="1" si="19"/>
        <v/>
      </c>
      <c r="U487" s="249"/>
      <c r="V487" s="249"/>
      <c r="W487" s="249"/>
      <c r="X487" s="249"/>
      <c r="Y487" s="249"/>
      <c r="Z487" s="249"/>
      <c r="AA487" s="249"/>
      <c r="AB487" s="249"/>
      <c r="AC487" s="249"/>
      <c r="AD487" s="249"/>
      <c r="AE487" s="249"/>
      <c r="AF487" s="249"/>
      <c r="AG487" s="249"/>
      <c r="AH487" s="249"/>
      <c r="AI487" s="249"/>
      <c r="AJ487" s="249"/>
      <c r="AK487" s="249"/>
      <c r="AL487" s="249"/>
      <c r="AM487" s="249"/>
      <c r="AN487" s="537"/>
      <c r="AO487" s="249" t="str">
        <f>IF(Z487="Yes",COUNTIF($Z$6:Z487,"Yes"),"")</f>
        <v/>
      </c>
      <c r="AP487" s="249" t="str">
        <f>IF(AA487="Yes",COUNTIF($AA$6:AA487,"Yes"),"")</f>
        <v/>
      </c>
      <c r="AQ487" s="249" t="str">
        <f>IF(AC487="Yes",COUNTIF($AC$6:AC487,"Yes"),"")</f>
        <v/>
      </c>
    </row>
    <row r="488" spans="1:43">
      <c r="A488" s="249"/>
      <c r="B488" s="249"/>
      <c r="C488" s="249"/>
      <c r="D488" s="249"/>
      <c r="E488" s="249"/>
      <c r="F488" s="249"/>
      <c r="G488" s="249"/>
      <c r="H488" s="249"/>
      <c r="I488" s="249"/>
      <c r="J488" s="249"/>
      <c r="K488" s="249"/>
      <c r="L488" s="249"/>
      <c r="M488" s="249"/>
      <c r="N488" s="249"/>
      <c r="O488" s="249"/>
      <c r="P488" s="537"/>
      <c r="Q488" s="537"/>
      <c r="R488" s="537"/>
      <c r="S488" s="538" t="str">
        <f t="shared" ca="1" si="18"/>
        <v/>
      </c>
      <c r="T488" s="538" t="str">
        <f t="shared" ca="1" si="19"/>
        <v/>
      </c>
      <c r="U488" s="249"/>
      <c r="V488" s="249"/>
      <c r="W488" s="249"/>
      <c r="X488" s="249"/>
      <c r="Y488" s="249"/>
      <c r="Z488" s="249"/>
      <c r="AA488" s="249"/>
      <c r="AB488" s="249"/>
      <c r="AC488" s="249"/>
      <c r="AD488" s="249"/>
      <c r="AE488" s="249"/>
      <c r="AF488" s="249"/>
      <c r="AG488" s="249"/>
      <c r="AH488" s="249"/>
      <c r="AI488" s="249"/>
      <c r="AJ488" s="249"/>
      <c r="AK488" s="249"/>
      <c r="AL488" s="249"/>
      <c r="AM488" s="249"/>
      <c r="AN488" s="537"/>
      <c r="AO488" s="249" t="str">
        <f>IF(Z488="Yes",COUNTIF($Z$6:Z488,"Yes"),"")</f>
        <v/>
      </c>
      <c r="AP488" s="249" t="str">
        <f>IF(AA488="Yes",COUNTIF($AA$6:AA488,"Yes"),"")</f>
        <v/>
      </c>
      <c r="AQ488" s="249" t="str">
        <f>IF(AC488="Yes",COUNTIF($AC$6:AC488,"Yes"),"")</f>
        <v/>
      </c>
    </row>
    <row r="489" spans="1:43">
      <c r="A489" s="249"/>
      <c r="B489" s="249"/>
      <c r="C489" s="249"/>
      <c r="D489" s="249"/>
      <c r="E489" s="249"/>
      <c r="F489" s="249"/>
      <c r="G489" s="249"/>
      <c r="H489" s="249"/>
      <c r="I489" s="249"/>
      <c r="J489" s="249"/>
      <c r="K489" s="249"/>
      <c r="L489" s="249"/>
      <c r="M489" s="249"/>
      <c r="N489" s="249"/>
      <c r="O489" s="249"/>
      <c r="P489" s="537"/>
      <c r="Q489" s="537"/>
      <c r="R489" s="537"/>
      <c r="S489" s="538" t="str">
        <f t="shared" ca="1" si="18"/>
        <v/>
      </c>
      <c r="T489" s="538" t="str">
        <f t="shared" ca="1" si="19"/>
        <v/>
      </c>
      <c r="U489" s="249"/>
      <c r="V489" s="249"/>
      <c r="W489" s="249"/>
      <c r="X489" s="249"/>
      <c r="Y489" s="249"/>
      <c r="Z489" s="249"/>
      <c r="AA489" s="249"/>
      <c r="AB489" s="249"/>
      <c r="AC489" s="249"/>
      <c r="AD489" s="249"/>
      <c r="AE489" s="249"/>
      <c r="AF489" s="249"/>
      <c r="AG489" s="249"/>
      <c r="AH489" s="249"/>
      <c r="AI489" s="249"/>
      <c r="AJ489" s="249"/>
      <c r="AK489" s="249"/>
      <c r="AL489" s="249"/>
      <c r="AM489" s="249"/>
      <c r="AN489" s="537"/>
      <c r="AO489" s="249" t="str">
        <f>IF(Z489="Yes",COUNTIF($Z$6:Z489,"Yes"),"")</f>
        <v/>
      </c>
      <c r="AP489" s="249" t="str">
        <f>IF(AA489="Yes",COUNTIF($AA$6:AA489,"Yes"),"")</f>
        <v/>
      </c>
      <c r="AQ489" s="249" t="str">
        <f>IF(AC489="Yes",COUNTIF($AC$6:AC489,"Yes"),"")</f>
        <v/>
      </c>
    </row>
    <row r="490" spans="1:43">
      <c r="A490" s="249"/>
      <c r="B490" s="249"/>
      <c r="C490" s="249"/>
      <c r="D490" s="249"/>
      <c r="E490" s="249"/>
      <c r="F490" s="249"/>
      <c r="G490" s="249"/>
      <c r="H490" s="249"/>
      <c r="I490" s="249"/>
      <c r="J490" s="249"/>
      <c r="K490" s="249"/>
      <c r="L490" s="249"/>
      <c r="M490" s="249"/>
      <c r="N490" s="249"/>
      <c r="O490" s="249"/>
      <c r="P490" s="537"/>
      <c r="Q490" s="537"/>
      <c r="R490" s="537"/>
      <c r="S490" s="538" t="str">
        <f t="shared" ca="1" si="18"/>
        <v/>
      </c>
      <c r="T490" s="538" t="str">
        <f t="shared" ca="1" si="19"/>
        <v/>
      </c>
      <c r="U490" s="249"/>
      <c r="V490" s="249"/>
      <c r="W490" s="249"/>
      <c r="X490" s="249"/>
      <c r="Y490" s="249"/>
      <c r="Z490" s="249"/>
      <c r="AA490" s="249"/>
      <c r="AB490" s="249"/>
      <c r="AC490" s="249"/>
      <c r="AD490" s="249"/>
      <c r="AE490" s="249"/>
      <c r="AF490" s="249"/>
      <c r="AG490" s="249"/>
      <c r="AH490" s="249"/>
      <c r="AI490" s="249"/>
      <c r="AJ490" s="249"/>
      <c r="AK490" s="249"/>
      <c r="AL490" s="249"/>
      <c r="AM490" s="249"/>
      <c r="AN490" s="537"/>
      <c r="AO490" s="249" t="str">
        <f>IF(Z490="Yes",COUNTIF($Z$6:Z490,"Yes"),"")</f>
        <v/>
      </c>
      <c r="AP490" s="249" t="str">
        <f>IF(AA490="Yes",COUNTIF($AA$6:AA490,"Yes"),"")</f>
        <v/>
      </c>
      <c r="AQ490" s="249" t="str">
        <f>IF(AC490="Yes",COUNTIF($AC$6:AC490,"Yes"),"")</f>
        <v/>
      </c>
    </row>
    <row r="491" spans="1:43">
      <c r="A491" s="249"/>
      <c r="B491" s="249"/>
      <c r="C491" s="249"/>
      <c r="D491" s="249"/>
      <c r="E491" s="249"/>
      <c r="F491" s="249"/>
      <c r="G491" s="249"/>
      <c r="H491" s="249"/>
      <c r="I491" s="249"/>
      <c r="J491" s="249"/>
      <c r="K491" s="249"/>
      <c r="L491" s="249"/>
      <c r="M491" s="249"/>
      <c r="N491" s="249"/>
      <c r="O491" s="249"/>
      <c r="P491" s="537"/>
      <c r="Q491" s="537"/>
      <c r="R491" s="537"/>
      <c r="S491" s="538" t="str">
        <f t="shared" ca="1" si="18"/>
        <v/>
      </c>
      <c r="T491" s="538" t="str">
        <f t="shared" ca="1" si="19"/>
        <v/>
      </c>
      <c r="U491" s="249"/>
      <c r="V491" s="249"/>
      <c r="W491" s="249"/>
      <c r="X491" s="249"/>
      <c r="Y491" s="249"/>
      <c r="Z491" s="249"/>
      <c r="AA491" s="249"/>
      <c r="AB491" s="249"/>
      <c r="AC491" s="249"/>
      <c r="AD491" s="249"/>
      <c r="AE491" s="249"/>
      <c r="AF491" s="249"/>
      <c r="AG491" s="249"/>
      <c r="AH491" s="249"/>
      <c r="AI491" s="249"/>
      <c r="AJ491" s="249"/>
      <c r="AK491" s="249"/>
      <c r="AL491" s="249"/>
      <c r="AM491" s="249"/>
      <c r="AN491" s="537"/>
      <c r="AO491" s="249" t="str">
        <f>IF(Z491="Yes",COUNTIF($Z$6:Z491,"Yes"),"")</f>
        <v/>
      </c>
      <c r="AP491" s="249" t="str">
        <f>IF(AA491="Yes",COUNTIF($AA$6:AA491,"Yes"),"")</f>
        <v/>
      </c>
      <c r="AQ491" s="249" t="str">
        <f>IF(AC491="Yes",COUNTIF($AC$6:AC491,"Yes"),"")</f>
        <v/>
      </c>
    </row>
    <row r="492" spans="1:43">
      <c r="A492" s="249"/>
      <c r="B492" s="249"/>
      <c r="C492" s="249"/>
      <c r="D492" s="249"/>
      <c r="E492" s="249"/>
      <c r="F492" s="249"/>
      <c r="G492" s="249"/>
      <c r="H492" s="249"/>
      <c r="I492" s="249"/>
      <c r="J492" s="249"/>
      <c r="K492" s="249"/>
      <c r="L492" s="249"/>
      <c r="M492" s="249"/>
      <c r="N492" s="249"/>
      <c r="O492" s="249"/>
      <c r="P492" s="537"/>
      <c r="Q492" s="537"/>
      <c r="R492" s="537"/>
      <c r="S492" s="538" t="str">
        <f t="shared" ca="1" si="18"/>
        <v/>
      </c>
      <c r="T492" s="538" t="str">
        <f t="shared" ca="1" si="19"/>
        <v/>
      </c>
      <c r="U492" s="249"/>
      <c r="V492" s="249"/>
      <c r="W492" s="249"/>
      <c r="X492" s="249"/>
      <c r="Y492" s="249"/>
      <c r="Z492" s="249"/>
      <c r="AA492" s="249"/>
      <c r="AB492" s="249"/>
      <c r="AC492" s="249"/>
      <c r="AD492" s="249"/>
      <c r="AE492" s="249"/>
      <c r="AF492" s="249"/>
      <c r="AG492" s="249"/>
      <c r="AH492" s="249"/>
      <c r="AI492" s="249"/>
      <c r="AJ492" s="249"/>
      <c r="AK492" s="249"/>
      <c r="AL492" s="249"/>
      <c r="AM492" s="249"/>
      <c r="AN492" s="537"/>
      <c r="AO492" s="249" t="str">
        <f>IF(Z492="Yes",COUNTIF($Z$6:Z492,"Yes"),"")</f>
        <v/>
      </c>
      <c r="AP492" s="249" t="str">
        <f>IF(AA492="Yes",COUNTIF($AA$6:AA492,"Yes"),"")</f>
        <v/>
      </c>
      <c r="AQ492" s="249" t="str">
        <f>IF(AC492="Yes",COUNTIF($AC$6:AC492,"Yes"),"")</f>
        <v/>
      </c>
    </row>
    <row r="493" spans="1:43">
      <c r="A493" s="249"/>
      <c r="B493" s="249"/>
      <c r="C493" s="249"/>
      <c r="D493" s="249"/>
      <c r="E493" s="249"/>
      <c r="F493" s="249"/>
      <c r="G493" s="249"/>
      <c r="H493" s="249"/>
      <c r="I493" s="249"/>
      <c r="J493" s="249"/>
      <c r="K493" s="249"/>
      <c r="L493" s="249"/>
      <c r="M493" s="249"/>
      <c r="N493" s="249"/>
      <c r="O493" s="249"/>
      <c r="P493" s="537"/>
      <c r="Q493" s="537"/>
      <c r="R493" s="537"/>
      <c r="S493" s="538" t="str">
        <f t="shared" ca="1" si="18"/>
        <v/>
      </c>
      <c r="T493" s="538" t="str">
        <f t="shared" ca="1" si="19"/>
        <v/>
      </c>
      <c r="U493" s="249"/>
      <c r="V493" s="249"/>
      <c r="W493" s="249"/>
      <c r="X493" s="249"/>
      <c r="Y493" s="249"/>
      <c r="Z493" s="249"/>
      <c r="AA493" s="249"/>
      <c r="AB493" s="249"/>
      <c r="AC493" s="249"/>
      <c r="AD493" s="249"/>
      <c r="AE493" s="249"/>
      <c r="AF493" s="249"/>
      <c r="AG493" s="249"/>
      <c r="AH493" s="249"/>
      <c r="AI493" s="249"/>
      <c r="AJ493" s="249"/>
      <c r="AK493" s="249"/>
      <c r="AL493" s="249"/>
      <c r="AM493" s="249"/>
      <c r="AN493" s="537"/>
      <c r="AO493" s="249" t="str">
        <f>IF(Z493="Yes",COUNTIF($Z$6:Z493,"Yes"),"")</f>
        <v/>
      </c>
      <c r="AP493" s="249" t="str">
        <f>IF(AA493="Yes",COUNTIF($AA$6:AA493,"Yes"),"")</f>
        <v/>
      </c>
      <c r="AQ493" s="249" t="str">
        <f>IF(AC493="Yes",COUNTIF($AC$6:AC493,"Yes"),"")</f>
        <v/>
      </c>
    </row>
    <row r="494" spans="1:43">
      <c r="A494" s="249"/>
      <c r="B494" s="249"/>
      <c r="C494" s="249"/>
      <c r="D494" s="249"/>
      <c r="E494" s="249"/>
      <c r="F494" s="249"/>
      <c r="G494" s="249"/>
      <c r="H494" s="249"/>
      <c r="I494" s="249"/>
      <c r="J494" s="249"/>
      <c r="K494" s="249"/>
      <c r="L494" s="249"/>
      <c r="M494" s="249"/>
      <c r="N494" s="249"/>
      <c r="O494" s="249"/>
      <c r="P494" s="537"/>
      <c r="Q494" s="537"/>
      <c r="R494" s="537"/>
      <c r="S494" s="538" t="str">
        <f t="shared" ca="1" si="18"/>
        <v/>
      </c>
      <c r="T494" s="538" t="str">
        <f t="shared" ca="1" si="19"/>
        <v/>
      </c>
      <c r="U494" s="249"/>
      <c r="V494" s="249"/>
      <c r="W494" s="249"/>
      <c r="X494" s="249"/>
      <c r="Y494" s="249"/>
      <c r="Z494" s="249"/>
      <c r="AA494" s="249"/>
      <c r="AB494" s="249"/>
      <c r="AC494" s="249"/>
      <c r="AD494" s="249"/>
      <c r="AE494" s="249"/>
      <c r="AF494" s="249"/>
      <c r="AG494" s="249"/>
      <c r="AH494" s="249"/>
      <c r="AI494" s="249"/>
      <c r="AJ494" s="249"/>
      <c r="AK494" s="249"/>
      <c r="AL494" s="249"/>
      <c r="AM494" s="249"/>
      <c r="AN494" s="537"/>
      <c r="AO494" s="249" t="str">
        <f>IF(Z494="Yes",COUNTIF($Z$6:Z494,"Yes"),"")</f>
        <v/>
      </c>
      <c r="AP494" s="249" t="str">
        <f>IF(AA494="Yes",COUNTIF($AA$6:AA494,"Yes"),"")</f>
        <v/>
      </c>
      <c r="AQ494" s="249" t="str">
        <f>IF(AC494="Yes",COUNTIF($AC$6:AC494,"Yes"),"")</f>
        <v/>
      </c>
    </row>
    <row r="495" spans="1:43">
      <c r="A495" s="249"/>
      <c r="B495" s="249"/>
      <c r="C495" s="249"/>
      <c r="D495" s="249"/>
      <c r="E495" s="249"/>
      <c r="F495" s="249"/>
      <c r="G495" s="249"/>
      <c r="H495" s="249"/>
      <c r="I495" s="249"/>
      <c r="J495" s="249"/>
      <c r="K495" s="249"/>
      <c r="L495" s="249"/>
      <c r="M495" s="249"/>
      <c r="N495" s="249"/>
      <c r="O495" s="249"/>
      <c r="P495" s="537"/>
      <c r="Q495" s="537"/>
      <c r="R495" s="537"/>
      <c r="S495" s="538" t="str">
        <f t="shared" ca="1" si="18"/>
        <v/>
      </c>
      <c r="T495" s="538" t="str">
        <f t="shared" ca="1" si="19"/>
        <v/>
      </c>
      <c r="U495" s="249"/>
      <c r="V495" s="249"/>
      <c r="W495" s="249"/>
      <c r="X495" s="249"/>
      <c r="Y495" s="249"/>
      <c r="Z495" s="249"/>
      <c r="AA495" s="249"/>
      <c r="AB495" s="249"/>
      <c r="AC495" s="249"/>
      <c r="AD495" s="249"/>
      <c r="AE495" s="249"/>
      <c r="AF495" s="249"/>
      <c r="AG495" s="249"/>
      <c r="AH495" s="249"/>
      <c r="AI495" s="249"/>
      <c r="AJ495" s="249"/>
      <c r="AK495" s="249"/>
      <c r="AL495" s="249"/>
      <c r="AM495" s="249"/>
      <c r="AN495" s="537"/>
      <c r="AO495" s="249" t="str">
        <f>IF(Z495="Yes",COUNTIF($Z$6:Z495,"Yes"),"")</f>
        <v/>
      </c>
      <c r="AP495" s="249" t="str">
        <f>IF(AA495="Yes",COUNTIF($AA$6:AA495,"Yes"),"")</f>
        <v/>
      </c>
      <c r="AQ495" s="249" t="str">
        <f>IF(AC495="Yes",COUNTIF($AC$6:AC495,"Yes"),"")</f>
        <v/>
      </c>
    </row>
    <row r="496" spans="1:43">
      <c r="A496" s="249"/>
      <c r="B496" s="249"/>
      <c r="C496" s="249"/>
      <c r="D496" s="249"/>
      <c r="E496" s="249"/>
      <c r="F496" s="249"/>
      <c r="G496" s="249"/>
      <c r="H496" s="249"/>
      <c r="I496" s="249"/>
      <c r="J496" s="249"/>
      <c r="K496" s="249"/>
      <c r="L496" s="249"/>
      <c r="M496" s="249"/>
      <c r="N496" s="249"/>
      <c r="O496" s="249"/>
      <c r="P496" s="537"/>
      <c r="Q496" s="537"/>
      <c r="R496" s="537"/>
      <c r="S496" s="538" t="str">
        <f t="shared" ca="1" si="18"/>
        <v/>
      </c>
      <c r="T496" s="538" t="str">
        <f t="shared" ca="1" si="19"/>
        <v/>
      </c>
      <c r="U496" s="249"/>
      <c r="V496" s="249"/>
      <c r="W496" s="249"/>
      <c r="X496" s="249"/>
      <c r="Y496" s="249"/>
      <c r="Z496" s="249"/>
      <c r="AA496" s="249"/>
      <c r="AB496" s="249"/>
      <c r="AC496" s="249"/>
      <c r="AD496" s="249"/>
      <c r="AE496" s="249"/>
      <c r="AF496" s="249"/>
      <c r="AG496" s="249"/>
      <c r="AH496" s="249"/>
      <c r="AI496" s="249"/>
      <c r="AJ496" s="249"/>
      <c r="AK496" s="249"/>
      <c r="AL496" s="249"/>
      <c r="AM496" s="249"/>
      <c r="AN496" s="537"/>
      <c r="AO496" s="249" t="str">
        <f>IF(Z496="Yes",COUNTIF($Z$6:Z496,"Yes"),"")</f>
        <v/>
      </c>
      <c r="AP496" s="249" t="str">
        <f>IF(AA496="Yes",COUNTIF($AA$6:AA496,"Yes"),"")</f>
        <v/>
      </c>
      <c r="AQ496" s="249" t="str">
        <f>IF(AC496="Yes",COUNTIF($AC$6:AC496,"Yes"),"")</f>
        <v/>
      </c>
    </row>
    <row r="497" spans="1:43">
      <c r="A497" s="249"/>
      <c r="B497" s="249"/>
      <c r="C497" s="249"/>
      <c r="D497" s="249"/>
      <c r="E497" s="249"/>
      <c r="F497" s="249"/>
      <c r="G497" s="249"/>
      <c r="H497" s="249"/>
      <c r="I497" s="249"/>
      <c r="J497" s="249"/>
      <c r="K497" s="249"/>
      <c r="L497" s="249"/>
      <c r="M497" s="249"/>
      <c r="N497" s="249"/>
      <c r="O497" s="249"/>
      <c r="P497" s="537"/>
      <c r="Q497" s="537"/>
      <c r="R497" s="537"/>
      <c r="S497" s="538" t="str">
        <f t="shared" ca="1" si="18"/>
        <v/>
      </c>
      <c r="T497" s="538" t="str">
        <f t="shared" ca="1" si="19"/>
        <v/>
      </c>
      <c r="U497" s="249"/>
      <c r="V497" s="249"/>
      <c r="W497" s="249"/>
      <c r="X497" s="249"/>
      <c r="Y497" s="249"/>
      <c r="Z497" s="249"/>
      <c r="AA497" s="249"/>
      <c r="AB497" s="249"/>
      <c r="AC497" s="249"/>
      <c r="AD497" s="249"/>
      <c r="AE497" s="249"/>
      <c r="AF497" s="249"/>
      <c r="AG497" s="249"/>
      <c r="AH497" s="249"/>
      <c r="AI497" s="249"/>
      <c r="AJ497" s="249"/>
      <c r="AK497" s="249"/>
      <c r="AL497" s="249"/>
      <c r="AM497" s="249"/>
      <c r="AN497" s="537"/>
      <c r="AO497" s="249" t="str">
        <f>IF(Z497="Yes",COUNTIF($Z$6:Z497,"Yes"),"")</f>
        <v/>
      </c>
      <c r="AP497" s="249" t="str">
        <f>IF(AA497="Yes",COUNTIF($AA$6:AA497,"Yes"),"")</f>
        <v/>
      </c>
      <c r="AQ497" s="249" t="str">
        <f>IF(AC497="Yes",COUNTIF($AC$6:AC497,"Yes"),"")</f>
        <v/>
      </c>
    </row>
    <row r="498" spans="1:43">
      <c r="A498" s="249"/>
      <c r="B498" s="249"/>
      <c r="C498" s="249"/>
      <c r="D498" s="249"/>
      <c r="E498" s="249"/>
      <c r="F498" s="249"/>
      <c r="G498" s="249"/>
      <c r="H498" s="249"/>
      <c r="I498" s="249"/>
      <c r="J498" s="249"/>
      <c r="K498" s="249"/>
      <c r="L498" s="249"/>
      <c r="M498" s="249"/>
      <c r="N498" s="249"/>
      <c r="O498" s="249"/>
      <c r="P498" s="537"/>
      <c r="Q498" s="537"/>
      <c r="R498" s="537"/>
      <c r="S498" s="538" t="str">
        <f t="shared" ca="1" si="18"/>
        <v/>
      </c>
      <c r="T498" s="538" t="str">
        <f t="shared" ca="1" si="19"/>
        <v/>
      </c>
      <c r="U498" s="249"/>
      <c r="V498" s="249"/>
      <c r="W498" s="249"/>
      <c r="X498" s="249"/>
      <c r="Y498" s="249"/>
      <c r="Z498" s="249"/>
      <c r="AA498" s="249"/>
      <c r="AB498" s="249"/>
      <c r="AC498" s="249"/>
      <c r="AD498" s="249"/>
      <c r="AE498" s="249"/>
      <c r="AF498" s="249"/>
      <c r="AG498" s="249"/>
      <c r="AH498" s="249"/>
      <c r="AI498" s="249"/>
      <c r="AJ498" s="249"/>
      <c r="AK498" s="249"/>
      <c r="AL498" s="249"/>
      <c r="AM498" s="249"/>
      <c r="AN498" s="537"/>
      <c r="AO498" s="249" t="str">
        <f>IF(Z498="Yes",COUNTIF($Z$6:Z498,"Yes"),"")</f>
        <v/>
      </c>
      <c r="AP498" s="249" t="str">
        <f>IF(AA498="Yes",COUNTIF($AA$6:AA498,"Yes"),"")</f>
        <v/>
      </c>
      <c r="AQ498" s="249" t="str">
        <f>IF(AC498="Yes",COUNTIF($AC$6:AC498,"Yes"),"")</f>
        <v/>
      </c>
    </row>
    <row r="499" spans="1:43">
      <c r="A499" s="249"/>
      <c r="B499" s="249"/>
      <c r="C499" s="249"/>
      <c r="D499" s="249"/>
      <c r="E499" s="249"/>
      <c r="F499" s="249"/>
      <c r="G499" s="249"/>
      <c r="H499" s="249"/>
      <c r="I499" s="249"/>
      <c r="J499" s="249"/>
      <c r="K499" s="249"/>
      <c r="L499" s="249"/>
      <c r="M499" s="249"/>
      <c r="N499" s="249"/>
      <c r="O499" s="249"/>
      <c r="P499" s="537"/>
      <c r="Q499" s="537"/>
      <c r="R499" s="537"/>
      <c r="S499" s="538" t="str">
        <f t="shared" ca="1" si="18"/>
        <v/>
      </c>
      <c r="T499" s="538" t="str">
        <f t="shared" ca="1" si="19"/>
        <v/>
      </c>
      <c r="U499" s="249"/>
      <c r="V499" s="249"/>
      <c r="W499" s="249"/>
      <c r="X499" s="249"/>
      <c r="Y499" s="249"/>
      <c r="Z499" s="249"/>
      <c r="AA499" s="249"/>
      <c r="AB499" s="249"/>
      <c r="AC499" s="249"/>
      <c r="AD499" s="249"/>
      <c r="AE499" s="249"/>
      <c r="AF499" s="249"/>
      <c r="AG499" s="249"/>
      <c r="AH499" s="249"/>
      <c r="AI499" s="249"/>
      <c r="AJ499" s="249"/>
      <c r="AK499" s="249"/>
      <c r="AL499" s="249"/>
      <c r="AM499" s="249"/>
      <c r="AN499" s="537"/>
      <c r="AO499" s="249" t="str">
        <f>IF(Z499="Yes",COUNTIF($Z$6:Z499,"Yes"),"")</f>
        <v/>
      </c>
      <c r="AP499" s="249" t="str">
        <f>IF(AA499="Yes",COUNTIF($AA$6:AA499,"Yes"),"")</f>
        <v/>
      </c>
      <c r="AQ499" s="249" t="str">
        <f>IF(AC499="Yes",COUNTIF($AC$6:AC499,"Yes"),"")</f>
        <v/>
      </c>
    </row>
    <row r="500" spans="1:43">
      <c r="A500" s="249"/>
      <c r="B500" s="249"/>
      <c r="C500" s="249"/>
      <c r="D500" s="249"/>
      <c r="E500" s="249"/>
      <c r="F500" s="249"/>
      <c r="G500" s="249"/>
      <c r="H500" s="249"/>
      <c r="I500" s="249"/>
      <c r="J500" s="249"/>
      <c r="K500" s="249"/>
      <c r="L500" s="249"/>
      <c r="M500" s="249"/>
      <c r="N500" s="249"/>
      <c r="O500" s="249"/>
      <c r="P500" s="537"/>
      <c r="Q500" s="537"/>
      <c r="R500" s="537"/>
      <c r="S500" s="538" t="str">
        <f t="shared" ca="1" si="18"/>
        <v/>
      </c>
      <c r="T500" s="538" t="str">
        <f t="shared" ca="1" si="19"/>
        <v/>
      </c>
      <c r="U500" s="249"/>
      <c r="V500" s="249"/>
      <c r="W500" s="249"/>
      <c r="X500" s="249"/>
      <c r="Y500" s="249"/>
      <c r="Z500" s="249"/>
      <c r="AA500" s="249"/>
      <c r="AB500" s="249"/>
      <c r="AC500" s="249"/>
      <c r="AD500" s="249"/>
      <c r="AE500" s="249"/>
      <c r="AF500" s="249"/>
      <c r="AG500" s="249"/>
      <c r="AH500" s="249"/>
      <c r="AI500" s="249"/>
      <c r="AJ500" s="249"/>
      <c r="AK500" s="249"/>
      <c r="AL500" s="249"/>
      <c r="AM500" s="249"/>
      <c r="AN500" s="537"/>
      <c r="AO500" s="249" t="str">
        <f>IF(Z500="Yes",COUNTIF($Z$6:Z500,"Yes"),"")</f>
        <v/>
      </c>
      <c r="AP500" s="249" t="str">
        <f>IF(AA500="Yes",COUNTIF($AA$6:AA500,"Yes"),"")</f>
        <v/>
      </c>
      <c r="AQ500" s="249" t="str">
        <f>IF(AC500="Yes",COUNTIF($AC$6:AC500,"Yes"),"")</f>
        <v/>
      </c>
    </row>
    <row r="501" spans="1:43">
      <c r="A501" s="249"/>
      <c r="B501" s="249"/>
      <c r="C501" s="249"/>
      <c r="D501" s="249"/>
      <c r="E501" s="249"/>
      <c r="F501" s="249"/>
      <c r="G501" s="249"/>
      <c r="H501" s="249"/>
      <c r="I501" s="249"/>
      <c r="J501" s="249"/>
      <c r="K501" s="249"/>
      <c r="L501" s="249"/>
      <c r="M501" s="249"/>
      <c r="N501" s="249"/>
      <c r="O501" s="249"/>
      <c r="P501" s="537"/>
      <c r="Q501" s="537"/>
      <c r="R501" s="537"/>
      <c r="S501" s="538" t="str">
        <f t="shared" ca="1" si="18"/>
        <v/>
      </c>
      <c r="T501" s="538" t="str">
        <f t="shared" ca="1" si="19"/>
        <v/>
      </c>
      <c r="U501" s="249"/>
      <c r="V501" s="249"/>
      <c r="W501" s="249"/>
      <c r="X501" s="249"/>
      <c r="Y501" s="249"/>
      <c r="Z501" s="249"/>
      <c r="AA501" s="249"/>
      <c r="AB501" s="249"/>
      <c r="AC501" s="249"/>
      <c r="AD501" s="249"/>
      <c r="AE501" s="249"/>
      <c r="AF501" s="249"/>
      <c r="AG501" s="249"/>
      <c r="AH501" s="249"/>
      <c r="AI501" s="249"/>
      <c r="AJ501" s="249"/>
      <c r="AK501" s="249"/>
      <c r="AL501" s="249"/>
      <c r="AM501" s="249"/>
      <c r="AN501" s="537"/>
      <c r="AO501" s="249" t="str">
        <f>IF(Z501="Yes",COUNTIF($Z$6:Z501,"Yes"),"")</f>
        <v/>
      </c>
      <c r="AP501" s="249" t="str">
        <f>IF(AA501="Yes",COUNTIF($AA$6:AA501,"Yes"),"")</f>
        <v/>
      </c>
      <c r="AQ501" s="249" t="str">
        <f>IF(AC501="Yes",COUNTIF($AC$6:AC501,"Yes"),"")</f>
        <v/>
      </c>
    </row>
    <row r="502" spans="1:43">
      <c r="A502" s="249"/>
      <c r="B502" s="249"/>
      <c r="C502" s="249"/>
      <c r="D502" s="249"/>
      <c r="E502" s="249"/>
      <c r="F502" s="249"/>
      <c r="G502" s="249"/>
      <c r="H502" s="249"/>
      <c r="I502" s="249"/>
      <c r="J502" s="249"/>
      <c r="K502" s="249"/>
      <c r="L502" s="249"/>
      <c r="M502" s="249"/>
      <c r="N502" s="249"/>
      <c r="O502" s="249"/>
      <c r="P502" s="537"/>
      <c r="Q502" s="537"/>
      <c r="R502" s="537"/>
      <c r="S502" s="538" t="str">
        <f t="shared" ca="1" si="18"/>
        <v/>
      </c>
      <c r="T502" s="538" t="str">
        <f t="shared" ca="1" si="19"/>
        <v/>
      </c>
      <c r="U502" s="249"/>
      <c r="V502" s="249"/>
      <c r="W502" s="249"/>
      <c r="X502" s="249"/>
      <c r="Y502" s="249"/>
      <c r="Z502" s="249"/>
      <c r="AA502" s="249"/>
      <c r="AB502" s="249"/>
      <c r="AC502" s="249"/>
      <c r="AD502" s="249"/>
      <c r="AE502" s="249"/>
      <c r="AF502" s="249"/>
      <c r="AG502" s="249"/>
      <c r="AH502" s="249"/>
      <c r="AI502" s="249"/>
      <c r="AJ502" s="249"/>
      <c r="AK502" s="249"/>
      <c r="AL502" s="249"/>
      <c r="AM502" s="249"/>
      <c r="AN502" s="537"/>
      <c r="AO502" s="249" t="str">
        <f>IF(Z502="Yes",COUNTIF($Z$6:Z502,"Yes"),"")</f>
        <v/>
      </c>
      <c r="AP502" s="249" t="str">
        <f>IF(AA502="Yes",COUNTIF($AA$6:AA502,"Yes"),"")</f>
        <v/>
      </c>
      <c r="AQ502" s="249" t="str">
        <f>IF(AC502="Yes",COUNTIF($AC$6:AC502,"Yes"),"")</f>
        <v/>
      </c>
    </row>
    <row r="503" spans="1:43">
      <c r="A503" s="249"/>
      <c r="B503" s="249"/>
      <c r="C503" s="249"/>
      <c r="D503" s="249"/>
      <c r="E503" s="249"/>
      <c r="F503" s="249"/>
      <c r="G503" s="249"/>
      <c r="H503" s="249"/>
      <c r="I503" s="249"/>
      <c r="J503" s="249"/>
      <c r="K503" s="249"/>
      <c r="L503" s="249"/>
      <c r="M503" s="249"/>
      <c r="N503" s="249"/>
      <c r="O503" s="249"/>
      <c r="P503" s="537"/>
      <c r="Q503" s="537"/>
      <c r="R503" s="537"/>
      <c r="S503" s="538" t="str">
        <f t="shared" ca="1" si="18"/>
        <v/>
      </c>
      <c r="T503" s="538" t="str">
        <f t="shared" ca="1" si="19"/>
        <v/>
      </c>
      <c r="U503" s="249"/>
      <c r="V503" s="249"/>
      <c r="W503" s="249"/>
      <c r="X503" s="249"/>
      <c r="Y503" s="249"/>
      <c r="Z503" s="249"/>
      <c r="AA503" s="249"/>
      <c r="AB503" s="249"/>
      <c r="AC503" s="249"/>
      <c r="AD503" s="249"/>
      <c r="AE503" s="249"/>
      <c r="AF503" s="249"/>
      <c r="AG503" s="249"/>
      <c r="AH503" s="249"/>
      <c r="AI503" s="249"/>
      <c r="AJ503" s="249"/>
      <c r="AK503" s="249"/>
      <c r="AL503" s="249"/>
      <c r="AM503" s="249"/>
      <c r="AN503" s="537"/>
      <c r="AO503" s="249" t="str">
        <f>IF(Z503="Yes",COUNTIF($Z$6:Z503,"Yes"),"")</f>
        <v/>
      </c>
      <c r="AP503" s="249" t="str">
        <f>IF(AA503="Yes",COUNTIF($AA$6:AA503,"Yes"),"")</f>
        <v/>
      </c>
      <c r="AQ503" s="249" t="str">
        <f>IF(AC503="Yes",COUNTIF($AC$6:AC503,"Yes"),"")</f>
        <v/>
      </c>
    </row>
    <row r="504" spans="1:43">
      <c r="A504" s="249"/>
      <c r="B504" s="249"/>
      <c r="C504" s="249"/>
      <c r="D504" s="249"/>
      <c r="E504" s="249"/>
      <c r="F504" s="249"/>
      <c r="G504" s="249"/>
      <c r="H504" s="249"/>
      <c r="I504" s="249"/>
      <c r="J504" s="249"/>
      <c r="K504" s="249"/>
      <c r="L504" s="249"/>
      <c r="M504" s="249"/>
      <c r="N504" s="249"/>
      <c r="O504" s="249"/>
      <c r="P504" s="537"/>
      <c r="Q504" s="537"/>
      <c r="R504" s="537"/>
      <c r="S504" s="538" t="str">
        <f t="shared" ca="1" si="18"/>
        <v/>
      </c>
      <c r="T504" s="538" t="str">
        <f t="shared" ca="1" si="19"/>
        <v/>
      </c>
      <c r="U504" s="249"/>
      <c r="V504" s="249"/>
      <c r="W504" s="249"/>
      <c r="X504" s="249"/>
      <c r="Y504" s="249"/>
      <c r="Z504" s="249"/>
      <c r="AA504" s="249"/>
      <c r="AB504" s="249"/>
      <c r="AC504" s="249"/>
      <c r="AD504" s="249"/>
      <c r="AE504" s="249"/>
      <c r="AF504" s="249"/>
      <c r="AG504" s="249"/>
      <c r="AH504" s="249"/>
      <c r="AI504" s="249"/>
      <c r="AJ504" s="249"/>
      <c r="AK504" s="249"/>
      <c r="AL504" s="249"/>
      <c r="AM504" s="249"/>
      <c r="AN504" s="537"/>
      <c r="AO504" s="249" t="str">
        <f>IF(Z504="Yes",COUNTIF($Z$6:Z504,"Yes"),"")</f>
        <v/>
      </c>
      <c r="AP504" s="249" t="str">
        <f>IF(AA504="Yes",COUNTIF($AA$6:AA504,"Yes"),"")</f>
        <v/>
      </c>
      <c r="AQ504" s="249" t="str">
        <f>IF(AC504="Yes",COUNTIF($AC$6:AC504,"Yes"),"")</f>
        <v/>
      </c>
    </row>
    <row r="505" spans="1:43">
      <c r="A505" s="249"/>
      <c r="B505" s="249"/>
      <c r="C505" s="249"/>
      <c r="D505" s="249"/>
      <c r="E505" s="249"/>
      <c r="F505" s="249"/>
      <c r="G505" s="249"/>
      <c r="H505" s="249"/>
      <c r="I505" s="249"/>
      <c r="J505" s="249"/>
      <c r="K505" s="249"/>
      <c r="L505" s="249"/>
      <c r="M505" s="249"/>
      <c r="N505" s="249"/>
      <c r="O505" s="249"/>
      <c r="P505" s="537"/>
      <c r="Q505" s="537"/>
      <c r="R505" s="537"/>
      <c r="S505" s="538" t="str">
        <f t="shared" ca="1" si="18"/>
        <v/>
      </c>
      <c r="T505" s="538" t="str">
        <f t="shared" ca="1" si="19"/>
        <v/>
      </c>
      <c r="U505" s="249"/>
      <c r="V505" s="249"/>
      <c r="W505" s="249"/>
      <c r="X505" s="249"/>
      <c r="Y505" s="249"/>
      <c r="Z505" s="249"/>
      <c r="AA505" s="249"/>
      <c r="AB505" s="249"/>
      <c r="AC505" s="249"/>
      <c r="AD505" s="249"/>
      <c r="AE505" s="249"/>
      <c r="AF505" s="249"/>
      <c r="AG505" s="249"/>
      <c r="AH505" s="249"/>
      <c r="AI505" s="249"/>
      <c r="AJ505" s="249"/>
      <c r="AK505" s="249"/>
      <c r="AL505" s="249"/>
      <c r="AM505" s="249"/>
      <c r="AN505" s="537"/>
      <c r="AO505" s="249" t="str">
        <f>IF(Z505="Yes",COUNTIF($Z$6:Z505,"Yes"),"")</f>
        <v/>
      </c>
      <c r="AP505" s="249" t="str">
        <f>IF(AA505="Yes",COUNTIF($AA$6:AA505,"Yes"),"")</f>
        <v/>
      </c>
      <c r="AQ505" s="249" t="str">
        <f>IF(AC505="Yes",COUNTIF($AC$6:AC505,"Yes"),"")</f>
        <v/>
      </c>
    </row>
  </sheetData>
  <autoFilter ref="A5:AQ505" xr:uid="{16CE742C-EDC4-47AB-81B4-8F0112025A3B}"/>
  <mergeCells count="2">
    <mergeCell ref="A1:AQ2"/>
    <mergeCell ref="A3:AQ3"/>
  </mergeCells>
  <conditionalFormatting sqref="M6:M505">
    <cfRule type="expression" dxfId="1444" priority="1">
      <formula>$M6="Critical"</formula>
    </cfRule>
  </conditionalFormatting>
  <conditionalFormatting sqref="N6:N505">
    <cfRule type="expression" dxfId="1443" priority="2">
      <formula>OR($N6="Complete",$N6="Closed")</formula>
    </cfRule>
    <cfRule type="expression" dxfId="1442" priority="3">
      <formula>OR($N6="At Risk",$N6="Delayed",$N6="Blocked")</formula>
    </cfRule>
  </conditionalFormatting>
  <conditionalFormatting sqref="T6:T505">
    <cfRule type="expression" dxfId="1441" priority="4">
      <formula>AND($T6&lt;0,$N6&lt;&gt;"Complete",$N6&lt;&gt;"Closed",$A6&lt;&gt;"")</formula>
    </cfRule>
  </conditionalFormatting>
  <dataValidations count="13">
    <dataValidation type="list" sqref="Z6:AC505" xr:uid="{00000000-0002-0000-1B00-00000C000000}">
      <formula1>"Yes,No"</formula1>
    </dataValidation>
    <dataValidation type="list" sqref="Y6:Y505" xr:uid="{00000000-0002-0000-1B00-00000B000000}">
      <formula1>_xlfn._LONGTEXT("Executive Summary,Assessment and Field Activity,Risks / Deficiencies / Questions,Schedule and Operational Impacts,Design and Technical Coordination,Quality and Construction Readiness,OIT, Commissioning and Acceptance,CM/PM Deliverables and Actions,Cost an","d Contract Administration,COR Decisions and Look-Ahead")</formula1>
    </dataValidation>
    <dataValidation type="list" sqref="X6:X505" xr:uid="{00000000-0002-0000-1B00-00000A000000}">
      <formula1>"Daily,Weekly,Biweekly,Monthly,Quarterly,As Required,Continuous,One-Time"</formula1>
    </dataValidation>
    <dataValidation type="list" sqref="U6:W505" xr:uid="{00000000-0002-0000-1B00-000009000000}">
      <formula1>"None,Potential,Confirmed"</formula1>
    </dataValidation>
    <dataValidation type="list" sqref="N6:N505" xr:uid="{00000000-0002-0000-1B00-000008000000}">
      <formula1>"Not Started,Open,In Progress,Waiting,Pending,At Risk,Delayed,Blocked,Complete,Closed,Deferred"</formula1>
    </dataValidation>
    <dataValidation type="list" sqref="K6:L505" xr:uid="{00000000-0002-0000-1B00-000007000000}">
      <formula1>"Paul,Aisha,Shared,COR,CO / CS,A/E,GC,CxA,VA OIT,Hospital Stakeholder,Other"</formula1>
    </dataValidation>
    <dataValidation type="list" sqref="J6:J505" xr:uid="{00000000-0002-0000-1B00-000006000000}">
      <formula1>"Paul,Aisha,Shared,COR,CO / CS,A/E,GC,CxA,VA OIT,Hospital Stakeholder,Other,GCC,Contractor,VA"</formula1>
    </dataValidation>
    <dataValidation type="list" sqref="E6:E505" xr:uid="{00000000-0002-0000-1B00-000005000000}">
      <formula1>"ALL,01,02,03,04,05,06,07,08,09,10,12,13,14,15,16,17,18,20,21,22,33,61,62,70,78,80,82,BCH,MCR,SITE,SPEC"</formula1>
    </dataValidation>
    <dataValidation type="list" sqref="D6:D505" xr:uid="{00000000-0002-0000-1B00-000004000000}">
      <formula1>"Project Controls,Architectural,Fire Protection,Fire Alarm,Mechanical / HVAC,Electrical / UPS,Telecom / Fiber,Security / PACS / CCTV,OIT,Commissioning,Cost Control,Multi-Discipline,Operations"</formula1>
    </dataValidation>
    <dataValidation type="list" sqref="C6:C505" xr:uid="{00000000-0002-0000-1B00-000003000000}">
      <formula1>"Schedule,Cost,Quality,Safety,Design,Operations,Commissioning,Closeout,Contract Admin,Documentation,Stakeholder Coordination"</formula1>
    </dataValidation>
    <dataValidation type="list" sqref="B6:B505" xr:uid="{00000000-0002-0000-1B00-000002000000}">
      <formula1>"Deliverable,Action Item,Decision,Meeting,RFI,Submittal,Schedule Item,Shutdown Coordination,Commissioning,Pay Application,Risk,Issue,Change,Design Question,PTR Update,Project Review,Claim Support,Observation"</formula1>
    </dataValidation>
    <dataValidation type="list" sqref="M6:M505" xr:uid="{00000000-0002-0000-1B00-000001000000}">
      <formula1>"Low,Medium,High,Critical"</formula1>
    </dataValidation>
    <dataValidation type="list" sqref="O6:O505" xr:uid="{00000000-0002-0000-1B00-000000000000}">
      <formula1>"Procurement,Preconstruction,Award,Mobilization,Construction,Commissioning,Closeout"</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workbookViewId="0">
      <selection activeCell="J6" sqref="J6"/>
    </sheetView>
  </sheetViews>
  <sheetFormatPr defaultColWidth="8.85546875" defaultRowHeight="135" customHeight="1"/>
  <cols>
    <col min="1" max="1" width="16.710937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4"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54" customHeight="1">
      <c r="A2" s="16" t="s">
        <v>343</v>
      </c>
      <c r="B2" s="60"/>
      <c r="C2" s="16"/>
      <c r="D2" s="16"/>
      <c r="E2" s="16"/>
      <c r="F2" s="16"/>
      <c r="G2" s="16"/>
      <c r="H2" s="16"/>
      <c r="I2" s="16"/>
      <c r="J2" s="16"/>
      <c r="K2" s="16"/>
      <c r="L2" s="16"/>
    </row>
    <row r="3" spans="1:17" ht="18" customHeight="1"/>
    <row r="4" spans="1:17" ht="54" customHeight="1">
      <c r="A4" s="50" t="s">
        <v>295</v>
      </c>
      <c r="B4" s="50" t="s">
        <v>218</v>
      </c>
      <c r="C4" s="50" t="s">
        <v>142</v>
      </c>
      <c r="D4" s="50" t="s">
        <v>296</v>
      </c>
      <c r="E4" s="50" t="s">
        <v>297</v>
      </c>
      <c r="F4" s="50" t="s">
        <v>298</v>
      </c>
      <c r="G4" s="50" t="s">
        <v>299</v>
      </c>
      <c r="H4" s="50" t="s">
        <v>300</v>
      </c>
      <c r="I4" s="50" t="s">
        <v>77</v>
      </c>
      <c r="J4" s="50" t="s">
        <v>11</v>
      </c>
      <c r="K4" s="61" t="s">
        <v>344</v>
      </c>
    </row>
    <row r="5" spans="1:17" ht="135" customHeight="1">
      <c r="A5" s="13">
        <v>62</v>
      </c>
      <c r="B5" s="62" t="s">
        <v>345</v>
      </c>
      <c r="C5" s="13">
        <v>62</v>
      </c>
      <c r="D5" s="63">
        <v>46197</v>
      </c>
      <c r="E5" s="63">
        <v>46198</v>
      </c>
      <c r="F5" s="63">
        <v>46199</v>
      </c>
      <c r="G5" s="13" t="s">
        <v>346</v>
      </c>
      <c r="H5" s="13" t="s">
        <v>347</v>
      </c>
      <c r="I5" s="13" t="s">
        <v>230</v>
      </c>
      <c r="J5" s="13" t="s">
        <v>349</v>
      </c>
      <c r="K5" s="64" t="str">
        <f>IF(AND($C5&lt;&gt;"",$I5&lt;&gt;"Closed",$I5&lt;&gt;"Complete",$I5&lt;&gt;"",$C5&amp;""=PMIS_Home!$B$4&amp;""),MAX($K$4:K4)+1,"")</f>
        <v/>
      </c>
    </row>
    <row r="6" spans="1:17" ht="135" customHeight="1">
      <c r="A6" s="13"/>
      <c r="B6" s="62"/>
      <c r="C6" s="13"/>
      <c r="D6" s="63"/>
      <c r="E6" s="63"/>
      <c r="F6" s="63"/>
      <c r="G6" s="13"/>
      <c r="H6" s="13"/>
      <c r="I6" s="13"/>
      <c r="J6" s="13"/>
      <c r="K6" s="64" t="str">
        <f>IF(AND($C6&lt;&gt;"",$I6&lt;&gt;"Closed",$I6&lt;&gt;"Complete",$I6&lt;&gt;"",$C6&amp;""=PMIS_Home!$B$4&amp;""),MAX($K$4:K5)+1,"")</f>
        <v/>
      </c>
    </row>
    <row r="7" spans="1:17" ht="135" customHeight="1">
      <c r="A7" s="13"/>
      <c r="B7" s="62"/>
      <c r="C7" s="13"/>
      <c r="D7" s="13"/>
      <c r="E7" s="13"/>
      <c r="F7" s="13"/>
      <c r="G7" s="13"/>
      <c r="H7" s="13"/>
      <c r="I7" s="13"/>
      <c r="J7" s="13"/>
      <c r="K7" s="64" t="str">
        <f>IF(AND($C7&lt;&gt;"",$I7&lt;&gt;"Closed",$I7&lt;&gt;"Complete",$I7&lt;&gt;"",$C7&amp;""=PMIS_Home!$B$4&amp;""),MAX($K$4:K6)+1,"")</f>
        <v/>
      </c>
    </row>
    <row r="8" spans="1:17" ht="135" customHeight="1">
      <c r="A8" s="13"/>
      <c r="B8" s="62"/>
      <c r="C8" s="13"/>
      <c r="D8" s="13"/>
      <c r="E8" s="13"/>
      <c r="F8" s="13"/>
      <c r="G8" s="13"/>
      <c r="H8" s="13"/>
      <c r="I8" s="13"/>
      <c r="J8" s="13"/>
      <c r="K8" s="64" t="str">
        <f>IF(AND($C8&lt;&gt;"",$I8&lt;&gt;"Closed",$I8&lt;&gt;"Complete",$I8&lt;&gt;"",$C8&amp;""=PMIS_Home!$B$4&amp;""),MAX($K$4:K7)+1,"")</f>
        <v/>
      </c>
    </row>
    <row r="9" spans="1:17" ht="135" customHeight="1">
      <c r="A9" s="13"/>
      <c r="B9" s="62"/>
      <c r="C9" s="13"/>
      <c r="D9" s="13"/>
      <c r="E9" s="13"/>
      <c r="F9" s="13"/>
      <c r="G9" s="13"/>
      <c r="H9" s="13"/>
      <c r="I9" s="13"/>
      <c r="J9" s="13"/>
      <c r="K9" s="64" t="str">
        <f>IF(AND($C9&lt;&gt;"",$I9&lt;&gt;"Closed",$I9&lt;&gt;"Complete",$I9&lt;&gt;"",$C9&amp;""=PMIS_Home!$B$4&amp;""),MAX($K$4:K8)+1,"")</f>
        <v/>
      </c>
    </row>
    <row r="10" spans="1:17" ht="135" customHeight="1">
      <c r="A10" s="13"/>
      <c r="B10" s="62"/>
      <c r="C10" s="13"/>
      <c r="D10" s="13"/>
      <c r="E10" s="13"/>
      <c r="F10" s="13"/>
      <c r="G10" s="13"/>
      <c r="H10" s="13"/>
      <c r="I10" s="13"/>
      <c r="J10" s="13"/>
      <c r="K10" s="64" t="str">
        <f>IF(AND($C10&lt;&gt;"",$I10&lt;&gt;"Closed",$I10&lt;&gt;"Complete",$I10&lt;&gt;"",$C10&amp;""=PMIS_Home!$B$4&amp;""),MAX($K$4:K9)+1,"")</f>
        <v/>
      </c>
    </row>
    <row r="11" spans="1:17" ht="135" customHeight="1">
      <c r="A11" s="13"/>
      <c r="B11" s="62"/>
      <c r="C11" s="13"/>
      <c r="D11" s="13"/>
      <c r="E11" s="13"/>
      <c r="F11" s="13"/>
      <c r="G11" s="13"/>
      <c r="H11" s="13"/>
      <c r="I11" s="13"/>
      <c r="J11" s="13"/>
      <c r="K11" s="64" t="str">
        <f>IF(AND($C11&lt;&gt;"",$I11&lt;&gt;"Closed",$I11&lt;&gt;"Complete",$I11&lt;&gt;"",$C11&amp;""=PMIS_Home!$B$4&amp;""),MAX($K$4:K10)+1,"")</f>
        <v/>
      </c>
    </row>
    <row r="12" spans="1:17" ht="135" customHeight="1">
      <c r="A12" s="13"/>
      <c r="B12" s="62"/>
      <c r="C12" s="13"/>
      <c r="D12" s="13"/>
      <c r="E12" s="13"/>
      <c r="F12" s="13"/>
      <c r="G12" s="13"/>
      <c r="H12" s="13"/>
      <c r="I12" s="13"/>
      <c r="J12" s="13"/>
      <c r="K12" s="64" t="str">
        <f>IF(AND($C12&lt;&gt;"",$I12&lt;&gt;"Closed",$I12&lt;&gt;"Complete",$I12&lt;&gt;"",$C12&amp;""=PMIS_Home!$B$4&amp;""),MAX($K$4:K11)+1,"")</f>
        <v/>
      </c>
    </row>
    <row r="13" spans="1:17" ht="135" customHeight="1">
      <c r="A13" s="13"/>
      <c r="B13" s="62"/>
      <c r="C13" s="13"/>
      <c r="D13" s="13"/>
      <c r="E13" s="13"/>
      <c r="F13" s="13"/>
      <c r="G13" s="13"/>
      <c r="H13" s="13"/>
      <c r="I13" s="13"/>
      <c r="J13" s="13"/>
      <c r="K13" s="64" t="str">
        <f>IF(AND($C13&lt;&gt;"",$I13&lt;&gt;"Closed",$I13&lt;&gt;"Complete",$I13&lt;&gt;"",$C13&amp;""=PMIS_Home!$B$4&amp;""),MAX($K$4:K12)+1,"")</f>
        <v/>
      </c>
    </row>
    <row r="14" spans="1:17" ht="135" customHeight="1">
      <c r="A14" s="13"/>
      <c r="B14" s="62"/>
      <c r="C14" s="13"/>
      <c r="D14" s="13"/>
      <c r="E14" s="13"/>
      <c r="F14" s="13"/>
      <c r="G14" s="13"/>
      <c r="H14" s="13"/>
      <c r="I14" s="13"/>
      <c r="J14" s="13"/>
      <c r="K14" s="64" t="str">
        <f>IF(AND($C14&lt;&gt;"",$I14&lt;&gt;"Closed",$I14&lt;&gt;"Complete",$I14&lt;&gt;"",$C14&amp;""=PMIS_Home!$B$4&amp;""),MAX($K$4:K13)+1,"")</f>
        <v/>
      </c>
    </row>
    <row r="15" spans="1:17" ht="135" customHeight="1">
      <c r="A15" s="13"/>
      <c r="B15" s="62"/>
      <c r="C15" s="13"/>
      <c r="D15" s="13"/>
      <c r="E15" s="13"/>
      <c r="F15" s="13"/>
      <c r="G15" s="13"/>
      <c r="H15" s="13"/>
      <c r="I15" s="13"/>
      <c r="J15" s="13"/>
      <c r="K15" s="64" t="str">
        <f>IF(AND($C15&lt;&gt;"",$I15&lt;&gt;"Closed",$I15&lt;&gt;"Complete",$I15&lt;&gt;"",$C15&amp;""=PMIS_Home!$B$4&amp;""),MAX($K$4:K14)+1,"")</f>
        <v/>
      </c>
    </row>
    <row r="16" spans="1:17" ht="135" customHeight="1">
      <c r="A16" s="13"/>
      <c r="B16" s="62"/>
      <c r="C16" s="13"/>
      <c r="D16" s="13"/>
      <c r="E16" s="13"/>
      <c r="F16" s="13"/>
      <c r="G16" s="13"/>
      <c r="H16" s="13"/>
      <c r="I16" s="13"/>
      <c r="J16" s="13"/>
      <c r="K16" s="64" t="str">
        <f>IF(AND($C16&lt;&gt;"",$I16&lt;&gt;"Closed",$I16&lt;&gt;"Complete",$I16&lt;&gt;"",$C16&amp;""=PMIS_Home!$B$4&amp;""),MAX($K$4:K15)+1,"")</f>
        <v/>
      </c>
    </row>
    <row r="17" spans="1:11" ht="135" customHeight="1">
      <c r="A17" s="13"/>
      <c r="B17" s="62"/>
      <c r="C17" s="13"/>
      <c r="D17" s="13"/>
      <c r="E17" s="13"/>
      <c r="F17" s="13"/>
      <c r="G17" s="13"/>
      <c r="H17" s="13"/>
      <c r="I17" s="13"/>
      <c r="J17" s="13"/>
      <c r="K17" s="64" t="str">
        <f>IF(AND($C17&lt;&gt;"",$I17&lt;&gt;"Closed",$I17&lt;&gt;"Complete",$I17&lt;&gt;"",$C17&amp;""=PMIS_Home!$B$4&amp;""),MAX($K$4:K16)+1,"")</f>
        <v/>
      </c>
    </row>
    <row r="18" spans="1:11" ht="135" customHeight="1">
      <c r="A18" s="13"/>
      <c r="B18" s="62"/>
      <c r="C18" s="13"/>
      <c r="D18" s="13"/>
      <c r="E18" s="13"/>
      <c r="F18" s="13"/>
      <c r="G18" s="13"/>
      <c r="H18" s="13"/>
      <c r="I18" s="13"/>
      <c r="J18" s="13"/>
      <c r="K18" s="64" t="str">
        <f>IF(AND($C18&lt;&gt;"",$I18&lt;&gt;"Closed",$I18&lt;&gt;"Complete",$I18&lt;&gt;"",$C18&amp;""=PMIS_Home!$B$4&amp;""),MAX($K$4:K17)+1,"")</f>
        <v/>
      </c>
    </row>
    <row r="19" spans="1:11" ht="135" customHeight="1">
      <c r="A19" s="13"/>
      <c r="B19" s="62"/>
      <c r="C19" s="13"/>
      <c r="D19" s="13"/>
      <c r="E19" s="13"/>
      <c r="F19" s="13"/>
      <c r="G19" s="13"/>
      <c r="H19" s="13"/>
      <c r="I19" s="13"/>
      <c r="J19" s="13"/>
      <c r="K19" s="64" t="str">
        <f>IF(AND($C19&lt;&gt;"",$I19&lt;&gt;"Closed",$I19&lt;&gt;"Complete",$I19&lt;&gt;"",$C19&amp;""=PMIS_Home!$B$4&amp;""),MAX($K$4:K18)+1,"")</f>
        <v/>
      </c>
    </row>
    <row r="20" spans="1:11" ht="135" customHeight="1">
      <c r="A20" s="13"/>
      <c r="B20" s="62"/>
      <c r="C20" s="13"/>
      <c r="D20" s="13"/>
      <c r="E20" s="13"/>
      <c r="F20" s="13"/>
      <c r="G20" s="13"/>
      <c r="H20" s="13"/>
      <c r="I20" s="13"/>
      <c r="J20" s="13"/>
      <c r="K20" s="64" t="str">
        <f>IF(AND($C20&lt;&gt;"",$I20&lt;&gt;"Closed",$I20&lt;&gt;"Complete",$I20&lt;&gt;"",$C20&amp;""=PMIS_Home!$B$4&amp;""),MAX($K$4:K19)+1,"")</f>
        <v/>
      </c>
    </row>
    <row r="21" spans="1:11" ht="135" customHeight="1">
      <c r="A21" s="13"/>
      <c r="B21" s="62"/>
      <c r="C21" s="13"/>
      <c r="D21" s="13"/>
      <c r="E21" s="13"/>
      <c r="F21" s="13"/>
      <c r="G21" s="13"/>
      <c r="H21" s="13"/>
      <c r="I21" s="13"/>
      <c r="J21" s="13"/>
      <c r="K21" s="64" t="str">
        <f>IF(AND($C21&lt;&gt;"",$I21&lt;&gt;"Closed",$I21&lt;&gt;"Complete",$I21&lt;&gt;"",$C21&amp;""=PMIS_Home!$B$4&amp;""),MAX($K$4:K20)+1,"")</f>
        <v/>
      </c>
    </row>
    <row r="22" spans="1:11" ht="135" customHeight="1">
      <c r="A22" s="13"/>
      <c r="B22" s="62"/>
      <c r="C22" s="13"/>
      <c r="D22" s="13"/>
      <c r="E22" s="13"/>
      <c r="F22" s="13"/>
      <c r="G22" s="13"/>
      <c r="H22" s="13"/>
      <c r="I22" s="13"/>
      <c r="J22" s="13"/>
      <c r="K22" s="64" t="str">
        <f>IF(AND($C22&lt;&gt;"",$I22&lt;&gt;"Closed",$I22&lt;&gt;"Complete",$I22&lt;&gt;"",$C22&amp;""=PMIS_Home!$B$4&amp;""),MAX($K$4:K21)+1,"")</f>
        <v/>
      </c>
    </row>
    <row r="23" spans="1:11" ht="135" customHeight="1">
      <c r="A23" s="13"/>
      <c r="B23" s="62"/>
      <c r="C23" s="13"/>
      <c r="D23" s="13"/>
      <c r="E23" s="13"/>
      <c r="F23" s="13"/>
      <c r="G23" s="13"/>
      <c r="H23" s="13"/>
      <c r="I23" s="13"/>
      <c r="J23" s="13"/>
      <c r="K23" s="64" t="str">
        <f>IF(AND($C23&lt;&gt;"",$I23&lt;&gt;"Closed",$I23&lt;&gt;"Complete",$I23&lt;&gt;"",$C23&amp;""=PMIS_Home!$B$4&amp;""),MAX($K$4:K22)+1,"")</f>
        <v/>
      </c>
    </row>
    <row r="24" spans="1:11" ht="135" customHeight="1">
      <c r="A24" s="13"/>
      <c r="B24" s="62"/>
      <c r="C24" s="13"/>
      <c r="D24" s="13"/>
      <c r="E24" s="13"/>
      <c r="F24" s="13"/>
      <c r="G24" s="13"/>
      <c r="H24" s="13"/>
      <c r="I24" s="13"/>
      <c r="J24" s="13"/>
      <c r="K24" s="64" t="str">
        <f>IF(AND($C24&lt;&gt;"",$I24&lt;&gt;"Closed",$I24&lt;&gt;"Complete",$I24&lt;&gt;"",$C24&amp;""=PMIS_Home!$B$4&amp;""),MAX($K$4:K23)+1,"")</f>
        <v/>
      </c>
    </row>
    <row r="25" spans="1:11" ht="135" customHeight="1">
      <c r="A25" s="13"/>
      <c r="B25" s="62"/>
      <c r="C25" s="13"/>
      <c r="D25" s="13"/>
      <c r="E25" s="13"/>
      <c r="F25" s="13"/>
      <c r="G25" s="13"/>
      <c r="H25" s="13"/>
      <c r="I25" s="13"/>
      <c r="J25" s="13"/>
      <c r="K25" s="64" t="str">
        <f>IF(AND($C25&lt;&gt;"",$I25&lt;&gt;"Closed",$I25&lt;&gt;"Complete",$I25&lt;&gt;"",$C25&amp;""=PMIS_Home!$B$4&amp;""),MAX($K$4:K24)+1,"")</f>
        <v/>
      </c>
    </row>
    <row r="26" spans="1:11" ht="135" customHeight="1">
      <c r="A26" s="13"/>
      <c r="B26" s="62"/>
      <c r="C26" s="13"/>
      <c r="D26" s="13"/>
      <c r="E26" s="13"/>
      <c r="F26" s="13"/>
      <c r="G26" s="13"/>
      <c r="H26" s="13"/>
      <c r="I26" s="13"/>
      <c r="J26" s="13"/>
      <c r="K26" s="64" t="str">
        <f>IF(AND($C26&lt;&gt;"",$I26&lt;&gt;"Closed",$I26&lt;&gt;"Complete",$I26&lt;&gt;"",$C26&amp;""=PMIS_Home!$B$4&amp;""),MAX($K$4:K25)+1,"")</f>
        <v/>
      </c>
    </row>
    <row r="27" spans="1:11" ht="135" customHeight="1">
      <c r="A27" s="13"/>
      <c r="B27" s="62"/>
      <c r="C27" s="13"/>
      <c r="D27" s="13"/>
      <c r="E27" s="13"/>
      <c r="F27" s="13"/>
      <c r="G27" s="13"/>
      <c r="H27" s="13"/>
      <c r="I27" s="13"/>
      <c r="J27" s="13"/>
      <c r="K27" s="64" t="str">
        <f>IF(AND($C27&lt;&gt;"",$I27&lt;&gt;"Closed",$I27&lt;&gt;"Complete",$I27&lt;&gt;"",$C27&amp;""=PMIS_Home!$B$4&amp;""),MAX($K$4:K26)+1,"")</f>
        <v/>
      </c>
    </row>
    <row r="28" spans="1:11" ht="135" customHeight="1">
      <c r="A28" s="13"/>
      <c r="B28" s="62"/>
      <c r="C28" s="13"/>
      <c r="D28" s="13"/>
      <c r="E28" s="13"/>
      <c r="F28" s="13"/>
      <c r="G28" s="13"/>
      <c r="H28" s="13"/>
      <c r="I28" s="13"/>
      <c r="J28" s="13"/>
      <c r="K28" s="64" t="str">
        <f>IF(AND($C28&lt;&gt;"",$I28&lt;&gt;"Closed",$I28&lt;&gt;"Complete",$I28&lt;&gt;"",$C28&amp;""=PMIS_Home!$B$4&amp;""),MAX($K$4:K27)+1,"")</f>
        <v/>
      </c>
    </row>
    <row r="29" spans="1:11" ht="135" customHeight="1">
      <c r="A29" s="13"/>
      <c r="B29" s="62"/>
      <c r="C29" s="13"/>
      <c r="D29" s="13"/>
      <c r="E29" s="13"/>
      <c r="F29" s="13"/>
      <c r="G29" s="13"/>
      <c r="H29" s="13"/>
      <c r="I29" s="13"/>
      <c r="J29" s="13"/>
      <c r="K29" s="64" t="str">
        <f>IF(AND($C29&lt;&gt;"",$I29&lt;&gt;"Closed",$I29&lt;&gt;"Complete",$I29&lt;&gt;"",$C29&amp;""=PMIS_Home!$B$4&amp;""),MAX($K$4:K28)+1,"")</f>
        <v/>
      </c>
    </row>
    <row r="30" spans="1:11" ht="135" customHeight="1">
      <c r="A30" s="13"/>
      <c r="B30" s="62"/>
      <c r="C30" s="13"/>
      <c r="D30" s="13"/>
      <c r="E30" s="13"/>
      <c r="F30" s="13"/>
      <c r="G30" s="13"/>
      <c r="H30" s="13"/>
      <c r="I30" s="13"/>
      <c r="J30" s="13"/>
      <c r="K30" s="64" t="str">
        <f>IF(AND($C30&lt;&gt;"",$I30&lt;&gt;"Closed",$I30&lt;&gt;"Complete",$I30&lt;&gt;"",$C30&amp;""=PMIS_Home!$B$4&amp;""),MAX($K$4:K29)+1,"")</f>
        <v/>
      </c>
    </row>
    <row r="31" spans="1:11" ht="135" customHeight="1">
      <c r="A31" s="13"/>
      <c r="B31" s="62"/>
      <c r="C31" s="13"/>
      <c r="D31" s="13"/>
      <c r="E31" s="13"/>
      <c r="F31" s="13"/>
      <c r="G31" s="13"/>
      <c r="H31" s="13"/>
      <c r="I31" s="13"/>
      <c r="J31" s="13"/>
      <c r="K31" s="64" t="str">
        <f>IF(AND($C31&lt;&gt;"",$I31&lt;&gt;"Closed",$I31&lt;&gt;"Complete",$I31&lt;&gt;"",$C31&amp;""=PMIS_Home!$B$4&amp;""),MAX($K$4:K30)+1,"")</f>
        <v/>
      </c>
    </row>
    <row r="32" spans="1:11" ht="135" customHeight="1">
      <c r="A32" s="13"/>
      <c r="B32" s="62"/>
      <c r="C32" s="13"/>
      <c r="D32" s="13"/>
      <c r="E32" s="13"/>
      <c r="F32" s="13"/>
      <c r="G32" s="13"/>
      <c r="H32" s="13"/>
      <c r="I32" s="13"/>
      <c r="J32" s="13"/>
      <c r="K32" s="64" t="str">
        <f>IF(AND($C32&lt;&gt;"",$I32&lt;&gt;"Closed",$I32&lt;&gt;"Complete",$I32&lt;&gt;"",$C32&amp;""=PMIS_Home!$B$4&amp;""),MAX($K$4:K31)+1,"")</f>
        <v/>
      </c>
    </row>
    <row r="33" spans="1:11" ht="135" customHeight="1">
      <c r="A33" s="13"/>
      <c r="B33" s="62"/>
      <c r="C33" s="13"/>
      <c r="D33" s="13"/>
      <c r="E33" s="13"/>
      <c r="F33" s="13"/>
      <c r="G33" s="13"/>
      <c r="H33" s="13"/>
      <c r="I33" s="13"/>
      <c r="J33" s="13"/>
      <c r="K33" s="64" t="str">
        <f>IF(AND($C33&lt;&gt;"",$I33&lt;&gt;"Closed",$I33&lt;&gt;"Complete",$I33&lt;&gt;"",$C33&amp;""=PMIS_Home!$B$4&amp;""),MAX($K$4:K32)+1,"")</f>
        <v/>
      </c>
    </row>
    <row r="34" spans="1:11" ht="135" customHeight="1">
      <c r="A34" s="13"/>
      <c r="B34" s="62"/>
      <c r="C34" s="13"/>
      <c r="D34" s="13"/>
      <c r="E34" s="13"/>
      <c r="F34" s="13"/>
      <c r="G34" s="13"/>
      <c r="H34" s="13"/>
      <c r="I34" s="13"/>
      <c r="J34" s="13"/>
      <c r="K34" s="64" t="str">
        <f>IF(AND($C34&lt;&gt;"",$I34&lt;&gt;"Closed",$I34&lt;&gt;"Complete",$I34&lt;&gt;"",$C34&amp;""=PMIS_Home!$B$4&amp;""),MAX($K$4:K33)+1,"")</f>
        <v/>
      </c>
    </row>
    <row r="35" spans="1:11" ht="135" customHeight="1">
      <c r="A35" s="13"/>
      <c r="B35" s="62"/>
      <c r="C35" s="13"/>
      <c r="D35" s="13"/>
      <c r="E35" s="13"/>
      <c r="F35" s="13"/>
      <c r="G35" s="13"/>
      <c r="H35" s="13"/>
      <c r="I35" s="13"/>
      <c r="J35" s="13"/>
      <c r="K35" s="64" t="str">
        <f>IF(AND($C35&lt;&gt;"",$I35&lt;&gt;"Closed",$I35&lt;&gt;"Complete",$I35&lt;&gt;"",$C35&amp;""=PMIS_Home!$B$4&amp;""),MAX($K$4:K34)+1,"")</f>
        <v/>
      </c>
    </row>
    <row r="36" spans="1:11" ht="135" customHeight="1">
      <c r="A36" s="13"/>
      <c r="B36" s="62"/>
      <c r="C36" s="13"/>
      <c r="D36" s="13"/>
      <c r="E36" s="13"/>
      <c r="F36" s="13"/>
      <c r="G36" s="13"/>
      <c r="H36" s="13"/>
      <c r="I36" s="13"/>
      <c r="J36" s="13"/>
      <c r="K36" s="64" t="str">
        <f>IF(AND($C36&lt;&gt;"",$I36&lt;&gt;"Closed",$I36&lt;&gt;"Complete",$I36&lt;&gt;"",$C36&amp;""=PMIS_Home!$B$4&amp;""),MAX($K$4:K35)+1,"")</f>
        <v/>
      </c>
    </row>
    <row r="37" spans="1:11" ht="135" customHeight="1">
      <c r="A37" s="13"/>
      <c r="B37" s="62"/>
      <c r="C37" s="13"/>
      <c r="D37" s="13"/>
      <c r="E37" s="13"/>
      <c r="F37" s="13"/>
      <c r="G37" s="13"/>
      <c r="H37" s="13"/>
      <c r="I37" s="13"/>
      <c r="J37" s="13"/>
      <c r="K37" s="64" t="str">
        <f>IF(AND($C37&lt;&gt;"",$I37&lt;&gt;"Closed",$I37&lt;&gt;"Complete",$I37&lt;&gt;"",$C37&amp;""=PMIS_Home!$B$4&amp;""),MAX($K$4:K36)+1,"")</f>
        <v/>
      </c>
    </row>
    <row r="38" spans="1:11" ht="135" customHeight="1">
      <c r="A38" s="13"/>
      <c r="B38" s="62"/>
      <c r="C38" s="13"/>
      <c r="D38" s="13"/>
      <c r="E38" s="13"/>
      <c r="F38" s="13"/>
      <c r="G38" s="13"/>
      <c r="H38" s="13"/>
      <c r="I38" s="13"/>
      <c r="J38" s="13"/>
      <c r="K38" s="64" t="str">
        <f>IF(AND($C38&lt;&gt;"",$I38&lt;&gt;"Closed",$I38&lt;&gt;"Complete",$I38&lt;&gt;"",$C38&amp;""=PMIS_Home!$B$4&amp;""),MAX($K$4:K37)+1,"")</f>
        <v/>
      </c>
    </row>
    <row r="39" spans="1:11" ht="135" customHeight="1">
      <c r="A39" s="13"/>
      <c r="B39" s="62"/>
      <c r="C39" s="13"/>
      <c r="D39" s="13"/>
      <c r="E39" s="13"/>
      <c r="F39" s="13"/>
      <c r="G39" s="13"/>
      <c r="H39" s="13"/>
      <c r="I39" s="13"/>
      <c r="J39" s="13"/>
      <c r="K39" s="64" t="str">
        <f>IF(AND($C39&lt;&gt;"",$I39&lt;&gt;"Closed",$I39&lt;&gt;"Complete",$I39&lt;&gt;"",$C39&amp;""=PMIS_Home!$B$4&amp;""),MAX($K$4:K38)+1,"")</f>
        <v/>
      </c>
    </row>
    <row r="40" spans="1:11" ht="135" customHeight="1">
      <c r="A40" s="13"/>
      <c r="B40" s="62"/>
      <c r="C40" s="13"/>
      <c r="D40" s="13"/>
      <c r="E40" s="13"/>
      <c r="F40" s="13"/>
      <c r="G40" s="13"/>
      <c r="H40" s="13"/>
      <c r="I40" s="13"/>
      <c r="J40" s="13"/>
      <c r="K40" s="64" t="str">
        <f>IF(AND($C40&lt;&gt;"",$I40&lt;&gt;"Closed",$I40&lt;&gt;"Complete",$I40&lt;&gt;"",$C40&amp;""=PMIS_Home!$B$4&amp;""),MAX($K$4:K39)+1,"")</f>
        <v/>
      </c>
    </row>
    <row r="41" spans="1:11" ht="135" customHeight="1">
      <c r="A41" s="13"/>
      <c r="B41" s="62"/>
      <c r="C41" s="13"/>
      <c r="D41" s="13"/>
      <c r="E41" s="13"/>
      <c r="F41" s="13"/>
      <c r="G41" s="13"/>
      <c r="H41" s="13"/>
      <c r="I41" s="13"/>
      <c r="J41" s="13"/>
      <c r="K41" s="64" t="str">
        <f>IF(AND($C41&lt;&gt;"",$I41&lt;&gt;"Closed",$I41&lt;&gt;"Complete",$I41&lt;&gt;"",$C41&amp;""=PMIS_Home!$B$4&amp;""),MAX($K$4:K40)+1,"")</f>
        <v/>
      </c>
    </row>
    <row r="42" spans="1:11" ht="135" customHeight="1">
      <c r="A42" s="13"/>
      <c r="B42" s="62"/>
      <c r="C42" s="13"/>
      <c r="D42" s="13"/>
      <c r="E42" s="13"/>
      <c r="F42" s="13"/>
      <c r="G42" s="13"/>
      <c r="H42" s="13"/>
      <c r="I42" s="13"/>
      <c r="J42" s="13"/>
      <c r="K42" s="64" t="str">
        <f>IF(AND($C42&lt;&gt;"",$I42&lt;&gt;"Closed",$I42&lt;&gt;"Complete",$I42&lt;&gt;"",$C42&amp;""=PMIS_Home!$B$4&amp;""),MAX($K$4:K41)+1,"")</f>
        <v/>
      </c>
    </row>
    <row r="43" spans="1:11" ht="135" customHeight="1">
      <c r="A43" s="13"/>
      <c r="B43" s="62"/>
      <c r="C43" s="13"/>
      <c r="D43" s="13"/>
      <c r="E43" s="13"/>
      <c r="F43" s="13"/>
      <c r="G43" s="13"/>
      <c r="H43" s="13"/>
      <c r="I43" s="13"/>
      <c r="J43" s="13"/>
      <c r="K43" s="64" t="str">
        <f>IF(AND($C43&lt;&gt;"",$I43&lt;&gt;"Closed",$I43&lt;&gt;"Complete",$I43&lt;&gt;"",$C43&amp;""=PMIS_Home!$B$4&amp;""),MAX($K$4:K42)+1,"")</f>
        <v/>
      </c>
    </row>
    <row r="44" spans="1:11" ht="135" customHeight="1">
      <c r="A44" s="13"/>
      <c r="B44" s="62"/>
      <c r="C44" s="13"/>
      <c r="D44" s="13"/>
      <c r="E44" s="13"/>
      <c r="F44" s="13"/>
      <c r="G44" s="13"/>
      <c r="H44" s="13"/>
      <c r="I44" s="13"/>
      <c r="J44" s="13"/>
      <c r="K44" s="64" t="str">
        <f>IF(AND($C44&lt;&gt;"",$I44&lt;&gt;"Closed",$I44&lt;&gt;"Complete",$I44&lt;&gt;"",$C44&amp;""=PMIS_Home!$B$4&amp;""),MAX($K$4:K43)+1,"")</f>
        <v/>
      </c>
    </row>
    <row r="45" spans="1:11" ht="135" customHeight="1">
      <c r="A45" s="13"/>
      <c r="B45" s="62"/>
      <c r="C45" s="13"/>
      <c r="D45" s="13"/>
      <c r="E45" s="13"/>
      <c r="F45" s="13"/>
      <c r="G45" s="13"/>
      <c r="H45" s="13"/>
      <c r="I45" s="13"/>
      <c r="J45" s="13"/>
      <c r="K45" s="64" t="str">
        <f>IF(AND($C45&lt;&gt;"",$I45&lt;&gt;"Closed",$I45&lt;&gt;"Complete",$I45&lt;&gt;"",$C45&amp;""=PMIS_Home!$B$4&amp;""),MAX($K$4:K44)+1,"")</f>
        <v/>
      </c>
    </row>
    <row r="46" spans="1:11" ht="135" customHeight="1">
      <c r="A46" s="13"/>
      <c r="B46" s="62"/>
      <c r="C46" s="13"/>
      <c r="D46" s="13"/>
      <c r="E46" s="13"/>
      <c r="F46" s="13"/>
      <c r="G46" s="13"/>
      <c r="H46" s="13"/>
      <c r="I46" s="13"/>
      <c r="J46" s="13"/>
      <c r="K46" s="64" t="str">
        <f>IF(AND($C46&lt;&gt;"",$I46&lt;&gt;"Closed",$I46&lt;&gt;"Complete",$I46&lt;&gt;"",$C46&amp;""=PMIS_Home!$B$4&amp;""),MAX($K$4:K45)+1,"")</f>
        <v/>
      </c>
    </row>
    <row r="47" spans="1:11" ht="135" customHeight="1">
      <c r="A47" s="13"/>
      <c r="B47" s="62"/>
      <c r="C47" s="13"/>
      <c r="D47" s="13"/>
      <c r="E47" s="13"/>
      <c r="F47" s="13"/>
      <c r="G47" s="13"/>
      <c r="H47" s="13"/>
      <c r="I47" s="13"/>
      <c r="J47" s="13"/>
      <c r="K47" s="64" t="str">
        <f>IF(AND($C47&lt;&gt;"",$I47&lt;&gt;"Closed",$I47&lt;&gt;"Complete",$I47&lt;&gt;"",$C47&amp;""=PMIS_Home!$B$4&amp;""),MAX($K$4:K46)+1,"")</f>
        <v/>
      </c>
    </row>
    <row r="48" spans="1:11" ht="135" customHeight="1">
      <c r="A48" s="13"/>
      <c r="B48" s="62"/>
      <c r="C48" s="13"/>
      <c r="D48" s="13"/>
      <c r="E48" s="13"/>
      <c r="F48" s="13"/>
      <c r="G48" s="13"/>
      <c r="H48" s="13"/>
      <c r="I48" s="13"/>
      <c r="J48" s="13"/>
      <c r="K48" s="64" t="str">
        <f>IF(AND($C48&lt;&gt;"",$I48&lt;&gt;"Closed",$I48&lt;&gt;"Complete",$I48&lt;&gt;"",$C48&amp;""=PMIS_Home!$B$4&amp;""),MAX($K$4:K47)+1,"")</f>
        <v/>
      </c>
    </row>
    <row r="49" spans="1:11" ht="135" customHeight="1">
      <c r="A49" s="13"/>
      <c r="B49" s="62"/>
      <c r="C49" s="13"/>
      <c r="D49" s="13"/>
      <c r="E49" s="13"/>
      <c r="F49" s="13"/>
      <c r="G49" s="13"/>
      <c r="H49" s="13"/>
      <c r="I49" s="13"/>
      <c r="J49" s="13"/>
      <c r="K49" s="64" t="str">
        <f>IF(AND($C49&lt;&gt;"",$I49&lt;&gt;"Closed",$I49&lt;&gt;"Complete",$I49&lt;&gt;"",$C49&amp;""=PMIS_Home!$B$4&amp;""),MAX($K$4:K48)+1,"")</f>
        <v/>
      </c>
    </row>
    <row r="50" spans="1:11" ht="135" customHeight="1">
      <c r="A50" s="13"/>
      <c r="B50" s="62"/>
      <c r="C50" s="13"/>
      <c r="D50" s="13"/>
      <c r="E50" s="13"/>
      <c r="F50" s="13"/>
      <c r="G50" s="13"/>
      <c r="H50" s="13"/>
      <c r="I50" s="13"/>
      <c r="J50" s="13"/>
      <c r="K50" s="64" t="str">
        <f>IF(AND($C50&lt;&gt;"",$I50&lt;&gt;"Closed",$I50&lt;&gt;"Complete",$I50&lt;&gt;"",$C50&amp;""=PMIS_Home!$B$4&amp;""),MAX($K$4:K49)+1,"")</f>
        <v/>
      </c>
    </row>
    <row r="51" spans="1:11" ht="135" customHeight="1">
      <c r="A51" s="13"/>
      <c r="B51" s="62"/>
      <c r="C51" s="13"/>
      <c r="D51" s="13"/>
      <c r="E51" s="13"/>
      <c r="F51" s="13"/>
      <c r="G51" s="13"/>
      <c r="H51" s="13"/>
      <c r="I51" s="13"/>
      <c r="J51" s="13"/>
      <c r="K51" s="64" t="str">
        <f>IF(AND($C51&lt;&gt;"",$I51&lt;&gt;"Closed",$I51&lt;&gt;"Complete",$I51&lt;&gt;"",$C51&amp;""=PMIS_Home!$B$4&amp;""),MAX($K$4:K50)+1,"")</f>
        <v/>
      </c>
    </row>
    <row r="52" spans="1:11" ht="135" customHeight="1">
      <c r="A52" s="13"/>
      <c r="B52" s="62"/>
      <c r="C52" s="13"/>
      <c r="D52" s="13"/>
      <c r="E52" s="13"/>
      <c r="F52" s="13"/>
      <c r="G52" s="13"/>
      <c r="H52" s="13"/>
      <c r="I52" s="13"/>
      <c r="J52" s="13"/>
      <c r="K52" s="64" t="str">
        <f>IF(AND($C52&lt;&gt;"",$I52&lt;&gt;"Closed",$I52&lt;&gt;"Complete",$I52&lt;&gt;"",$C52&amp;""=PMIS_Home!$B$4&amp;""),MAX($K$4:K51)+1,"")</f>
        <v/>
      </c>
    </row>
    <row r="53" spans="1:11" ht="135" customHeight="1">
      <c r="A53" s="13"/>
      <c r="B53" s="62"/>
      <c r="C53" s="13"/>
      <c r="D53" s="13"/>
      <c r="E53" s="13"/>
      <c r="F53" s="13"/>
      <c r="G53" s="13"/>
      <c r="H53" s="13"/>
      <c r="I53" s="13"/>
      <c r="J53" s="13"/>
      <c r="K53" s="64" t="str">
        <f>IF(AND($C53&lt;&gt;"",$I53&lt;&gt;"Closed",$I53&lt;&gt;"Complete",$I53&lt;&gt;"",$C53&amp;""=PMIS_Home!$B$4&amp;""),MAX($K$4:K52)+1,"")</f>
        <v/>
      </c>
    </row>
    <row r="54" spans="1:11" ht="135" customHeight="1">
      <c r="A54" s="13"/>
      <c r="B54" s="62"/>
      <c r="C54" s="13"/>
      <c r="D54" s="13"/>
      <c r="E54" s="13"/>
      <c r="F54" s="13"/>
      <c r="G54" s="13"/>
      <c r="H54" s="13"/>
      <c r="I54" s="13"/>
      <c r="J54" s="13"/>
      <c r="K54" s="64" t="str">
        <f>IF(AND($C54&lt;&gt;"",$I54&lt;&gt;"Closed",$I54&lt;&gt;"Complete",$I54&lt;&gt;"",$C54&amp;""=PMIS_Home!$B$4&amp;""),MAX($K$4:K53)+1,"")</f>
        <v/>
      </c>
    </row>
    <row r="55" spans="1:11" ht="135" customHeight="1">
      <c r="A55" s="13"/>
      <c r="B55" s="62"/>
      <c r="C55" s="13"/>
      <c r="D55" s="13"/>
      <c r="E55" s="13"/>
      <c r="F55" s="13"/>
      <c r="G55" s="13"/>
      <c r="H55" s="13"/>
      <c r="I55" s="13"/>
      <c r="J55" s="13"/>
      <c r="K55" s="64" t="str">
        <f>IF(AND($C55&lt;&gt;"",$I55&lt;&gt;"Closed",$I55&lt;&gt;"Complete",$I55&lt;&gt;"",$C55&amp;""=PMIS_Home!$B$4&amp;""),MAX($K$4:K54)+1,"")</f>
        <v/>
      </c>
    </row>
    <row r="56" spans="1:11" ht="135" customHeight="1">
      <c r="A56" s="13"/>
      <c r="B56" s="62"/>
      <c r="C56" s="13"/>
      <c r="D56" s="13"/>
      <c r="E56" s="13"/>
      <c r="F56" s="13"/>
      <c r="G56" s="13"/>
      <c r="H56" s="13"/>
      <c r="I56" s="13"/>
      <c r="J56" s="13"/>
      <c r="K56" s="64" t="str">
        <f>IF(AND($C56&lt;&gt;"",$I56&lt;&gt;"Closed",$I56&lt;&gt;"Complete",$I56&lt;&gt;"",$C56&amp;""=PMIS_Home!$B$4&amp;""),MAX($K$4:K55)+1,"")</f>
        <v/>
      </c>
    </row>
    <row r="57" spans="1:11" ht="135" customHeight="1">
      <c r="A57" s="13"/>
      <c r="B57" s="62"/>
      <c r="C57" s="13"/>
      <c r="D57" s="13"/>
      <c r="E57" s="13"/>
      <c r="F57" s="13"/>
      <c r="G57" s="13"/>
      <c r="H57" s="13"/>
      <c r="I57" s="13"/>
      <c r="J57" s="13"/>
      <c r="K57" s="64" t="str">
        <f>IF(AND($C57&lt;&gt;"",$I57&lt;&gt;"Closed",$I57&lt;&gt;"Complete",$I57&lt;&gt;"",$C57&amp;""=PMIS_Home!$B$4&amp;""),MAX($K$4:K56)+1,"")</f>
        <v/>
      </c>
    </row>
    <row r="58" spans="1:11" ht="135" customHeight="1">
      <c r="A58" s="13"/>
      <c r="B58" s="62"/>
      <c r="C58" s="13"/>
      <c r="D58" s="13"/>
      <c r="E58" s="13"/>
      <c r="F58" s="13"/>
      <c r="G58" s="13"/>
      <c r="H58" s="13"/>
      <c r="I58" s="13"/>
      <c r="J58" s="13"/>
      <c r="K58" s="64" t="str">
        <f>IF(AND($C58&lt;&gt;"",$I58&lt;&gt;"Closed",$I58&lt;&gt;"Complete",$I58&lt;&gt;"",$C58&amp;""=PMIS_Home!$B$4&amp;""),MAX($K$4:K57)+1,"")</f>
        <v/>
      </c>
    </row>
    <row r="59" spans="1:11" ht="135" customHeight="1">
      <c r="A59" s="13"/>
      <c r="B59" s="62"/>
      <c r="C59" s="13"/>
      <c r="D59" s="13"/>
      <c r="E59" s="13"/>
      <c r="F59" s="13"/>
      <c r="G59" s="13"/>
      <c r="H59" s="13"/>
      <c r="I59" s="13"/>
      <c r="J59" s="13"/>
      <c r="K59" s="64" t="str">
        <f>IF(AND($C59&lt;&gt;"",$I59&lt;&gt;"Closed",$I59&lt;&gt;"Complete",$I59&lt;&gt;"",$C59&amp;""=PMIS_Home!$B$4&amp;""),MAX($K$4:K58)+1,"")</f>
        <v/>
      </c>
    </row>
    <row r="60" spans="1:11" ht="135" customHeight="1">
      <c r="A60" s="13"/>
      <c r="B60" s="62"/>
      <c r="C60" s="13"/>
      <c r="D60" s="13"/>
      <c r="E60" s="13"/>
      <c r="F60" s="13"/>
      <c r="G60" s="13"/>
      <c r="H60" s="13"/>
      <c r="I60" s="13"/>
      <c r="J60" s="13"/>
      <c r="K60" s="64" t="str">
        <f>IF(AND($C60&lt;&gt;"",$I60&lt;&gt;"Closed",$I60&lt;&gt;"Complete",$I60&lt;&gt;"",$C60&amp;""=PMIS_Home!$B$4&amp;""),MAX($K$4:K59)+1,"")</f>
        <v/>
      </c>
    </row>
    <row r="61" spans="1:11" ht="135" customHeight="1">
      <c r="A61" s="13"/>
      <c r="B61" s="62"/>
      <c r="C61" s="13"/>
      <c r="D61" s="13"/>
      <c r="E61" s="13"/>
      <c r="F61" s="13"/>
      <c r="G61" s="13"/>
      <c r="H61" s="13"/>
      <c r="I61" s="13"/>
      <c r="J61" s="13"/>
      <c r="K61" s="64" t="str">
        <f>IF(AND($C61&lt;&gt;"",$I61&lt;&gt;"Closed",$I61&lt;&gt;"Complete",$I61&lt;&gt;"",$C61&amp;""=PMIS_Home!$B$4&amp;""),MAX($K$4:K60)+1,"")</f>
        <v/>
      </c>
    </row>
    <row r="62" spans="1:11" ht="135" customHeight="1">
      <c r="A62" s="13"/>
      <c r="B62" s="62"/>
      <c r="C62" s="13"/>
      <c r="D62" s="13"/>
      <c r="E62" s="13"/>
      <c r="F62" s="13"/>
      <c r="G62" s="13"/>
      <c r="H62" s="13"/>
      <c r="I62" s="13"/>
      <c r="J62" s="13"/>
      <c r="K62" s="64" t="str">
        <f>IF(AND($C62&lt;&gt;"",$I62&lt;&gt;"Closed",$I62&lt;&gt;"Complete",$I62&lt;&gt;"",$C62&amp;""=PMIS_Home!$B$4&amp;""),MAX($K$4:K61)+1,"")</f>
        <v/>
      </c>
    </row>
    <row r="63" spans="1:11" ht="135" customHeight="1">
      <c r="A63" s="13"/>
      <c r="B63" s="62"/>
      <c r="C63" s="13"/>
      <c r="D63" s="13"/>
      <c r="E63" s="13"/>
      <c r="F63" s="13"/>
      <c r="G63" s="13"/>
      <c r="H63" s="13"/>
      <c r="I63" s="13"/>
      <c r="J63" s="13"/>
      <c r="K63" s="64" t="str">
        <f>IF(AND($C63&lt;&gt;"",$I63&lt;&gt;"Closed",$I63&lt;&gt;"Complete",$I63&lt;&gt;"",$C63&amp;""=PMIS_Home!$B$4&amp;""),MAX($K$4:K62)+1,"")</f>
        <v/>
      </c>
    </row>
    <row r="64" spans="1:11" ht="135" customHeight="1">
      <c r="A64" s="13"/>
      <c r="B64" s="62"/>
      <c r="C64" s="13"/>
      <c r="D64" s="13"/>
      <c r="E64" s="13"/>
      <c r="F64" s="13"/>
      <c r="G64" s="13"/>
      <c r="H64" s="13"/>
      <c r="I64" s="13"/>
      <c r="J64" s="13"/>
      <c r="K64" s="64" t="str">
        <f>IF(AND($C64&lt;&gt;"",$I64&lt;&gt;"Closed",$I64&lt;&gt;"Complete",$I64&lt;&gt;"",$C64&amp;""=PMIS_Home!$B$4&amp;""),MAX($K$4:K63)+1,"")</f>
        <v/>
      </c>
    </row>
    <row r="65" spans="1:11" ht="135" customHeight="1">
      <c r="A65" s="13"/>
      <c r="B65" s="62"/>
      <c r="C65" s="13"/>
      <c r="D65" s="13"/>
      <c r="E65" s="13"/>
      <c r="F65" s="13"/>
      <c r="G65" s="13"/>
      <c r="H65" s="13"/>
      <c r="I65" s="13"/>
      <c r="J65" s="13"/>
      <c r="K65" s="64" t="str">
        <f>IF(AND($C65&lt;&gt;"",$I65&lt;&gt;"Closed",$I65&lt;&gt;"Complete",$I65&lt;&gt;"",$C65&amp;""=PMIS_Home!$B$4&amp;""),MAX($K$4:K64)+1,"")</f>
        <v/>
      </c>
    </row>
    <row r="66" spans="1:11" ht="135" customHeight="1">
      <c r="A66" s="13"/>
      <c r="B66" s="62"/>
      <c r="C66" s="13"/>
      <c r="D66" s="13"/>
      <c r="E66" s="13"/>
      <c r="F66" s="13"/>
      <c r="G66" s="13"/>
      <c r="H66" s="13"/>
      <c r="I66" s="13"/>
      <c r="J66" s="13"/>
      <c r="K66" s="64" t="str">
        <f>IF(AND($C66&lt;&gt;"",$I66&lt;&gt;"Closed",$I66&lt;&gt;"Complete",$I66&lt;&gt;"",$C66&amp;""=PMIS_Home!$B$4&amp;""),MAX($K$4:K65)+1,"")</f>
        <v/>
      </c>
    </row>
    <row r="67" spans="1:11" ht="135" customHeight="1">
      <c r="A67" s="13"/>
      <c r="B67" s="62"/>
      <c r="C67" s="13"/>
      <c r="D67" s="13"/>
      <c r="E67" s="13"/>
      <c r="F67" s="13"/>
      <c r="G67" s="13"/>
      <c r="H67" s="13"/>
      <c r="I67" s="13"/>
      <c r="J67" s="13"/>
      <c r="K67" s="64" t="str">
        <f>IF(AND($C67&lt;&gt;"",$I67&lt;&gt;"Closed",$I67&lt;&gt;"Complete",$I67&lt;&gt;"",$C67&amp;""=PMIS_Home!$B$4&amp;""),MAX($K$4:K66)+1,"")</f>
        <v/>
      </c>
    </row>
    <row r="68" spans="1:11" ht="135" customHeight="1">
      <c r="A68" s="13"/>
      <c r="B68" s="62"/>
      <c r="C68" s="13"/>
      <c r="D68" s="13"/>
      <c r="E68" s="13"/>
      <c r="F68" s="13"/>
      <c r="G68" s="13"/>
      <c r="H68" s="13"/>
      <c r="I68" s="13"/>
      <c r="J68" s="13"/>
      <c r="K68" s="64" t="str">
        <f>IF(AND($C68&lt;&gt;"",$I68&lt;&gt;"Closed",$I68&lt;&gt;"Complete",$I68&lt;&gt;"",$C68&amp;""=PMIS_Home!$B$4&amp;""),MAX($K$4:K67)+1,"")</f>
        <v/>
      </c>
    </row>
    <row r="69" spans="1:11" ht="135" customHeight="1">
      <c r="A69" s="13"/>
      <c r="B69" s="62"/>
      <c r="C69" s="13"/>
      <c r="D69" s="13"/>
      <c r="E69" s="13"/>
      <c r="F69" s="13"/>
      <c r="G69" s="13"/>
      <c r="H69" s="13"/>
      <c r="I69" s="13"/>
      <c r="J69" s="13"/>
      <c r="K69" s="64" t="str">
        <f>IF(AND($C69&lt;&gt;"",$I69&lt;&gt;"Closed",$I69&lt;&gt;"Complete",$I69&lt;&gt;"",$C69&amp;""=PMIS_Home!$B$4&amp;""),MAX($K$4:K68)+1,"")</f>
        <v/>
      </c>
    </row>
    <row r="70" spans="1:11" ht="135" customHeight="1">
      <c r="A70" s="13"/>
      <c r="B70" s="62"/>
      <c r="C70" s="13"/>
      <c r="D70" s="13"/>
      <c r="E70" s="13"/>
      <c r="F70" s="13"/>
      <c r="G70" s="13"/>
      <c r="H70" s="13"/>
      <c r="I70" s="13"/>
      <c r="J70" s="13"/>
      <c r="K70" s="64" t="str">
        <f>IF(AND($C70&lt;&gt;"",$I70&lt;&gt;"Closed",$I70&lt;&gt;"Complete",$I70&lt;&gt;"",$C70&amp;""=PMIS_Home!$B$4&amp;""),MAX($K$4:K69)+1,"")</f>
        <v/>
      </c>
    </row>
    <row r="71" spans="1:11" ht="135" customHeight="1">
      <c r="A71" s="13"/>
      <c r="B71" s="62"/>
      <c r="C71" s="13"/>
      <c r="D71" s="13"/>
      <c r="E71" s="13"/>
      <c r="F71" s="13"/>
      <c r="G71" s="13"/>
      <c r="H71" s="13"/>
      <c r="I71" s="13"/>
      <c r="J71" s="13"/>
      <c r="K71" s="64" t="str">
        <f>IF(AND($C71&lt;&gt;"",$I71&lt;&gt;"Closed",$I71&lt;&gt;"Complete",$I71&lt;&gt;"",$C71&amp;""=PMIS_Home!$B$4&amp;""),MAX($K$4:K70)+1,"")</f>
        <v/>
      </c>
    </row>
    <row r="72" spans="1:11" ht="135" customHeight="1">
      <c r="A72" s="13"/>
      <c r="B72" s="62"/>
      <c r="C72" s="13"/>
      <c r="D72" s="13"/>
      <c r="E72" s="13"/>
      <c r="F72" s="13"/>
      <c r="G72" s="13"/>
      <c r="H72" s="13"/>
      <c r="I72" s="13"/>
      <c r="J72" s="13"/>
      <c r="K72" s="64" t="str">
        <f>IF(AND($C72&lt;&gt;"",$I72&lt;&gt;"Closed",$I72&lt;&gt;"Complete",$I72&lt;&gt;"",$C72&amp;""=PMIS_Home!$B$4&amp;""),MAX($K$4:K71)+1,"")</f>
        <v/>
      </c>
    </row>
    <row r="73" spans="1:11" ht="135" customHeight="1">
      <c r="A73" s="13"/>
      <c r="B73" s="62"/>
      <c r="C73" s="13"/>
      <c r="D73" s="13"/>
      <c r="E73" s="13"/>
      <c r="F73" s="13"/>
      <c r="G73" s="13"/>
      <c r="H73" s="13"/>
      <c r="I73" s="13"/>
      <c r="J73" s="13"/>
      <c r="K73" s="64" t="str">
        <f>IF(AND($C73&lt;&gt;"",$I73&lt;&gt;"Closed",$I73&lt;&gt;"Complete",$I73&lt;&gt;"",$C73&amp;""=PMIS_Home!$B$4&amp;""),MAX($K$4:K72)+1,"")</f>
        <v/>
      </c>
    </row>
    <row r="74" spans="1:11" ht="135" customHeight="1">
      <c r="A74" s="13"/>
      <c r="B74" s="62"/>
      <c r="C74" s="13"/>
      <c r="D74" s="13"/>
      <c r="E74" s="13"/>
      <c r="F74" s="13"/>
      <c r="G74" s="13"/>
      <c r="H74" s="13"/>
      <c r="I74" s="13"/>
      <c r="J74" s="13"/>
      <c r="K74" s="64" t="str">
        <f>IF(AND($C74&lt;&gt;"",$I74&lt;&gt;"Closed",$I74&lt;&gt;"Complete",$I74&lt;&gt;"",$C74&amp;""=PMIS_Home!$B$4&amp;""),MAX($K$4:K73)+1,"")</f>
        <v/>
      </c>
    </row>
    <row r="75" spans="1:11" ht="135" customHeight="1">
      <c r="A75" s="13"/>
      <c r="B75" s="62"/>
      <c r="C75" s="13"/>
      <c r="D75" s="13"/>
      <c r="E75" s="13"/>
      <c r="F75" s="13"/>
      <c r="G75" s="13"/>
      <c r="H75" s="13"/>
      <c r="I75" s="13"/>
      <c r="J75" s="13"/>
      <c r="K75" s="64" t="str">
        <f>IF(AND($C75&lt;&gt;"",$I75&lt;&gt;"Closed",$I75&lt;&gt;"Complete",$I75&lt;&gt;"",$C75&amp;""=PMIS_Home!$B$4&amp;""),MAX($K$4:K74)+1,"")</f>
        <v/>
      </c>
    </row>
    <row r="76" spans="1:11" ht="135" customHeight="1">
      <c r="A76" s="13"/>
      <c r="B76" s="62"/>
      <c r="C76" s="13"/>
      <c r="D76" s="13"/>
      <c r="E76" s="13"/>
      <c r="F76" s="13"/>
      <c r="G76" s="13"/>
      <c r="H76" s="13"/>
      <c r="I76" s="13"/>
      <c r="J76" s="13"/>
      <c r="K76" s="64" t="str">
        <f>IF(AND($C76&lt;&gt;"",$I76&lt;&gt;"Closed",$I76&lt;&gt;"Complete",$I76&lt;&gt;"",$C76&amp;""=PMIS_Home!$B$4&amp;""),MAX($K$4:K75)+1,"")</f>
        <v/>
      </c>
    </row>
    <row r="77" spans="1:11" ht="135" customHeight="1">
      <c r="A77" s="13"/>
      <c r="B77" s="62"/>
      <c r="C77" s="13"/>
      <c r="D77" s="13"/>
      <c r="E77" s="13"/>
      <c r="F77" s="13"/>
      <c r="G77" s="13"/>
      <c r="H77" s="13"/>
      <c r="I77" s="13"/>
      <c r="J77" s="13"/>
      <c r="K77" s="64" t="str">
        <f>IF(AND($C77&lt;&gt;"",$I77&lt;&gt;"Closed",$I77&lt;&gt;"Complete",$I77&lt;&gt;"",$C77&amp;""=PMIS_Home!$B$4&amp;""),MAX($K$4:K76)+1,"")</f>
        <v/>
      </c>
    </row>
    <row r="78" spans="1:11" ht="135" customHeight="1">
      <c r="A78" s="13"/>
      <c r="B78" s="62"/>
      <c r="C78" s="13"/>
      <c r="D78" s="13"/>
      <c r="E78" s="13"/>
      <c r="F78" s="13"/>
      <c r="G78" s="13"/>
      <c r="H78" s="13"/>
      <c r="I78" s="13"/>
      <c r="J78" s="13"/>
      <c r="K78" s="64" t="str">
        <f>IF(AND($C78&lt;&gt;"",$I78&lt;&gt;"Closed",$I78&lt;&gt;"Complete",$I78&lt;&gt;"",$C78&amp;""=PMIS_Home!$B$4&amp;""),MAX($K$4:K77)+1,"")</f>
        <v/>
      </c>
    </row>
    <row r="79" spans="1:11" ht="135" customHeight="1">
      <c r="A79" s="13"/>
      <c r="B79" s="62"/>
      <c r="C79" s="13"/>
      <c r="D79" s="13"/>
      <c r="E79" s="13"/>
      <c r="F79" s="13"/>
      <c r="G79" s="13"/>
      <c r="H79" s="13"/>
      <c r="I79" s="13"/>
      <c r="J79" s="13"/>
      <c r="K79" s="64" t="str">
        <f>IF(AND($C79&lt;&gt;"",$I79&lt;&gt;"Closed",$I79&lt;&gt;"Complete",$I79&lt;&gt;"",$C79&amp;""=PMIS_Home!$B$4&amp;""),MAX($K$4:K78)+1,"")</f>
        <v/>
      </c>
    </row>
    <row r="80" spans="1:11" ht="135" customHeight="1">
      <c r="A80" s="13"/>
      <c r="B80" s="62"/>
      <c r="C80" s="13"/>
      <c r="D80" s="13"/>
      <c r="E80" s="13"/>
      <c r="F80" s="13"/>
      <c r="G80" s="13"/>
      <c r="H80" s="13"/>
      <c r="I80" s="13"/>
      <c r="J80" s="13"/>
      <c r="K80" s="64" t="str">
        <f>IF(AND($C80&lt;&gt;"",$I80&lt;&gt;"Closed",$I80&lt;&gt;"Complete",$I80&lt;&gt;"",$C80&amp;""=PMIS_Home!$B$4&amp;""),MAX($K$4:K79)+1,"")</f>
        <v/>
      </c>
    </row>
    <row r="81" spans="1:11" ht="135" customHeight="1">
      <c r="A81" s="13"/>
      <c r="B81" s="62"/>
      <c r="C81" s="13"/>
      <c r="D81" s="13"/>
      <c r="E81" s="13"/>
      <c r="F81" s="13"/>
      <c r="G81" s="13"/>
      <c r="H81" s="13"/>
      <c r="I81" s="13"/>
      <c r="J81" s="13"/>
      <c r="K81" s="64" t="str">
        <f>IF(AND($C81&lt;&gt;"",$I81&lt;&gt;"Closed",$I81&lt;&gt;"Complete",$I81&lt;&gt;"",$C81&amp;""=PMIS_Home!$B$4&amp;""),MAX($K$4:K80)+1,"")</f>
        <v/>
      </c>
    </row>
    <row r="82" spans="1:11" ht="135" customHeight="1">
      <c r="A82" s="13"/>
      <c r="B82" s="62"/>
      <c r="C82" s="13"/>
      <c r="D82" s="13"/>
      <c r="E82" s="13"/>
      <c r="F82" s="13"/>
      <c r="G82" s="13"/>
      <c r="H82" s="13"/>
      <c r="I82" s="13"/>
      <c r="J82" s="13"/>
      <c r="K82" s="64" t="str">
        <f>IF(AND($C82&lt;&gt;"",$I82&lt;&gt;"Closed",$I82&lt;&gt;"Complete",$I82&lt;&gt;"",$C82&amp;""=PMIS_Home!$B$4&amp;""),MAX($K$4:K81)+1,"")</f>
        <v/>
      </c>
    </row>
    <row r="83" spans="1:11" ht="135" customHeight="1">
      <c r="A83" s="13"/>
      <c r="B83" s="62"/>
      <c r="C83" s="13"/>
      <c r="D83" s="13"/>
      <c r="E83" s="13"/>
      <c r="F83" s="13"/>
      <c r="G83" s="13"/>
      <c r="H83" s="13"/>
      <c r="I83" s="13"/>
      <c r="J83" s="13"/>
      <c r="K83" s="64" t="str">
        <f>IF(AND($C83&lt;&gt;"",$I83&lt;&gt;"Closed",$I83&lt;&gt;"Complete",$I83&lt;&gt;"",$C83&amp;""=PMIS_Home!$B$4&amp;""),MAX($K$4:K82)+1,"")</f>
        <v/>
      </c>
    </row>
    <row r="84" spans="1:11" ht="135" customHeight="1">
      <c r="A84" s="13"/>
      <c r="B84" s="62"/>
      <c r="C84" s="13"/>
      <c r="D84" s="13"/>
      <c r="E84" s="13"/>
      <c r="F84" s="13"/>
      <c r="G84" s="13"/>
      <c r="H84" s="13"/>
      <c r="I84" s="13"/>
      <c r="J84" s="13"/>
      <c r="K84" s="64" t="str">
        <f>IF(AND($C84&lt;&gt;"",$I84&lt;&gt;"Closed",$I84&lt;&gt;"Complete",$I84&lt;&gt;"",$C84&amp;""=PMIS_Home!$B$4&amp;""),MAX($K$4:K83)+1,"")</f>
        <v/>
      </c>
    </row>
    <row r="85" spans="1:11" ht="135" customHeight="1">
      <c r="A85" s="13"/>
      <c r="B85" s="62"/>
      <c r="C85" s="13"/>
      <c r="D85" s="13"/>
      <c r="E85" s="13"/>
      <c r="F85" s="13"/>
      <c r="G85" s="13"/>
      <c r="H85" s="13"/>
      <c r="I85" s="13"/>
      <c r="J85" s="13"/>
      <c r="K85" s="64" t="str">
        <f>IF(AND($C85&lt;&gt;"",$I85&lt;&gt;"Closed",$I85&lt;&gt;"Complete",$I85&lt;&gt;"",$C85&amp;""=PMIS_Home!$B$4&amp;""),MAX($K$4:K84)+1,"")</f>
        <v/>
      </c>
    </row>
    <row r="86" spans="1:11" ht="135" customHeight="1">
      <c r="A86" s="13"/>
      <c r="B86" s="62"/>
      <c r="C86" s="13"/>
      <c r="D86" s="13"/>
      <c r="E86" s="13"/>
      <c r="F86" s="13"/>
      <c r="G86" s="13"/>
      <c r="H86" s="13"/>
      <c r="I86" s="13"/>
      <c r="J86" s="13"/>
      <c r="K86" s="64" t="str">
        <f>IF(AND($C86&lt;&gt;"",$I86&lt;&gt;"Closed",$I86&lt;&gt;"Complete",$I86&lt;&gt;"",$C86&amp;""=PMIS_Home!$B$4&amp;""),MAX($K$4:K85)+1,"")</f>
        <v/>
      </c>
    </row>
    <row r="87" spans="1:11" ht="135" customHeight="1">
      <c r="A87" s="13"/>
      <c r="B87" s="62"/>
      <c r="C87" s="13"/>
      <c r="D87" s="13"/>
      <c r="E87" s="13"/>
      <c r="F87" s="13"/>
      <c r="G87" s="13"/>
      <c r="H87" s="13"/>
      <c r="I87" s="13"/>
      <c r="J87" s="13"/>
      <c r="K87" s="64" t="str">
        <f>IF(AND($C87&lt;&gt;"",$I87&lt;&gt;"Closed",$I87&lt;&gt;"Complete",$I87&lt;&gt;"",$C87&amp;""=PMIS_Home!$B$4&amp;""),MAX($K$4:K86)+1,"")</f>
        <v/>
      </c>
    </row>
    <row r="88" spans="1:11" ht="135" customHeight="1">
      <c r="A88" s="13"/>
      <c r="B88" s="62"/>
      <c r="C88" s="13"/>
      <c r="D88" s="13"/>
      <c r="E88" s="13"/>
      <c r="F88" s="13"/>
      <c r="G88" s="13"/>
      <c r="H88" s="13"/>
      <c r="I88" s="13"/>
      <c r="J88" s="13"/>
      <c r="K88" s="64" t="str">
        <f>IF(AND($C88&lt;&gt;"",$I88&lt;&gt;"Closed",$I88&lt;&gt;"Complete",$I88&lt;&gt;"",$C88&amp;""=PMIS_Home!$B$4&amp;""),MAX($K$4:K87)+1,"")</f>
        <v/>
      </c>
    </row>
    <row r="89" spans="1:11" ht="135" customHeight="1">
      <c r="A89" s="13"/>
      <c r="B89" s="62"/>
      <c r="C89" s="13"/>
      <c r="D89" s="13"/>
      <c r="E89" s="13"/>
      <c r="F89" s="13"/>
      <c r="G89" s="13"/>
      <c r="H89" s="13"/>
      <c r="I89" s="13"/>
      <c r="J89" s="13"/>
      <c r="K89" s="64" t="str">
        <f>IF(AND($C89&lt;&gt;"",$I89&lt;&gt;"Closed",$I89&lt;&gt;"Complete",$I89&lt;&gt;"",$C89&amp;""=PMIS_Home!$B$4&amp;""),MAX($K$4:K88)+1,"")</f>
        <v/>
      </c>
    </row>
    <row r="90" spans="1:11" ht="135" customHeight="1">
      <c r="A90" s="13"/>
      <c r="B90" s="62"/>
      <c r="C90" s="13"/>
      <c r="D90" s="13"/>
      <c r="E90" s="13"/>
      <c r="F90" s="13"/>
      <c r="G90" s="13"/>
      <c r="H90" s="13"/>
      <c r="I90" s="13"/>
      <c r="J90" s="13"/>
      <c r="K90" s="64" t="str">
        <f>IF(AND($C90&lt;&gt;"",$I90&lt;&gt;"Closed",$I90&lt;&gt;"Complete",$I90&lt;&gt;"",$C90&amp;""=PMIS_Home!$B$4&amp;""),MAX($K$4:K89)+1,"")</f>
        <v/>
      </c>
    </row>
    <row r="91" spans="1:11" ht="135" customHeight="1">
      <c r="A91" s="13"/>
      <c r="B91" s="62"/>
      <c r="C91" s="13"/>
      <c r="D91" s="13"/>
      <c r="E91" s="13"/>
      <c r="F91" s="13"/>
      <c r="G91" s="13"/>
      <c r="H91" s="13"/>
      <c r="I91" s="13"/>
      <c r="J91" s="13"/>
      <c r="K91" s="64" t="str">
        <f>IF(AND($C91&lt;&gt;"",$I91&lt;&gt;"Closed",$I91&lt;&gt;"Complete",$I91&lt;&gt;"",$C91&amp;""=PMIS_Home!$B$4&amp;""),MAX($K$4:K90)+1,"")</f>
        <v/>
      </c>
    </row>
    <row r="92" spans="1:11" ht="135" customHeight="1">
      <c r="A92" s="13"/>
      <c r="B92" s="62"/>
      <c r="C92" s="13"/>
      <c r="D92" s="13"/>
      <c r="E92" s="13"/>
      <c r="F92" s="13"/>
      <c r="G92" s="13"/>
      <c r="H92" s="13"/>
      <c r="I92" s="13"/>
      <c r="J92" s="13"/>
      <c r="K92" s="64" t="str">
        <f>IF(AND($C92&lt;&gt;"",$I92&lt;&gt;"Closed",$I92&lt;&gt;"Complete",$I92&lt;&gt;"",$C92&amp;""=PMIS_Home!$B$4&amp;""),MAX($K$4:K91)+1,"")</f>
        <v/>
      </c>
    </row>
    <row r="93" spans="1:11" ht="135" customHeight="1">
      <c r="A93" s="13"/>
      <c r="B93" s="62"/>
      <c r="C93" s="13"/>
      <c r="D93" s="13"/>
      <c r="E93" s="13"/>
      <c r="F93" s="13"/>
      <c r="G93" s="13"/>
      <c r="H93" s="13"/>
      <c r="I93" s="13"/>
      <c r="J93" s="13"/>
      <c r="K93" s="64" t="str">
        <f>IF(AND($C93&lt;&gt;"",$I93&lt;&gt;"Closed",$I93&lt;&gt;"Complete",$I93&lt;&gt;"",$C93&amp;""=PMIS_Home!$B$4&amp;""),MAX($K$4:K92)+1,"")</f>
        <v/>
      </c>
    </row>
    <row r="94" spans="1:11" ht="135" customHeight="1">
      <c r="A94" s="13"/>
      <c r="B94" s="62"/>
      <c r="C94" s="13"/>
      <c r="D94" s="13"/>
      <c r="E94" s="13"/>
      <c r="F94" s="13"/>
      <c r="G94" s="13"/>
      <c r="H94" s="13"/>
      <c r="I94" s="13"/>
      <c r="J94" s="13"/>
      <c r="K94" s="64" t="str">
        <f>IF(AND($C94&lt;&gt;"",$I94&lt;&gt;"Closed",$I94&lt;&gt;"Complete",$I94&lt;&gt;"",$C94&amp;""=PMIS_Home!$B$4&amp;""),MAX($K$4:K93)+1,"")</f>
        <v/>
      </c>
    </row>
    <row r="95" spans="1:11" ht="135" customHeight="1">
      <c r="A95" s="13"/>
      <c r="B95" s="62"/>
      <c r="C95" s="13"/>
      <c r="D95" s="13"/>
      <c r="E95" s="13"/>
      <c r="F95" s="13"/>
      <c r="G95" s="13"/>
      <c r="H95" s="13"/>
      <c r="I95" s="13"/>
      <c r="J95" s="13"/>
      <c r="K95" s="64" t="str">
        <f>IF(AND($C95&lt;&gt;"",$I95&lt;&gt;"Closed",$I95&lt;&gt;"Complete",$I95&lt;&gt;"",$C95&amp;""=PMIS_Home!$B$4&amp;""),MAX($K$4:K94)+1,"")</f>
        <v/>
      </c>
    </row>
    <row r="96" spans="1:11" ht="135" customHeight="1">
      <c r="A96" s="13"/>
      <c r="B96" s="62"/>
      <c r="C96" s="13"/>
      <c r="D96" s="13"/>
      <c r="E96" s="13"/>
      <c r="F96" s="13"/>
      <c r="G96" s="13"/>
      <c r="H96" s="13"/>
      <c r="I96" s="13"/>
      <c r="J96" s="13"/>
      <c r="K96" s="64" t="str">
        <f>IF(AND($C96&lt;&gt;"",$I96&lt;&gt;"Closed",$I96&lt;&gt;"Complete",$I96&lt;&gt;"",$C96&amp;""=PMIS_Home!$B$4&amp;""),MAX($K$4:K95)+1,"")</f>
        <v/>
      </c>
    </row>
    <row r="97" spans="1:11" ht="135" customHeight="1">
      <c r="A97" s="13"/>
      <c r="B97" s="62"/>
      <c r="C97" s="13"/>
      <c r="D97" s="13"/>
      <c r="E97" s="13"/>
      <c r="F97" s="13"/>
      <c r="G97" s="13"/>
      <c r="H97" s="13"/>
      <c r="I97" s="13"/>
      <c r="J97" s="13"/>
      <c r="K97" s="64" t="str">
        <f>IF(AND($C97&lt;&gt;"",$I97&lt;&gt;"Closed",$I97&lt;&gt;"Complete",$I97&lt;&gt;"",$C97&amp;""=PMIS_Home!$B$4&amp;""),MAX($K$4:K96)+1,"")</f>
        <v/>
      </c>
    </row>
    <row r="98" spans="1:11" ht="135" customHeight="1">
      <c r="A98" s="13"/>
      <c r="B98" s="62"/>
      <c r="C98" s="13"/>
      <c r="D98" s="13"/>
      <c r="E98" s="13"/>
      <c r="F98" s="13"/>
      <c r="G98" s="13"/>
      <c r="H98" s="13"/>
      <c r="I98" s="13"/>
      <c r="J98" s="13"/>
      <c r="K98" s="64" t="str">
        <f>IF(AND($C98&lt;&gt;"",$I98&lt;&gt;"Closed",$I98&lt;&gt;"Complete",$I98&lt;&gt;"",$C98&amp;""=PMIS_Home!$B$4&amp;""),MAX($K$4:K97)+1,"")</f>
        <v/>
      </c>
    </row>
    <row r="99" spans="1:11" ht="135" customHeight="1">
      <c r="A99" s="13"/>
      <c r="B99" s="62"/>
      <c r="C99" s="13"/>
      <c r="D99" s="13"/>
      <c r="E99" s="13"/>
      <c r="F99" s="13"/>
      <c r="G99" s="13"/>
      <c r="H99" s="13"/>
      <c r="I99" s="13"/>
      <c r="J99" s="13"/>
      <c r="K99" s="64" t="str">
        <f>IF(AND($C99&lt;&gt;"",$I99&lt;&gt;"Closed",$I99&lt;&gt;"Complete",$I99&lt;&gt;"",$C99&amp;""=PMIS_Home!$B$4&amp;""),MAX($K$4:K98)+1,"")</f>
        <v/>
      </c>
    </row>
    <row r="100" spans="1:11" ht="135" customHeight="1">
      <c r="A100" s="13"/>
      <c r="B100" s="62"/>
      <c r="C100" s="13"/>
      <c r="D100" s="13"/>
      <c r="E100" s="13"/>
      <c r="F100" s="13"/>
      <c r="G100" s="13"/>
      <c r="H100" s="13"/>
      <c r="I100" s="13"/>
      <c r="J100" s="13"/>
      <c r="K100" s="64" t="str">
        <f>IF(AND($C100&lt;&gt;"",$I100&lt;&gt;"Closed",$I100&lt;&gt;"Complete",$I100&lt;&gt;"",$C100&amp;""=PMIS_Home!$B$4&amp;""),MAX($K$4:K99)+1,"")</f>
        <v/>
      </c>
    </row>
    <row r="101" spans="1:11" ht="135" customHeight="1">
      <c r="A101" s="13"/>
      <c r="B101" s="62"/>
      <c r="C101" s="13"/>
      <c r="D101" s="13"/>
      <c r="E101" s="13"/>
      <c r="F101" s="13"/>
      <c r="G101" s="13"/>
      <c r="H101" s="13"/>
      <c r="I101" s="13"/>
      <c r="J101" s="13"/>
      <c r="K101" s="64" t="str">
        <f>IF(AND($C101&lt;&gt;"",$I101&lt;&gt;"Closed",$I101&lt;&gt;"Complete",$I101&lt;&gt;"",$C101&amp;""=PMIS_Home!$B$4&amp;""),MAX($K$4:K100)+1,"")</f>
        <v/>
      </c>
    </row>
    <row r="102" spans="1:11" ht="135" customHeight="1">
      <c r="A102" s="13"/>
      <c r="B102" s="62"/>
      <c r="C102" s="13"/>
      <c r="D102" s="13"/>
      <c r="E102" s="13"/>
      <c r="F102" s="13"/>
      <c r="G102" s="13"/>
      <c r="H102" s="13"/>
      <c r="I102" s="13"/>
      <c r="J102" s="13"/>
      <c r="K102" s="64" t="str">
        <f>IF(AND($C102&lt;&gt;"",$I102&lt;&gt;"Closed",$I102&lt;&gt;"Complete",$I102&lt;&gt;"",$C102&amp;""=PMIS_Home!$B$4&amp;""),MAX($K$4:K101)+1,"")</f>
        <v/>
      </c>
    </row>
    <row r="103" spans="1:11" ht="135" customHeight="1">
      <c r="A103" s="13"/>
      <c r="B103" s="62"/>
      <c r="C103" s="13"/>
      <c r="D103" s="13"/>
      <c r="E103" s="13"/>
      <c r="F103" s="13"/>
      <c r="G103" s="13"/>
      <c r="H103" s="13"/>
      <c r="I103" s="13"/>
      <c r="J103" s="13"/>
      <c r="K103" s="64" t="str">
        <f>IF(AND($C103&lt;&gt;"",$I103&lt;&gt;"Closed",$I103&lt;&gt;"Complete",$I103&lt;&gt;"",$C103&amp;""=PMIS_Home!$B$4&amp;""),MAX($K$4:K102)+1,"")</f>
        <v/>
      </c>
    </row>
    <row r="104" spans="1:11" ht="135" customHeight="1">
      <c r="A104" s="13"/>
      <c r="B104" s="62"/>
      <c r="C104" s="13"/>
      <c r="D104" s="13"/>
      <c r="E104" s="13"/>
      <c r="F104" s="13"/>
      <c r="G104" s="13"/>
      <c r="H104" s="13"/>
      <c r="I104" s="13"/>
      <c r="J104" s="13"/>
      <c r="K104" s="64" t="str">
        <f>IF(AND($C104&lt;&gt;"",$I104&lt;&gt;"Closed",$I104&lt;&gt;"Complete",$I104&lt;&gt;"",$C104&amp;""=PMIS_Home!$B$4&amp;""),MAX($K$4:K103)+1,"")</f>
        <v/>
      </c>
    </row>
    <row r="105" spans="1:11" ht="135" customHeight="1">
      <c r="A105" s="13"/>
      <c r="B105" s="62"/>
      <c r="C105" s="13"/>
      <c r="D105" s="13"/>
      <c r="E105" s="13"/>
      <c r="F105" s="13"/>
      <c r="G105" s="13"/>
      <c r="H105" s="13"/>
      <c r="I105" s="13"/>
      <c r="J105" s="13"/>
      <c r="K105" s="64" t="str">
        <f>IF(AND($C105&lt;&gt;"",$I105&lt;&gt;"Closed",$I105&lt;&gt;"Complete",$I105&lt;&gt;"",$C105&amp;""=PMIS_Home!$B$4&amp;""),MAX($K$4:K104)+1,"")</f>
        <v/>
      </c>
    </row>
    <row r="106" spans="1:11" ht="135" customHeight="1">
      <c r="A106" s="13"/>
      <c r="B106" s="62"/>
      <c r="C106" s="13"/>
      <c r="D106" s="13"/>
      <c r="E106" s="13"/>
      <c r="F106" s="13"/>
      <c r="G106" s="13"/>
      <c r="H106" s="13"/>
      <c r="I106" s="13"/>
      <c r="J106" s="13"/>
      <c r="K106" s="64" t="str">
        <f>IF(AND($C106&lt;&gt;"",$I106&lt;&gt;"Closed",$I106&lt;&gt;"Complete",$I106&lt;&gt;"",$C106&amp;""=PMIS_Home!$B$4&amp;""),MAX($K$4:K105)+1,"")</f>
        <v/>
      </c>
    </row>
    <row r="107" spans="1:11" ht="135" customHeight="1">
      <c r="A107" s="13"/>
      <c r="B107" s="62"/>
      <c r="C107" s="13"/>
      <c r="D107" s="13"/>
      <c r="E107" s="13"/>
      <c r="F107" s="13"/>
      <c r="G107" s="13"/>
      <c r="H107" s="13"/>
      <c r="I107" s="13"/>
      <c r="J107" s="13"/>
      <c r="K107" s="64" t="str">
        <f>IF(AND($C107&lt;&gt;"",$I107&lt;&gt;"Closed",$I107&lt;&gt;"Complete",$I107&lt;&gt;"",$C107&amp;""=PMIS_Home!$B$4&amp;""),MAX($K$4:K106)+1,"")</f>
        <v/>
      </c>
    </row>
    <row r="108" spans="1:11" ht="135" customHeight="1">
      <c r="A108" s="13"/>
      <c r="B108" s="62"/>
      <c r="C108" s="13"/>
      <c r="D108" s="13"/>
      <c r="E108" s="13"/>
      <c r="F108" s="13"/>
      <c r="G108" s="13"/>
      <c r="H108" s="13"/>
      <c r="I108" s="13"/>
      <c r="J108" s="13"/>
      <c r="K108" s="64" t="str">
        <f>IF(AND($C108&lt;&gt;"",$I108&lt;&gt;"Closed",$I108&lt;&gt;"Complete",$I108&lt;&gt;"",$C108&amp;""=PMIS_Home!$B$4&amp;""),MAX($K$4:K107)+1,"")</f>
        <v/>
      </c>
    </row>
    <row r="109" spans="1:11" ht="135" customHeight="1">
      <c r="A109" s="13"/>
      <c r="B109" s="62"/>
      <c r="C109" s="13"/>
      <c r="D109" s="13"/>
      <c r="E109" s="13"/>
      <c r="F109" s="13"/>
      <c r="G109" s="13"/>
      <c r="H109" s="13"/>
      <c r="I109" s="13"/>
      <c r="J109" s="13"/>
      <c r="K109" s="64" t="str">
        <f>IF(AND($C109&lt;&gt;"",$I109&lt;&gt;"Closed",$I109&lt;&gt;"Complete",$I109&lt;&gt;"",$C109&amp;""=PMIS_Home!$B$4&amp;""),MAX($K$4:K108)+1,"")</f>
        <v/>
      </c>
    </row>
    <row r="110" spans="1:11" ht="135" customHeight="1">
      <c r="A110" s="13"/>
      <c r="B110" s="62"/>
      <c r="C110" s="13"/>
      <c r="D110" s="13"/>
      <c r="E110" s="13"/>
      <c r="F110" s="13"/>
      <c r="G110" s="13"/>
      <c r="H110" s="13"/>
      <c r="I110" s="13"/>
      <c r="J110" s="13"/>
      <c r="K110" s="64" t="str">
        <f>IF(AND($C110&lt;&gt;"",$I110&lt;&gt;"Closed",$I110&lt;&gt;"Complete",$I110&lt;&gt;"",$C110&amp;""=PMIS_Home!$B$4&amp;""),MAX($K$4:K109)+1,"")</f>
        <v/>
      </c>
    </row>
    <row r="111" spans="1:11" ht="135" customHeight="1">
      <c r="A111" s="13"/>
      <c r="B111" s="62"/>
      <c r="C111" s="13"/>
      <c r="D111" s="13"/>
      <c r="E111" s="13"/>
      <c r="F111" s="13"/>
      <c r="G111" s="13"/>
      <c r="H111" s="13"/>
      <c r="I111" s="13"/>
      <c r="J111" s="13"/>
      <c r="K111" s="64" t="str">
        <f>IF(AND($C111&lt;&gt;"",$I111&lt;&gt;"Closed",$I111&lt;&gt;"Complete",$I111&lt;&gt;"",$C111&amp;""=PMIS_Home!$B$4&amp;""),MAX($K$4:K110)+1,"")</f>
        <v/>
      </c>
    </row>
    <row r="112" spans="1:11" ht="135" customHeight="1">
      <c r="A112" s="13"/>
      <c r="B112" s="62"/>
      <c r="C112" s="13"/>
      <c r="D112" s="13"/>
      <c r="E112" s="13"/>
      <c r="F112" s="13"/>
      <c r="G112" s="13"/>
      <c r="H112" s="13"/>
      <c r="I112" s="13"/>
      <c r="J112" s="13"/>
      <c r="K112" s="64" t="str">
        <f>IF(AND($C112&lt;&gt;"",$I112&lt;&gt;"Closed",$I112&lt;&gt;"Complete",$I112&lt;&gt;"",$C112&amp;""=PMIS_Home!$B$4&amp;""),MAX($K$4:K111)+1,"")</f>
        <v/>
      </c>
    </row>
    <row r="113" spans="1:11" ht="135" customHeight="1">
      <c r="A113" s="13"/>
      <c r="B113" s="62"/>
      <c r="C113" s="13"/>
      <c r="D113" s="13"/>
      <c r="E113" s="13"/>
      <c r="F113" s="13"/>
      <c r="G113" s="13"/>
      <c r="H113" s="13"/>
      <c r="I113" s="13"/>
      <c r="J113" s="13"/>
      <c r="K113" s="64" t="str">
        <f>IF(AND($C113&lt;&gt;"",$I113&lt;&gt;"Closed",$I113&lt;&gt;"Complete",$I113&lt;&gt;"",$C113&amp;""=PMIS_Home!$B$4&amp;""),MAX($K$4:K112)+1,"")</f>
        <v/>
      </c>
    </row>
    <row r="114" spans="1:11" ht="135" customHeight="1">
      <c r="A114" s="13"/>
      <c r="B114" s="62"/>
      <c r="C114" s="13"/>
      <c r="D114" s="13"/>
      <c r="E114" s="13"/>
      <c r="F114" s="13"/>
      <c r="G114" s="13"/>
      <c r="H114" s="13"/>
      <c r="I114" s="13"/>
      <c r="J114" s="13"/>
      <c r="K114" s="64" t="str">
        <f>IF(AND($C114&lt;&gt;"",$I114&lt;&gt;"Closed",$I114&lt;&gt;"Complete",$I114&lt;&gt;"",$C114&amp;""=PMIS_Home!$B$4&amp;""),MAX($K$4:K113)+1,"")</f>
        <v/>
      </c>
    </row>
    <row r="115" spans="1:11" ht="135" customHeight="1">
      <c r="A115" s="13"/>
      <c r="B115" s="62"/>
      <c r="C115" s="13"/>
      <c r="D115" s="13"/>
      <c r="E115" s="13"/>
      <c r="F115" s="13"/>
      <c r="G115" s="13"/>
      <c r="H115" s="13"/>
      <c r="I115" s="13"/>
      <c r="J115" s="13"/>
      <c r="K115" s="64" t="str">
        <f>IF(AND($C115&lt;&gt;"",$I115&lt;&gt;"Closed",$I115&lt;&gt;"Complete",$I115&lt;&gt;"",$C115&amp;""=PMIS_Home!$B$4&amp;""),MAX($K$4:K114)+1,"")</f>
        <v/>
      </c>
    </row>
    <row r="116" spans="1:11" ht="135" customHeight="1">
      <c r="A116" s="13"/>
      <c r="B116" s="62"/>
      <c r="C116" s="13"/>
      <c r="D116" s="13"/>
      <c r="E116" s="13"/>
      <c r="F116" s="13"/>
      <c r="G116" s="13"/>
      <c r="H116" s="13"/>
      <c r="I116" s="13"/>
      <c r="J116" s="13"/>
      <c r="K116" s="64" t="str">
        <f>IF(AND($C116&lt;&gt;"",$I116&lt;&gt;"Closed",$I116&lt;&gt;"Complete",$I116&lt;&gt;"",$C116&amp;""=PMIS_Home!$B$4&amp;""),MAX($K$4:K115)+1,"")</f>
        <v/>
      </c>
    </row>
    <row r="117" spans="1:11" ht="135" customHeight="1">
      <c r="A117" s="13"/>
      <c r="B117" s="62"/>
      <c r="C117" s="13"/>
      <c r="D117" s="13"/>
      <c r="E117" s="13"/>
      <c r="F117" s="13"/>
      <c r="G117" s="13"/>
      <c r="H117" s="13"/>
      <c r="I117" s="13"/>
      <c r="J117" s="13"/>
      <c r="K117" s="64" t="str">
        <f>IF(AND($C117&lt;&gt;"",$I117&lt;&gt;"Closed",$I117&lt;&gt;"Complete",$I117&lt;&gt;"",$C117&amp;""=PMIS_Home!$B$4&amp;""),MAX($K$4:K116)+1,"")</f>
        <v/>
      </c>
    </row>
    <row r="118" spans="1:11" ht="135" customHeight="1">
      <c r="A118" s="13"/>
      <c r="B118" s="62"/>
      <c r="C118" s="13"/>
      <c r="D118" s="13"/>
      <c r="E118" s="13"/>
      <c r="F118" s="13"/>
      <c r="G118" s="13"/>
      <c r="H118" s="13"/>
      <c r="I118" s="13"/>
      <c r="J118" s="13"/>
      <c r="K118" s="64" t="str">
        <f>IF(AND($C118&lt;&gt;"",$I118&lt;&gt;"Closed",$I118&lt;&gt;"Complete",$I118&lt;&gt;"",$C118&amp;""=PMIS_Home!$B$4&amp;""),MAX($K$4:K117)+1,"")</f>
        <v/>
      </c>
    </row>
    <row r="119" spans="1:11" ht="135" customHeight="1">
      <c r="A119" s="13"/>
      <c r="B119" s="62"/>
      <c r="C119" s="13"/>
      <c r="D119" s="13"/>
      <c r="E119" s="13"/>
      <c r="F119" s="13"/>
      <c r="G119" s="13"/>
      <c r="H119" s="13"/>
      <c r="I119" s="13"/>
      <c r="J119" s="13"/>
      <c r="K119" s="64" t="str">
        <f>IF(AND($C119&lt;&gt;"",$I119&lt;&gt;"Closed",$I119&lt;&gt;"Complete",$I119&lt;&gt;"",$C119&amp;""=PMIS_Home!$B$4&amp;""),MAX($K$4:K118)+1,"")</f>
        <v/>
      </c>
    </row>
    <row r="120" spans="1:11" ht="135" customHeight="1">
      <c r="A120" s="13"/>
      <c r="B120" s="62"/>
      <c r="C120" s="13"/>
      <c r="D120" s="13"/>
      <c r="E120" s="13"/>
      <c r="F120" s="13"/>
      <c r="G120" s="13"/>
      <c r="H120" s="13"/>
      <c r="I120" s="13"/>
      <c r="J120" s="13"/>
      <c r="K120" s="64" t="str">
        <f>IF(AND($C120&lt;&gt;"",$I120&lt;&gt;"Closed",$I120&lt;&gt;"Complete",$I120&lt;&gt;"",$C120&amp;""=PMIS_Home!$B$4&amp;""),MAX($K$4:K119)+1,"")</f>
        <v/>
      </c>
    </row>
    <row r="121" spans="1:11" ht="135" customHeight="1">
      <c r="A121" s="13"/>
      <c r="B121" s="62"/>
      <c r="C121" s="13"/>
      <c r="D121" s="13"/>
      <c r="E121" s="13"/>
      <c r="F121" s="13"/>
      <c r="G121" s="13"/>
      <c r="H121" s="13"/>
      <c r="I121" s="13"/>
      <c r="J121" s="13"/>
      <c r="K121" s="64" t="str">
        <f>IF(AND($C121&lt;&gt;"",$I121&lt;&gt;"Closed",$I121&lt;&gt;"Complete",$I121&lt;&gt;"",$C121&amp;""=PMIS_Home!$B$4&amp;""),MAX($K$4:K120)+1,"")</f>
        <v/>
      </c>
    </row>
    <row r="122" spans="1:11" ht="135" customHeight="1">
      <c r="A122" s="13"/>
      <c r="B122" s="62"/>
      <c r="C122" s="13"/>
      <c r="D122" s="13"/>
      <c r="E122" s="13"/>
      <c r="F122" s="13"/>
      <c r="G122" s="13"/>
      <c r="H122" s="13"/>
      <c r="I122" s="13"/>
      <c r="J122" s="13"/>
      <c r="K122" s="64" t="str">
        <f>IF(AND($C122&lt;&gt;"",$I122&lt;&gt;"Closed",$I122&lt;&gt;"Complete",$I122&lt;&gt;"",$C122&amp;""=PMIS_Home!$B$4&amp;""),MAX($K$4:K121)+1,"")</f>
        <v/>
      </c>
    </row>
    <row r="123" spans="1:11" ht="135" customHeight="1">
      <c r="A123" s="13"/>
      <c r="B123" s="62"/>
      <c r="C123" s="13"/>
      <c r="D123" s="13"/>
      <c r="E123" s="13"/>
      <c r="F123" s="13"/>
      <c r="G123" s="13"/>
      <c r="H123" s="13"/>
      <c r="I123" s="13"/>
      <c r="J123" s="13"/>
      <c r="K123" s="64" t="str">
        <f>IF(AND($C123&lt;&gt;"",$I123&lt;&gt;"Closed",$I123&lt;&gt;"Complete",$I123&lt;&gt;"",$C123&amp;""=PMIS_Home!$B$4&amp;""),MAX($K$4:K122)+1,"")</f>
        <v/>
      </c>
    </row>
    <row r="124" spans="1:11" ht="135" customHeight="1">
      <c r="A124" s="13"/>
      <c r="B124" s="62"/>
      <c r="C124" s="13"/>
      <c r="D124" s="13"/>
      <c r="E124" s="13"/>
      <c r="F124" s="13"/>
      <c r="G124" s="13"/>
      <c r="H124" s="13"/>
      <c r="I124" s="13"/>
      <c r="J124" s="13"/>
      <c r="K124" s="64" t="str">
        <f>IF(AND($C124&lt;&gt;"",$I124&lt;&gt;"Closed",$I124&lt;&gt;"Complete",$I124&lt;&gt;"",$C124&amp;""=PMIS_Home!$B$4&amp;""),MAX($K$4:K123)+1,"")</f>
        <v/>
      </c>
    </row>
    <row r="125" spans="1:11" ht="135" customHeight="1">
      <c r="A125" s="13"/>
      <c r="B125" s="62"/>
      <c r="C125" s="13"/>
      <c r="D125" s="13"/>
      <c r="E125" s="13"/>
      <c r="F125" s="13"/>
      <c r="G125" s="13"/>
      <c r="H125" s="13"/>
      <c r="I125" s="13"/>
      <c r="J125" s="13"/>
      <c r="K125" s="64" t="str">
        <f>IF(AND($C125&lt;&gt;"",$I125&lt;&gt;"Closed",$I125&lt;&gt;"Complete",$I125&lt;&gt;"",$C125&amp;""=PMIS_Home!$B$4&amp;""),MAX($K$4:K124)+1,"")</f>
        <v/>
      </c>
    </row>
    <row r="126" spans="1:11" ht="135" customHeight="1">
      <c r="A126" s="13"/>
      <c r="B126" s="62"/>
      <c r="C126" s="13"/>
      <c r="D126" s="13"/>
      <c r="E126" s="13"/>
      <c r="F126" s="13"/>
      <c r="G126" s="13"/>
      <c r="H126" s="13"/>
      <c r="I126" s="13"/>
      <c r="J126" s="13"/>
      <c r="K126" s="64" t="str">
        <f>IF(AND($C126&lt;&gt;"",$I126&lt;&gt;"Closed",$I126&lt;&gt;"Complete",$I126&lt;&gt;"",$C126&amp;""=PMIS_Home!$B$4&amp;""),MAX($K$4:K125)+1,"")</f>
        <v/>
      </c>
    </row>
    <row r="127" spans="1:11" ht="135" customHeight="1">
      <c r="A127" s="13"/>
      <c r="B127" s="62"/>
      <c r="C127" s="13"/>
      <c r="D127" s="13"/>
      <c r="E127" s="13"/>
      <c r="F127" s="13"/>
      <c r="G127" s="13"/>
      <c r="H127" s="13"/>
      <c r="I127" s="13"/>
      <c r="J127" s="13"/>
      <c r="K127" s="64" t="str">
        <f>IF(AND($C127&lt;&gt;"",$I127&lt;&gt;"Closed",$I127&lt;&gt;"Complete",$I127&lt;&gt;"",$C127&amp;""=PMIS_Home!$B$4&amp;""),MAX($K$4:K126)+1,"")</f>
        <v/>
      </c>
    </row>
    <row r="128" spans="1:11" ht="135" customHeight="1">
      <c r="A128" s="13"/>
      <c r="B128" s="62"/>
      <c r="C128" s="13"/>
      <c r="D128" s="13"/>
      <c r="E128" s="13"/>
      <c r="F128" s="13"/>
      <c r="G128" s="13"/>
      <c r="H128" s="13"/>
      <c r="I128" s="13"/>
      <c r="J128" s="13"/>
      <c r="K128" s="64" t="str">
        <f>IF(AND($C128&lt;&gt;"",$I128&lt;&gt;"Closed",$I128&lt;&gt;"Complete",$I128&lt;&gt;"",$C128&amp;""=PMIS_Home!$B$4&amp;""),MAX($K$4:K127)+1,"")</f>
        <v/>
      </c>
    </row>
    <row r="129" spans="1:11" ht="135" customHeight="1">
      <c r="A129" s="13"/>
      <c r="B129" s="62"/>
      <c r="C129" s="13"/>
      <c r="D129" s="13"/>
      <c r="E129" s="13"/>
      <c r="F129" s="13"/>
      <c r="G129" s="13"/>
      <c r="H129" s="13"/>
      <c r="I129" s="13"/>
      <c r="J129" s="13"/>
      <c r="K129" s="64" t="str">
        <f>IF(AND($C129&lt;&gt;"",$I129&lt;&gt;"Closed",$I129&lt;&gt;"Complete",$I129&lt;&gt;"",$C129&amp;""=PMIS_Home!$B$4&amp;""),MAX($K$4:K128)+1,"")</f>
        <v/>
      </c>
    </row>
    <row r="130" spans="1:11" ht="135" customHeight="1">
      <c r="A130" s="13"/>
      <c r="B130" s="62"/>
      <c r="C130" s="13"/>
      <c r="D130" s="13"/>
      <c r="E130" s="13"/>
      <c r="F130" s="13"/>
      <c r="G130" s="13"/>
      <c r="H130" s="13"/>
      <c r="I130" s="13"/>
      <c r="J130" s="13"/>
      <c r="K130" s="64" t="str">
        <f>IF(AND($C130&lt;&gt;"",$I130&lt;&gt;"Closed",$I130&lt;&gt;"Complete",$I130&lt;&gt;"",$C130&amp;""=PMIS_Home!$B$4&amp;""),MAX($K$4:K129)+1,"")</f>
        <v/>
      </c>
    </row>
    <row r="131" spans="1:11" ht="135" customHeight="1">
      <c r="A131" s="13"/>
      <c r="B131" s="62"/>
      <c r="C131" s="13"/>
      <c r="D131" s="13"/>
      <c r="E131" s="13"/>
      <c r="F131" s="13"/>
      <c r="G131" s="13"/>
      <c r="H131" s="13"/>
      <c r="I131" s="13"/>
      <c r="J131" s="13"/>
      <c r="K131" s="64" t="str">
        <f>IF(AND($C131&lt;&gt;"",$I131&lt;&gt;"Closed",$I131&lt;&gt;"Complete",$I131&lt;&gt;"",$C131&amp;""=PMIS_Home!$B$4&amp;""),MAX($K$4:K130)+1,"")</f>
        <v/>
      </c>
    </row>
    <row r="132" spans="1:11" ht="135" customHeight="1">
      <c r="A132" s="13"/>
      <c r="B132" s="62"/>
      <c r="C132" s="13"/>
      <c r="D132" s="13"/>
      <c r="E132" s="13"/>
      <c r="F132" s="13"/>
      <c r="G132" s="13"/>
      <c r="H132" s="13"/>
      <c r="I132" s="13"/>
      <c r="J132" s="13"/>
      <c r="K132" s="64" t="str">
        <f>IF(AND($C132&lt;&gt;"",$I132&lt;&gt;"Closed",$I132&lt;&gt;"Complete",$I132&lt;&gt;"",$C132&amp;""=PMIS_Home!$B$4&amp;""),MAX($K$4:K131)+1,"")</f>
        <v/>
      </c>
    </row>
    <row r="133" spans="1:11" ht="135" customHeight="1">
      <c r="A133" s="13"/>
      <c r="B133" s="62"/>
      <c r="C133" s="13"/>
      <c r="D133" s="13"/>
      <c r="E133" s="13"/>
      <c r="F133" s="13"/>
      <c r="G133" s="13"/>
      <c r="H133" s="13"/>
      <c r="I133" s="13"/>
      <c r="J133" s="13"/>
      <c r="K133" s="64" t="str">
        <f>IF(AND($C133&lt;&gt;"",$I133&lt;&gt;"Closed",$I133&lt;&gt;"Complete",$I133&lt;&gt;"",$C133&amp;""=PMIS_Home!$B$4&amp;""),MAX($K$4:K132)+1,"")</f>
        <v/>
      </c>
    </row>
    <row r="134" spans="1:11" ht="135" customHeight="1">
      <c r="A134" s="13"/>
      <c r="B134" s="62"/>
      <c r="C134" s="13"/>
      <c r="D134" s="13"/>
      <c r="E134" s="13"/>
      <c r="F134" s="13"/>
      <c r="G134" s="13"/>
      <c r="H134" s="13"/>
      <c r="I134" s="13"/>
      <c r="J134" s="13"/>
      <c r="K134" s="64" t="str">
        <f>IF(AND($C134&lt;&gt;"",$I134&lt;&gt;"Closed",$I134&lt;&gt;"Complete",$I134&lt;&gt;"",$C134&amp;""=PMIS_Home!$B$4&amp;""),MAX($K$4:K133)+1,"")</f>
        <v/>
      </c>
    </row>
    <row r="135" spans="1:11" ht="135" customHeight="1">
      <c r="A135" s="13"/>
      <c r="B135" s="62"/>
      <c r="C135" s="13"/>
      <c r="D135" s="13"/>
      <c r="E135" s="13"/>
      <c r="F135" s="13"/>
      <c r="G135" s="13"/>
      <c r="H135" s="13"/>
      <c r="I135" s="13"/>
      <c r="J135" s="13"/>
      <c r="K135" s="64" t="str">
        <f>IF(AND($C135&lt;&gt;"",$I135&lt;&gt;"Closed",$I135&lt;&gt;"Complete",$I135&lt;&gt;"",$C135&amp;""=PMIS_Home!$B$4&amp;""),MAX($K$4:K134)+1,"")</f>
        <v/>
      </c>
    </row>
    <row r="136" spans="1:11" ht="135" customHeight="1">
      <c r="A136" s="13"/>
      <c r="B136" s="62"/>
      <c r="C136" s="13"/>
      <c r="D136" s="13"/>
      <c r="E136" s="13"/>
      <c r="F136" s="13"/>
      <c r="G136" s="13"/>
      <c r="H136" s="13"/>
      <c r="I136" s="13"/>
      <c r="J136" s="13"/>
      <c r="K136" s="64" t="str">
        <f>IF(AND($C136&lt;&gt;"",$I136&lt;&gt;"Closed",$I136&lt;&gt;"Complete",$I136&lt;&gt;"",$C136&amp;""=PMIS_Home!$B$4&amp;""),MAX($K$4:K135)+1,"")</f>
        <v/>
      </c>
    </row>
    <row r="137" spans="1:11" ht="135" customHeight="1">
      <c r="A137" s="13"/>
      <c r="B137" s="62"/>
      <c r="C137" s="13"/>
      <c r="D137" s="13"/>
      <c r="E137" s="13"/>
      <c r="F137" s="13"/>
      <c r="G137" s="13"/>
      <c r="H137" s="13"/>
      <c r="I137" s="13"/>
      <c r="J137" s="13"/>
      <c r="K137" s="64" t="str">
        <f>IF(AND($C137&lt;&gt;"",$I137&lt;&gt;"Closed",$I137&lt;&gt;"Complete",$I137&lt;&gt;"",$C137&amp;""=PMIS_Home!$B$4&amp;""),MAX($K$4:K136)+1,"")</f>
        <v/>
      </c>
    </row>
    <row r="138" spans="1:11" ht="135" customHeight="1">
      <c r="A138" s="13"/>
      <c r="B138" s="62"/>
      <c r="C138" s="13"/>
      <c r="D138" s="13"/>
      <c r="E138" s="13"/>
      <c r="F138" s="13"/>
      <c r="G138" s="13"/>
      <c r="H138" s="13"/>
      <c r="I138" s="13"/>
      <c r="J138" s="13"/>
      <c r="K138" s="64" t="str">
        <f>IF(AND($C138&lt;&gt;"",$I138&lt;&gt;"Closed",$I138&lt;&gt;"Complete",$I138&lt;&gt;"",$C138&amp;""=PMIS_Home!$B$4&amp;""),MAX($K$4:K137)+1,"")</f>
        <v/>
      </c>
    </row>
    <row r="139" spans="1:11" ht="135" customHeight="1">
      <c r="A139" s="13"/>
      <c r="B139" s="62"/>
      <c r="C139" s="13"/>
      <c r="D139" s="13"/>
      <c r="E139" s="13"/>
      <c r="F139" s="13"/>
      <c r="G139" s="13"/>
      <c r="H139" s="13"/>
      <c r="I139" s="13"/>
      <c r="J139" s="13"/>
      <c r="K139" s="64" t="str">
        <f>IF(AND($C139&lt;&gt;"",$I139&lt;&gt;"Closed",$I139&lt;&gt;"Complete",$I139&lt;&gt;"",$C139&amp;""=PMIS_Home!$B$4&amp;""),MAX($K$4:K138)+1,"")</f>
        <v/>
      </c>
    </row>
    <row r="140" spans="1:11" ht="135" customHeight="1">
      <c r="A140" s="13"/>
      <c r="B140" s="62"/>
      <c r="C140" s="13"/>
      <c r="D140" s="13"/>
      <c r="E140" s="13"/>
      <c r="F140" s="13"/>
      <c r="G140" s="13"/>
      <c r="H140" s="13"/>
      <c r="I140" s="13"/>
      <c r="J140" s="13"/>
      <c r="K140" s="64" t="str">
        <f>IF(AND($C140&lt;&gt;"",$I140&lt;&gt;"Closed",$I140&lt;&gt;"Complete",$I140&lt;&gt;"",$C140&amp;""=PMIS_Home!$B$4&amp;""),MAX($K$4:K139)+1,"")</f>
        <v/>
      </c>
    </row>
    <row r="141" spans="1:11" ht="135" customHeight="1">
      <c r="A141" s="13"/>
      <c r="B141" s="62"/>
      <c r="C141" s="13"/>
      <c r="D141" s="13"/>
      <c r="E141" s="13"/>
      <c r="F141" s="13"/>
      <c r="G141" s="13"/>
      <c r="H141" s="13"/>
      <c r="I141" s="13"/>
      <c r="J141" s="13"/>
      <c r="K141" s="64" t="str">
        <f>IF(AND($C141&lt;&gt;"",$I141&lt;&gt;"Closed",$I141&lt;&gt;"Complete",$I141&lt;&gt;"",$C141&amp;""=PMIS_Home!$B$4&amp;""),MAX($K$4:K140)+1,"")</f>
        <v/>
      </c>
    </row>
    <row r="142" spans="1:11" ht="135" customHeight="1">
      <c r="A142" s="13"/>
      <c r="B142" s="62"/>
      <c r="C142" s="13"/>
      <c r="D142" s="13"/>
      <c r="E142" s="13"/>
      <c r="F142" s="13"/>
      <c r="G142" s="13"/>
      <c r="H142" s="13"/>
      <c r="I142" s="13"/>
      <c r="J142" s="13"/>
      <c r="K142" s="64" t="str">
        <f>IF(AND($C142&lt;&gt;"",$I142&lt;&gt;"Closed",$I142&lt;&gt;"Complete",$I142&lt;&gt;"",$C142&amp;""=PMIS_Home!$B$4&amp;""),MAX($K$4:K141)+1,"")</f>
        <v/>
      </c>
    </row>
    <row r="143" spans="1:11" ht="135" customHeight="1">
      <c r="A143" s="13"/>
      <c r="B143" s="62"/>
      <c r="C143" s="13"/>
      <c r="D143" s="13"/>
      <c r="E143" s="13"/>
      <c r="F143" s="13"/>
      <c r="G143" s="13"/>
      <c r="H143" s="13"/>
      <c r="I143" s="13"/>
      <c r="J143" s="13"/>
      <c r="K143" s="64" t="str">
        <f>IF(AND($C143&lt;&gt;"",$I143&lt;&gt;"Closed",$I143&lt;&gt;"Complete",$I143&lt;&gt;"",$C143&amp;""=PMIS_Home!$B$4&amp;""),MAX($K$4:K142)+1,"")</f>
        <v/>
      </c>
    </row>
    <row r="144" spans="1:11" ht="135" customHeight="1">
      <c r="A144" s="13"/>
      <c r="B144" s="62"/>
      <c r="C144" s="13"/>
      <c r="D144" s="13"/>
      <c r="E144" s="13"/>
      <c r="F144" s="13"/>
      <c r="G144" s="13"/>
      <c r="H144" s="13"/>
      <c r="I144" s="13"/>
      <c r="J144" s="13"/>
      <c r="K144" s="64" t="str">
        <f>IF(AND($C144&lt;&gt;"",$I144&lt;&gt;"Closed",$I144&lt;&gt;"Complete",$I144&lt;&gt;"",$C144&amp;""=PMIS_Home!$B$4&amp;""),MAX($K$4:K143)+1,"")</f>
        <v/>
      </c>
    </row>
    <row r="145" spans="1:11" ht="135" customHeight="1">
      <c r="A145" s="13"/>
      <c r="B145" s="62"/>
      <c r="C145" s="13"/>
      <c r="D145" s="13"/>
      <c r="E145" s="13"/>
      <c r="F145" s="13"/>
      <c r="G145" s="13"/>
      <c r="H145" s="13"/>
      <c r="I145" s="13"/>
      <c r="J145" s="13"/>
      <c r="K145" s="64" t="str">
        <f>IF(AND($C145&lt;&gt;"",$I145&lt;&gt;"Closed",$I145&lt;&gt;"Complete",$I145&lt;&gt;"",$C145&amp;""=PMIS_Home!$B$4&amp;""),MAX($K$4:K144)+1,"")</f>
        <v/>
      </c>
    </row>
    <row r="146" spans="1:11" ht="135" customHeight="1">
      <c r="A146" s="13"/>
      <c r="B146" s="62"/>
      <c r="C146" s="13"/>
      <c r="D146" s="13"/>
      <c r="E146" s="13"/>
      <c r="F146" s="13"/>
      <c r="G146" s="13"/>
      <c r="H146" s="13"/>
      <c r="I146" s="13"/>
      <c r="J146" s="13"/>
      <c r="K146" s="64" t="str">
        <f>IF(AND($C146&lt;&gt;"",$I146&lt;&gt;"Closed",$I146&lt;&gt;"Complete",$I146&lt;&gt;"",$C146&amp;""=PMIS_Home!$B$4&amp;""),MAX($K$4:K145)+1,"")</f>
        <v/>
      </c>
    </row>
    <row r="147" spans="1:11" ht="135" customHeight="1">
      <c r="A147" s="13"/>
      <c r="B147" s="62"/>
      <c r="C147" s="13"/>
      <c r="D147" s="13"/>
      <c r="E147" s="13"/>
      <c r="F147" s="13"/>
      <c r="G147" s="13"/>
      <c r="H147" s="13"/>
      <c r="I147" s="13"/>
      <c r="J147" s="13"/>
      <c r="K147" s="64" t="str">
        <f>IF(AND($C147&lt;&gt;"",$I147&lt;&gt;"Closed",$I147&lt;&gt;"Complete",$I147&lt;&gt;"",$C147&amp;""=PMIS_Home!$B$4&amp;""),MAX($K$4:K146)+1,"")</f>
        <v/>
      </c>
    </row>
    <row r="148" spans="1:11" ht="135" customHeight="1">
      <c r="A148" s="13"/>
      <c r="B148" s="62"/>
      <c r="C148" s="13"/>
      <c r="D148" s="13"/>
      <c r="E148" s="13"/>
      <c r="F148" s="13"/>
      <c r="G148" s="13"/>
      <c r="H148" s="13"/>
      <c r="I148" s="13"/>
      <c r="J148" s="13"/>
      <c r="K148" s="64" t="str">
        <f>IF(AND($C148&lt;&gt;"",$I148&lt;&gt;"Closed",$I148&lt;&gt;"Complete",$I148&lt;&gt;"",$C148&amp;""=PMIS_Home!$B$4&amp;""),MAX($K$4:K147)+1,"")</f>
        <v/>
      </c>
    </row>
    <row r="149" spans="1:11" ht="135" customHeight="1">
      <c r="A149" s="13"/>
      <c r="B149" s="62"/>
      <c r="C149" s="13"/>
      <c r="D149" s="13"/>
      <c r="E149" s="13"/>
      <c r="F149" s="13"/>
      <c r="G149" s="13"/>
      <c r="H149" s="13"/>
      <c r="I149" s="13"/>
      <c r="J149" s="13"/>
      <c r="K149" s="64" t="str">
        <f>IF(AND($C149&lt;&gt;"",$I149&lt;&gt;"Closed",$I149&lt;&gt;"Complete",$I149&lt;&gt;"",$C149&amp;""=PMIS_Home!$B$4&amp;""),MAX($K$4:K148)+1,"")</f>
        <v/>
      </c>
    </row>
    <row r="150" spans="1:11" ht="135" customHeight="1">
      <c r="A150" s="13"/>
      <c r="B150" s="62"/>
      <c r="C150" s="13"/>
      <c r="D150" s="13"/>
      <c r="E150" s="13"/>
      <c r="F150" s="13"/>
      <c r="G150" s="13"/>
      <c r="H150" s="13"/>
      <c r="I150" s="13"/>
      <c r="J150" s="13"/>
      <c r="K150" s="64" t="str">
        <f>IF(AND($C150&lt;&gt;"",$I150&lt;&gt;"Closed",$I150&lt;&gt;"Complete",$I150&lt;&gt;"",$C150&amp;""=PMIS_Home!$B$4&amp;""),MAX($K$4:K149)+1,"")</f>
        <v/>
      </c>
    </row>
    <row r="151" spans="1:11" ht="135" customHeight="1">
      <c r="A151" s="13"/>
      <c r="B151" s="62"/>
      <c r="C151" s="13"/>
      <c r="D151" s="13"/>
      <c r="E151" s="13"/>
      <c r="F151" s="13"/>
      <c r="G151" s="13"/>
      <c r="H151" s="13"/>
      <c r="I151" s="13"/>
      <c r="J151" s="13"/>
      <c r="K151" s="64" t="str">
        <f>IF(AND($C151&lt;&gt;"",$I151&lt;&gt;"Closed",$I151&lt;&gt;"Complete",$I151&lt;&gt;"",$C151&amp;""=PMIS_Home!$B$4&amp;""),MAX($K$4:K150)+1,"")</f>
        <v/>
      </c>
    </row>
    <row r="152" spans="1:11" ht="135" customHeight="1">
      <c r="A152" s="13"/>
      <c r="B152" s="62"/>
      <c r="C152" s="13"/>
      <c r="D152" s="13"/>
      <c r="E152" s="13"/>
      <c r="F152" s="13"/>
      <c r="G152" s="13"/>
      <c r="H152" s="13"/>
      <c r="I152" s="13"/>
      <c r="J152" s="13"/>
      <c r="K152" s="64" t="str">
        <f>IF(AND($C152&lt;&gt;"",$I152&lt;&gt;"Closed",$I152&lt;&gt;"Complete",$I152&lt;&gt;"",$C152&amp;""=PMIS_Home!$B$4&amp;""),MAX($K$4:K151)+1,"")</f>
        <v/>
      </c>
    </row>
    <row r="153" spans="1:11" ht="135" customHeight="1">
      <c r="A153" s="13"/>
      <c r="B153" s="62"/>
      <c r="C153" s="13"/>
      <c r="D153" s="13"/>
      <c r="E153" s="13"/>
      <c r="F153" s="13"/>
      <c r="G153" s="13"/>
      <c r="H153" s="13"/>
      <c r="I153" s="13"/>
      <c r="J153" s="13"/>
      <c r="K153" s="64" t="str">
        <f>IF(AND($C153&lt;&gt;"",$I153&lt;&gt;"Closed",$I153&lt;&gt;"Complete",$I153&lt;&gt;"",$C153&amp;""=PMIS_Home!$B$4&amp;""),MAX($K$4:K152)+1,"")</f>
        <v/>
      </c>
    </row>
    <row r="154" spans="1:11" ht="135" customHeight="1">
      <c r="A154" s="13"/>
      <c r="B154" s="62"/>
      <c r="C154" s="13"/>
      <c r="D154" s="13"/>
      <c r="E154" s="13"/>
      <c r="F154" s="13"/>
      <c r="G154" s="13"/>
      <c r="H154" s="13"/>
      <c r="I154" s="13"/>
      <c r="J154" s="13"/>
      <c r="K154" s="64" t="str">
        <f>IF(AND($C154&lt;&gt;"",$I154&lt;&gt;"Closed",$I154&lt;&gt;"Complete",$I154&lt;&gt;"",$C154&amp;""=PMIS_Home!$B$4&amp;""),MAX($K$4:K153)+1,"")</f>
        <v/>
      </c>
    </row>
    <row r="155" spans="1:11" ht="135" customHeight="1">
      <c r="A155" s="13"/>
      <c r="B155" s="62"/>
      <c r="C155" s="13"/>
      <c r="D155" s="13"/>
      <c r="E155" s="13"/>
      <c r="F155" s="13"/>
      <c r="G155" s="13"/>
      <c r="H155" s="13"/>
      <c r="I155" s="13"/>
      <c r="J155" s="13"/>
      <c r="K155" s="64" t="str">
        <f>IF(AND($C155&lt;&gt;"",$I155&lt;&gt;"Closed",$I155&lt;&gt;"Complete",$I155&lt;&gt;"",$C155&amp;""=PMIS_Home!$B$4&amp;""),MAX($K$4:K154)+1,"")</f>
        <v/>
      </c>
    </row>
    <row r="156" spans="1:11" ht="135" customHeight="1">
      <c r="A156" s="13"/>
      <c r="B156" s="62"/>
      <c r="C156" s="13"/>
      <c r="D156" s="13"/>
      <c r="E156" s="13"/>
      <c r="F156" s="13"/>
      <c r="G156" s="13"/>
      <c r="H156" s="13"/>
      <c r="I156" s="13"/>
      <c r="J156" s="13"/>
      <c r="K156" s="64" t="str">
        <f>IF(AND($C156&lt;&gt;"",$I156&lt;&gt;"Closed",$I156&lt;&gt;"Complete",$I156&lt;&gt;"",$C156&amp;""=PMIS_Home!$B$4&amp;""),MAX($K$4:K155)+1,"")</f>
        <v/>
      </c>
    </row>
    <row r="157" spans="1:11" ht="135" customHeight="1">
      <c r="A157" s="13"/>
      <c r="B157" s="62"/>
      <c r="C157" s="13"/>
      <c r="D157" s="13"/>
      <c r="E157" s="13"/>
      <c r="F157" s="13"/>
      <c r="G157" s="13"/>
      <c r="H157" s="13"/>
      <c r="I157" s="13"/>
      <c r="J157" s="13"/>
      <c r="K157" s="64" t="str">
        <f>IF(AND($C157&lt;&gt;"",$I157&lt;&gt;"Closed",$I157&lt;&gt;"Complete",$I157&lt;&gt;"",$C157&amp;""=PMIS_Home!$B$4&amp;""),MAX($K$4:K156)+1,"")</f>
        <v/>
      </c>
    </row>
    <row r="158" spans="1:11" ht="135" customHeight="1">
      <c r="A158" s="13"/>
      <c r="B158" s="62"/>
      <c r="C158" s="13"/>
      <c r="D158" s="13"/>
      <c r="E158" s="13"/>
      <c r="F158" s="13"/>
      <c r="G158" s="13"/>
      <c r="H158" s="13"/>
      <c r="I158" s="13"/>
      <c r="J158" s="13"/>
      <c r="K158" s="64" t="str">
        <f>IF(AND($C158&lt;&gt;"",$I158&lt;&gt;"Closed",$I158&lt;&gt;"Complete",$I158&lt;&gt;"",$C158&amp;""=PMIS_Home!$B$4&amp;""),MAX($K$4:K157)+1,"")</f>
        <v/>
      </c>
    </row>
    <row r="159" spans="1:11" ht="135" customHeight="1">
      <c r="A159" s="13"/>
      <c r="B159" s="62"/>
      <c r="C159" s="13"/>
      <c r="D159" s="13"/>
      <c r="E159" s="13"/>
      <c r="F159" s="13"/>
      <c r="G159" s="13"/>
      <c r="H159" s="13"/>
      <c r="I159" s="13"/>
      <c r="J159" s="13"/>
      <c r="K159" s="64" t="str">
        <f>IF(AND($C159&lt;&gt;"",$I159&lt;&gt;"Closed",$I159&lt;&gt;"Complete",$I159&lt;&gt;"",$C159&amp;""=PMIS_Home!$B$4&amp;""),MAX($K$4:K158)+1,"")</f>
        <v/>
      </c>
    </row>
    <row r="160" spans="1:11" ht="135" customHeight="1">
      <c r="A160" s="13"/>
      <c r="B160" s="62"/>
      <c r="C160" s="13"/>
      <c r="D160" s="13"/>
      <c r="E160" s="13"/>
      <c r="F160" s="13"/>
      <c r="G160" s="13"/>
      <c r="H160" s="13"/>
      <c r="I160" s="13"/>
      <c r="J160" s="13"/>
      <c r="K160" s="64" t="str">
        <f>IF(AND($C160&lt;&gt;"",$I160&lt;&gt;"Closed",$I160&lt;&gt;"Complete",$I160&lt;&gt;"",$C160&amp;""=PMIS_Home!$B$4&amp;""),MAX($K$4:K159)+1,"")</f>
        <v/>
      </c>
    </row>
    <row r="161" spans="1:11" ht="135" customHeight="1">
      <c r="A161" s="13"/>
      <c r="B161" s="62"/>
      <c r="C161" s="13"/>
      <c r="D161" s="13"/>
      <c r="E161" s="13"/>
      <c r="F161" s="13"/>
      <c r="G161" s="13"/>
      <c r="H161" s="13"/>
      <c r="I161" s="13"/>
      <c r="J161" s="13"/>
      <c r="K161" s="64" t="str">
        <f>IF(AND($C161&lt;&gt;"",$I161&lt;&gt;"Closed",$I161&lt;&gt;"Complete",$I161&lt;&gt;"",$C161&amp;""=PMIS_Home!$B$4&amp;""),MAX($K$4:K160)+1,"")</f>
        <v/>
      </c>
    </row>
    <row r="162" spans="1:11" ht="135" customHeight="1">
      <c r="A162" s="13"/>
      <c r="B162" s="62"/>
      <c r="C162" s="13"/>
      <c r="D162" s="13"/>
      <c r="E162" s="13"/>
      <c r="F162" s="13"/>
      <c r="G162" s="13"/>
      <c r="H162" s="13"/>
      <c r="I162" s="13"/>
      <c r="J162" s="13"/>
      <c r="K162" s="64" t="str">
        <f>IF(AND($C162&lt;&gt;"",$I162&lt;&gt;"Closed",$I162&lt;&gt;"Complete",$I162&lt;&gt;"",$C162&amp;""=PMIS_Home!$B$4&amp;""),MAX($K$4:K161)+1,"")</f>
        <v/>
      </c>
    </row>
    <row r="163" spans="1:11" ht="135" customHeight="1">
      <c r="A163" s="13"/>
      <c r="B163" s="62"/>
      <c r="C163" s="13"/>
      <c r="D163" s="13"/>
      <c r="E163" s="13"/>
      <c r="F163" s="13"/>
      <c r="G163" s="13"/>
      <c r="H163" s="13"/>
      <c r="I163" s="13"/>
      <c r="J163" s="13"/>
      <c r="K163" s="64" t="str">
        <f>IF(AND($C163&lt;&gt;"",$I163&lt;&gt;"Closed",$I163&lt;&gt;"Complete",$I163&lt;&gt;"",$C163&amp;""=PMIS_Home!$B$4&amp;""),MAX($K$4:K162)+1,"")</f>
        <v/>
      </c>
    </row>
    <row r="164" spans="1:11" ht="135" customHeight="1">
      <c r="A164" s="13"/>
      <c r="B164" s="62"/>
      <c r="C164" s="13"/>
      <c r="D164" s="13"/>
      <c r="E164" s="13"/>
      <c r="F164" s="13"/>
      <c r="G164" s="13"/>
      <c r="H164" s="13"/>
      <c r="I164" s="13"/>
      <c r="J164" s="13"/>
      <c r="K164" s="64" t="str">
        <f>IF(AND($C164&lt;&gt;"",$I164&lt;&gt;"Closed",$I164&lt;&gt;"Complete",$I164&lt;&gt;"",$C164&amp;""=PMIS_Home!$B$4&amp;""),MAX($K$4:K163)+1,"")</f>
        <v/>
      </c>
    </row>
    <row r="165" spans="1:11" ht="135" customHeight="1">
      <c r="A165" s="13"/>
      <c r="B165" s="62"/>
      <c r="C165" s="13"/>
      <c r="D165" s="13"/>
      <c r="E165" s="13"/>
      <c r="F165" s="13"/>
      <c r="G165" s="13"/>
      <c r="H165" s="13"/>
      <c r="I165" s="13"/>
      <c r="J165" s="13"/>
      <c r="K165" s="64" t="str">
        <f>IF(AND($C165&lt;&gt;"",$I165&lt;&gt;"Closed",$I165&lt;&gt;"Complete",$I165&lt;&gt;"",$C165&amp;""=PMIS_Home!$B$4&amp;""),MAX($K$4:K164)+1,"")</f>
        <v/>
      </c>
    </row>
    <row r="166" spans="1:11" ht="135" customHeight="1">
      <c r="A166" s="13"/>
      <c r="B166" s="62"/>
      <c r="C166" s="13"/>
      <c r="D166" s="13"/>
      <c r="E166" s="13"/>
      <c r="F166" s="13"/>
      <c r="G166" s="13"/>
      <c r="H166" s="13"/>
      <c r="I166" s="13"/>
      <c r="J166" s="13"/>
      <c r="K166" s="64" t="str">
        <f>IF(AND($C166&lt;&gt;"",$I166&lt;&gt;"Closed",$I166&lt;&gt;"Complete",$I166&lt;&gt;"",$C166&amp;""=PMIS_Home!$B$4&amp;""),MAX($K$4:K165)+1,"")</f>
        <v/>
      </c>
    </row>
    <row r="167" spans="1:11" ht="135" customHeight="1">
      <c r="A167" s="13"/>
      <c r="B167" s="62"/>
      <c r="C167" s="13"/>
      <c r="D167" s="13"/>
      <c r="E167" s="13"/>
      <c r="F167" s="13"/>
      <c r="G167" s="13"/>
      <c r="H167" s="13"/>
      <c r="I167" s="13"/>
      <c r="J167" s="13"/>
      <c r="K167" s="64" t="str">
        <f>IF(AND($C167&lt;&gt;"",$I167&lt;&gt;"Closed",$I167&lt;&gt;"Complete",$I167&lt;&gt;"",$C167&amp;""=PMIS_Home!$B$4&amp;""),MAX($K$4:K166)+1,"")</f>
        <v/>
      </c>
    </row>
    <row r="168" spans="1:11" ht="135" customHeight="1">
      <c r="A168" s="13"/>
      <c r="B168" s="62"/>
      <c r="C168" s="13"/>
      <c r="D168" s="13"/>
      <c r="E168" s="13"/>
      <c r="F168" s="13"/>
      <c r="G168" s="13"/>
      <c r="H168" s="13"/>
      <c r="I168" s="13"/>
      <c r="J168" s="13"/>
      <c r="K168" s="64" t="str">
        <f>IF(AND($C168&lt;&gt;"",$I168&lt;&gt;"Closed",$I168&lt;&gt;"Complete",$I168&lt;&gt;"",$C168&amp;""=PMIS_Home!$B$4&amp;""),MAX($K$4:K167)+1,"")</f>
        <v/>
      </c>
    </row>
    <row r="169" spans="1:11" ht="135" customHeight="1">
      <c r="A169" s="13"/>
      <c r="B169" s="62"/>
      <c r="C169" s="13"/>
      <c r="D169" s="13"/>
      <c r="E169" s="13"/>
      <c r="F169" s="13"/>
      <c r="G169" s="13"/>
      <c r="H169" s="13"/>
      <c r="I169" s="13"/>
      <c r="J169" s="13"/>
      <c r="K169" s="64" t="str">
        <f>IF(AND($C169&lt;&gt;"",$I169&lt;&gt;"Closed",$I169&lt;&gt;"Complete",$I169&lt;&gt;"",$C169&amp;""=PMIS_Home!$B$4&amp;""),MAX($K$4:K168)+1,"")</f>
        <v/>
      </c>
    </row>
    <row r="170" spans="1:11" ht="135" customHeight="1">
      <c r="A170" s="13"/>
      <c r="B170" s="62"/>
      <c r="C170" s="13"/>
      <c r="D170" s="13"/>
      <c r="E170" s="13"/>
      <c r="F170" s="13"/>
      <c r="G170" s="13"/>
      <c r="H170" s="13"/>
      <c r="I170" s="13"/>
      <c r="J170" s="13"/>
      <c r="K170" s="64" t="str">
        <f>IF(AND($C170&lt;&gt;"",$I170&lt;&gt;"Closed",$I170&lt;&gt;"Complete",$I170&lt;&gt;"",$C170&amp;""=PMIS_Home!$B$4&amp;""),MAX($K$4:K169)+1,"")</f>
        <v/>
      </c>
    </row>
    <row r="171" spans="1:11" ht="135" customHeight="1">
      <c r="A171" s="13"/>
      <c r="B171" s="62"/>
      <c r="C171" s="13"/>
      <c r="D171" s="13"/>
      <c r="E171" s="13"/>
      <c r="F171" s="13"/>
      <c r="G171" s="13"/>
      <c r="H171" s="13"/>
      <c r="I171" s="13"/>
      <c r="J171" s="13"/>
      <c r="K171" s="64" t="str">
        <f>IF(AND($C171&lt;&gt;"",$I171&lt;&gt;"Closed",$I171&lt;&gt;"Complete",$I171&lt;&gt;"",$C171&amp;""=PMIS_Home!$B$4&amp;""),MAX($K$4:K170)+1,"")</f>
        <v/>
      </c>
    </row>
    <row r="172" spans="1:11" ht="135" customHeight="1">
      <c r="A172" s="13"/>
      <c r="B172" s="62"/>
      <c r="C172" s="13"/>
      <c r="D172" s="13"/>
      <c r="E172" s="13"/>
      <c r="F172" s="13"/>
      <c r="G172" s="13"/>
      <c r="H172" s="13"/>
      <c r="I172" s="13"/>
      <c r="J172" s="13"/>
      <c r="K172" s="64" t="str">
        <f>IF(AND($C172&lt;&gt;"",$I172&lt;&gt;"Closed",$I172&lt;&gt;"Complete",$I172&lt;&gt;"",$C172&amp;""=PMIS_Home!$B$4&amp;""),MAX($K$4:K171)+1,"")</f>
        <v/>
      </c>
    </row>
    <row r="173" spans="1:11" ht="135" customHeight="1">
      <c r="A173" s="13"/>
      <c r="B173" s="62"/>
      <c r="C173" s="13"/>
      <c r="D173" s="13"/>
      <c r="E173" s="13"/>
      <c r="F173" s="13"/>
      <c r="G173" s="13"/>
      <c r="H173" s="13"/>
      <c r="I173" s="13"/>
      <c r="J173" s="13"/>
      <c r="K173" s="64" t="str">
        <f>IF(AND($C173&lt;&gt;"",$I173&lt;&gt;"Closed",$I173&lt;&gt;"Complete",$I173&lt;&gt;"",$C173&amp;""=PMIS_Home!$B$4&amp;""),MAX($K$4:K172)+1,"")</f>
        <v/>
      </c>
    </row>
    <row r="174" spans="1:11" ht="135" customHeight="1">
      <c r="A174" s="13"/>
      <c r="B174" s="62"/>
      <c r="C174" s="13"/>
      <c r="D174" s="13"/>
      <c r="E174" s="13"/>
      <c r="F174" s="13"/>
      <c r="G174" s="13"/>
      <c r="H174" s="13"/>
      <c r="I174" s="13"/>
      <c r="J174" s="13"/>
      <c r="K174" s="64" t="str">
        <f>IF(AND($C174&lt;&gt;"",$I174&lt;&gt;"Closed",$I174&lt;&gt;"Complete",$I174&lt;&gt;"",$C174&amp;""=PMIS_Home!$B$4&amp;""),MAX($K$4:K173)+1,"")</f>
        <v/>
      </c>
    </row>
    <row r="175" spans="1:11" ht="135" customHeight="1">
      <c r="A175" s="13"/>
      <c r="B175" s="62"/>
      <c r="C175" s="13"/>
      <c r="D175" s="13"/>
      <c r="E175" s="13"/>
      <c r="F175" s="13"/>
      <c r="G175" s="13"/>
      <c r="H175" s="13"/>
      <c r="I175" s="13"/>
      <c r="J175" s="13"/>
      <c r="K175" s="64" t="str">
        <f>IF(AND($C175&lt;&gt;"",$I175&lt;&gt;"Closed",$I175&lt;&gt;"Complete",$I175&lt;&gt;"",$C175&amp;""=PMIS_Home!$B$4&amp;""),MAX($K$4:K174)+1,"")</f>
        <v/>
      </c>
    </row>
    <row r="176" spans="1:11" ht="135" customHeight="1">
      <c r="A176" s="13"/>
      <c r="B176" s="62"/>
      <c r="C176" s="13"/>
      <c r="D176" s="13"/>
      <c r="E176" s="13"/>
      <c r="F176" s="13"/>
      <c r="G176" s="13"/>
      <c r="H176" s="13"/>
      <c r="I176" s="13"/>
      <c r="J176" s="13"/>
      <c r="K176" s="64" t="str">
        <f>IF(AND($C176&lt;&gt;"",$I176&lt;&gt;"Closed",$I176&lt;&gt;"Complete",$I176&lt;&gt;"",$C176&amp;""=PMIS_Home!$B$4&amp;""),MAX($K$4:K175)+1,"")</f>
        <v/>
      </c>
    </row>
    <row r="177" spans="1:11" ht="135" customHeight="1">
      <c r="A177" s="13"/>
      <c r="B177" s="62"/>
      <c r="C177" s="13"/>
      <c r="D177" s="13"/>
      <c r="E177" s="13"/>
      <c r="F177" s="13"/>
      <c r="G177" s="13"/>
      <c r="H177" s="13"/>
      <c r="I177" s="13"/>
      <c r="J177" s="13"/>
      <c r="K177" s="64" t="str">
        <f>IF(AND($C177&lt;&gt;"",$I177&lt;&gt;"Closed",$I177&lt;&gt;"Complete",$I177&lt;&gt;"",$C177&amp;""=PMIS_Home!$B$4&amp;""),MAX($K$4:K176)+1,"")</f>
        <v/>
      </c>
    </row>
    <row r="178" spans="1:11" ht="135" customHeight="1">
      <c r="A178" s="13"/>
      <c r="B178" s="62"/>
      <c r="C178" s="13"/>
      <c r="D178" s="13"/>
      <c r="E178" s="13"/>
      <c r="F178" s="13"/>
      <c r="G178" s="13"/>
      <c r="H178" s="13"/>
      <c r="I178" s="13"/>
      <c r="J178" s="13"/>
      <c r="K178" s="64" t="str">
        <f>IF(AND($C178&lt;&gt;"",$I178&lt;&gt;"Closed",$I178&lt;&gt;"Complete",$I178&lt;&gt;"",$C178&amp;""=PMIS_Home!$B$4&amp;""),MAX($K$4:K177)+1,"")</f>
        <v/>
      </c>
    </row>
    <row r="179" spans="1:11" ht="135" customHeight="1">
      <c r="A179" s="13"/>
      <c r="B179" s="62"/>
      <c r="C179" s="13"/>
      <c r="D179" s="13"/>
      <c r="E179" s="13"/>
      <c r="F179" s="13"/>
      <c r="G179" s="13"/>
      <c r="H179" s="13"/>
      <c r="I179" s="13"/>
      <c r="J179" s="13"/>
      <c r="K179" s="64" t="str">
        <f>IF(AND($C179&lt;&gt;"",$I179&lt;&gt;"Closed",$I179&lt;&gt;"Complete",$I179&lt;&gt;"",$C179&amp;""=PMIS_Home!$B$4&amp;""),MAX($K$4:K178)+1,"")</f>
        <v/>
      </c>
    </row>
    <row r="180" spans="1:11" ht="135" customHeight="1">
      <c r="A180" s="13"/>
      <c r="B180" s="62"/>
      <c r="C180" s="13"/>
      <c r="D180" s="13"/>
      <c r="E180" s="13"/>
      <c r="F180" s="13"/>
      <c r="G180" s="13"/>
      <c r="H180" s="13"/>
      <c r="I180" s="13"/>
      <c r="J180" s="13"/>
      <c r="K180" s="64" t="str">
        <f>IF(AND($C180&lt;&gt;"",$I180&lt;&gt;"Closed",$I180&lt;&gt;"Complete",$I180&lt;&gt;"",$C180&amp;""=PMIS_Home!$B$4&amp;""),MAX($K$4:K179)+1,"")</f>
        <v/>
      </c>
    </row>
    <row r="181" spans="1:11" ht="135" customHeight="1">
      <c r="A181" s="13"/>
      <c r="B181" s="62"/>
      <c r="C181" s="13"/>
      <c r="D181" s="13"/>
      <c r="E181" s="13"/>
      <c r="F181" s="13"/>
      <c r="G181" s="13"/>
      <c r="H181" s="13"/>
      <c r="I181" s="13"/>
      <c r="J181" s="13"/>
      <c r="K181" s="64" t="str">
        <f>IF(AND($C181&lt;&gt;"",$I181&lt;&gt;"Closed",$I181&lt;&gt;"Complete",$I181&lt;&gt;"",$C181&amp;""=PMIS_Home!$B$4&amp;""),MAX($K$4:K180)+1,"")</f>
        <v/>
      </c>
    </row>
    <row r="182" spans="1:11" ht="135" customHeight="1">
      <c r="A182" s="13"/>
      <c r="B182" s="62"/>
      <c r="C182" s="13"/>
      <c r="D182" s="13"/>
      <c r="E182" s="13"/>
      <c r="F182" s="13"/>
      <c r="G182" s="13"/>
      <c r="H182" s="13"/>
      <c r="I182" s="13"/>
      <c r="J182" s="13"/>
      <c r="K182" s="64" t="str">
        <f>IF(AND($C182&lt;&gt;"",$I182&lt;&gt;"Closed",$I182&lt;&gt;"Complete",$I182&lt;&gt;"",$C182&amp;""=PMIS_Home!$B$4&amp;""),MAX($K$4:K181)+1,"")</f>
        <v/>
      </c>
    </row>
    <row r="183" spans="1:11" ht="135" customHeight="1">
      <c r="A183" s="13"/>
      <c r="B183" s="62"/>
      <c r="C183" s="13"/>
      <c r="D183" s="13"/>
      <c r="E183" s="13"/>
      <c r="F183" s="13"/>
      <c r="G183" s="13"/>
      <c r="H183" s="13"/>
      <c r="I183" s="13"/>
      <c r="J183" s="13"/>
      <c r="K183" s="64" t="str">
        <f>IF(AND($C183&lt;&gt;"",$I183&lt;&gt;"Closed",$I183&lt;&gt;"Complete",$I183&lt;&gt;"",$C183&amp;""=PMIS_Home!$B$4&amp;""),MAX($K$4:K182)+1,"")</f>
        <v/>
      </c>
    </row>
    <row r="184" spans="1:11" ht="135" customHeight="1">
      <c r="A184" s="13"/>
      <c r="B184" s="62"/>
      <c r="C184" s="13"/>
      <c r="D184" s="13"/>
      <c r="E184" s="13"/>
      <c r="F184" s="13"/>
      <c r="G184" s="13"/>
      <c r="H184" s="13"/>
      <c r="I184" s="13"/>
      <c r="J184" s="13"/>
      <c r="K184" s="64" t="str">
        <f>IF(AND($C184&lt;&gt;"",$I184&lt;&gt;"Closed",$I184&lt;&gt;"Complete",$I184&lt;&gt;"",$C184&amp;""=PMIS_Home!$B$4&amp;""),MAX($K$4:K183)+1,"")</f>
        <v/>
      </c>
    </row>
    <row r="185" spans="1:11" ht="135" customHeight="1">
      <c r="A185" s="13"/>
      <c r="B185" s="62"/>
      <c r="C185" s="13"/>
      <c r="D185" s="13"/>
      <c r="E185" s="13"/>
      <c r="F185" s="13"/>
      <c r="G185" s="13"/>
      <c r="H185" s="13"/>
      <c r="I185" s="13"/>
      <c r="J185" s="13"/>
      <c r="K185" s="64" t="str">
        <f>IF(AND($C185&lt;&gt;"",$I185&lt;&gt;"Closed",$I185&lt;&gt;"Complete",$I185&lt;&gt;"",$C185&amp;""=PMIS_Home!$B$4&amp;""),MAX($K$4:K184)+1,"")</f>
        <v/>
      </c>
    </row>
    <row r="186" spans="1:11" ht="135" customHeight="1">
      <c r="A186" s="13"/>
      <c r="B186" s="62"/>
      <c r="C186" s="13"/>
      <c r="D186" s="13"/>
      <c r="E186" s="13"/>
      <c r="F186" s="13"/>
      <c r="G186" s="13"/>
      <c r="H186" s="13"/>
      <c r="I186" s="13"/>
      <c r="J186" s="13"/>
      <c r="K186" s="64" t="str">
        <f>IF(AND($C186&lt;&gt;"",$I186&lt;&gt;"Closed",$I186&lt;&gt;"Complete",$I186&lt;&gt;"",$C186&amp;""=PMIS_Home!$B$4&amp;""),MAX($K$4:K185)+1,"")</f>
        <v/>
      </c>
    </row>
    <row r="187" spans="1:11" ht="135" customHeight="1">
      <c r="A187" s="13"/>
      <c r="B187" s="62"/>
      <c r="C187" s="13"/>
      <c r="D187" s="13"/>
      <c r="E187" s="13"/>
      <c r="F187" s="13"/>
      <c r="G187" s="13"/>
      <c r="H187" s="13"/>
      <c r="I187" s="13"/>
      <c r="J187" s="13"/>
      <c r="K187" s="64" t="str">
        <f>IF(AND($C187&lt;&gt;"",$I187&lt;&gt;"Closed",$I187&lt;&gt;"Complete",$I187&lt;&gt;"",$C187&amp;""=PMIS_Home!$B$4&amp;""),MAX($K$4:K186)+1,"")</f>
        <v/>
      </c>
    </row>
    <row r="188" spans="1:11" ht="135" customHeight="1">
      <c r="A188" s="13"/>
      <c r="B188" s="62"/>
      <c r="C188" s="13"/>
      <c r="D188" s="13"/>
      <c r="E188" s="13"/>
      <c r="F188" s="13"/>
      <c r="G188" s="13"/>
      <c r="H188" s="13"/>
      <c r="I188" s="13"/>
      <c r="J188" s="13"/>
      <c r="K188" s="64" t="str">
        <f>IF(AND($C188&lt;&gt;"",$I188&lt;&gt;"Closed",$I188&lt;&gt;"Complete",$I188&lt;&gt;"",$C188&amp;""=PMIS_Home!$B$4&amp;""),MAX($K$4:K187)+1,"")</f>
        <v/>
      </c>
    </row>
    <row r="189" spans="1:11" ht="135" customHeight="1">
      <c r="A189" s="13"/>
      <c r="B189" s="62"/>
      <c r="C189" s="13"/>
      <c r="D189" s="13"/>
      <c r="E189" s="13"/>
      <c r="F189" s="13"/>
      <c r="G189" s="13"/>
      <c r="H189" s="13"/>
      <c r="I189" s="13"/>
      <c r="J189" s="13"/>
      <c r="K189" s="64" t="str">
        <f>IF(AND($C189&lt;&gt;"",$I189&lt;&gt;"Closed",$I189&lt;&gt;"Complete",$I189&lt;&gt;"",$C189&amp;""=PMIS_Home!$B$4&amp;""),MAX($K$4:K188)+1,"")</f>
        <v/>
      </c>
    </row>
    <row r="190" spans="1:11" ht="135" customHeight="1">
      <c r="A190" s="13"/>
      <c r="B190" s="62"/>
      <c r="C190" s="13"/>
      <c r="D190" s="13"/>
      <c r="E190" s="13"/>
      <c r="F190" s="13"/>
      <c r="G190" s="13"/>
      <c r="H190" s="13"/>
      <c r="I190" s="13"/>
      <c r="J190" s="13"/>
      <c r="K190" s="64" t="str">
        <f>IF(AND($C190&lt;&gt;"",$I190&lt;&gt;"Closed",$I190&lt;&gt;"Complete",$I190&lt;&gt;"",$C190&amp;""=PMIS_Home!$B$4&amp;""),MAX($K$4:K189)+1,"")</f>
        <v/>
      </c>
    </row>
    <row r="191" spans="1:11" ht="135" customHeight="1">
      <c r="A191" s="13"/>
      <c r="B191" s="62"/>
      <c r="C191" s="13"/>
      <c r="D191" s="13"/>
      <c r="E191" s="13"/>
      <c r="F191" s="13"/>
      <c r="G191" s="13"/>
      <c r="H191" s="13"/>
      <c r="I191" s="13"/>
      <c r="J191" s="13"/>
      <c r="K191" s="64" t="str">
        <f>IF(AND($C191&lt;&gt;"",$I191&lt;&gt;"Closed",$I191&lt;&gt;"Complete",$I191&lt;&gt;"",$C191&amp;""=PMIS_Home!$B$4&amp;""),MAX($K$4:K190)+1,"")</f>
        <v/>
      </c>
    </row>
    <row r="192" spans="1:11" ht="135" customHeight="1">
      <c r="A192" s="13"/>
      <c r="B192" s="62"/>
      <c r="C192" s="13"/>
      <c r="D192" s="13"/>
      <c r="E192" s="13"/>
      <c r="F192" s="13"/>
      <c r="G192" s="13"/>
      <c r="H192" s="13"/>
      <c r="I192" s="13"/>
      <c r="J192" s="13"/>
      <c r="K192" s="64" t="str">
        <f>IF(AND($C192&lt;&gt;"",$I192&lt;&gt;"Closed",$I192&lt;&gt;"Complete",$I192&lt;&gt;"",$C192&amp;""=PMIS_Home!$B$4&amp;""),MAX($K$4:K191)+1,"")</f>
        <v/>
      </c>
    </row>
    <row r="193" spans="1:11" ht="135" customHeight="1">
      <c r="A193" s="13"/>
      <c r="B193" s="62"/>
      <c r="C193" s="13"/>
      <c r="D193" s="13"/>
      <c r="E193" s="13"/>
      <c r="F193" s="13"/>
      <c r="G193" s="13"/>
      <c r="H193" s="13"/>
      <c r="I193" s="13"/>
      <c r="J193" s="13"/>
      <c r="K193" s="64" t="str">
        <f>IF(AND($C193&lt;&gt;"",$I193&lt;&gt;"Closed",$I193&lt;&gt;"Complete",$I193&lt;&gt;"",$C193&amp;""=PMIS_Home!$B$4&amp;""),MAX($K$4:K192)+1,"")</f>
        <v/>
      </c>
    </row>
    <row r="194" spans="1:11" ht="135" customHeight="1">
      <c r="A194" s="13"/>
      <c r="B194" s="62"/>
      <c r="C194" s="13"/>
      <c r="D194" s="13"/>
      <c r="E194" s="13"/>
      <c r="F194" s="13"/>
      <c r="G194" s="13"/>
      <c r="H194" s="13"/>
      <c r="I194" s="13"/>
      <c r="J194" s="13"/>
      <c r="K194" s="64" t="str">
        <f>IF(AND($C194&lt;&gt;"",$I194&lt;&gt;"Closed",$I194&lt;&gt;"Complete",$I194&lt;&gt;"",$C194&amp;""=PMIS_Home!$B$4&amp;""),MAX($K$4:K193)+1,"")</f>
        <v/>
      </c>
    </row>
    <row r="195" spans="1:11" ht="135" customHeight="1">
      <c r="A195" s="13"/>
      <c r="B195" s="62"/>
      <c r="C195" s="13"/>
      <c r="D195" s="13"/>
      <c r="E195" s="13"/>
      <c r="F195" s="13"/>
      <c r="G195" s="13"/>
      <c r="H195" s="13"/>
      <c r="I195" s="13"/>
      <c r="J195" s="13"/>
      <c r="K195" s="64" t="str">
        <f>IF(AND($C195&lt;&gt;"",$I195&lt;&gt;"Closed",$I195&lt;&gt;"Complete",$I195&lt;&gt;"",$C195&amp;""=PMIS_Home!$B$4&amp;""),MAX($K$4:K194)+1,"")</f>
        <v/>
      </c>
    </row>
    <row r="196" spans="1:11" ht="135" customHeight="1">
      <c r="A196" s="13"/>
      <c r="B196" s="62"/>
      <c r="C196" s="13"/>
      <c r="D196" s="13"/>
      <c r="E196" s="13"/>
      <c r="F196" s="13"/>
      <c r="G196" s="13"/>
      <c r="H196" s="13"/>
      <c r="I196" s="13"/>
      <c r="J196" s="13"/>
      <c r="K196" s="64" t="str">
        <f>IF(AND($C196&lt;&gt;"",$I196&lt;&gt;"Closed",$I196&lt;&gt;"Complete",$I196&lt;&gt;"",$C196&amp;""=PMIS_Home!$B$4&amp;""),MAX($K$4:K195)+1,"")</f>
        <v/>
      </c>
    </row>
    <row r="197" spans="1:11" ht="135" customHeight="1">
      <c r="A197" s="13"/>
      <c r="B197" s="62"/>
      <c r="C197" s="13"/>
      <c r="D197" s="13"/>
      <c r="E197" s="13"/>
      <c r="F197" s="13"/>
      <c r="G197" s="13"/>
      <c r="H197" s="13"/>
      <c r="I197" s="13"/>
      <c r="J197" s="13"/>
      <c r="K197" s="64" t="str">
        <f>IF(AND($C197&lt;&gt;"",$I197&lt;&gt;"Closed",$I197&lt;&gt;"Complete",$I197&lt;&gt;"",$C197&amp;""=PMIS_Home!$B$4&amp;""),MAX($K$4:K196)+1,"")</f>
        <v/>
      </c>
    </row>
    <row r="198" spans="1:11" ht="135" customHeight="1">
      <c r="A198" s="13"/>
      <c r="B198" s="62"/>
      <c r="C198" s="13"/>
      <c r="D198" s="13"/>
      <c r="E198" s="13"/>
      <c r="F198" s="13"/>
      <c r="G198" s="13"/>
      <c r="H198" s="13"/>
      <c r="I198" s="13"/>
      <c r="J198" s="13"/>
      <c r="K198" s="64" t="str">
        <f>IF(AND($C198&lt;&gt;"",$I198&lt;&gt;"Closed",$I198&lt;&gt;"Complete",$I198&lt;&gt;"",$C198&amp;""=PMIS_Home!$B$4&amp;""),MAX($K$4:K197)+1,"")</f>
        <v/>
      </c>
    </row>
    <row r="199" spans="1:11" ht="135" customHeight="1">
      <c r="A199" s="13"/>
      <c r="B199" s="62"/>
      <c r="C199" s="13"/>
      <c r="D199" s="13"/>
      <c r="E199" s="13"/>
      <c r="F199" s="13"/>
      <c r="G199" s="13"/>
      <c r="H199" s="13"/>
      <c r="I199" s="13"/>
      <c r="J199" s="13"/>
      <c r="K199" s="64" t="str">
        <f>IF(AND($C199&lt;&gt;"",$I199&lt;&gt;"Closed",$I199&lt;&gt;"Complete",$I199&lt;&gt;"",$C199&amp;""=PMIS_Home!$B$4&amp;""),MAX($K$4:K198)+1,"")</f>
        <v/>
      </c>
    </row>
    <row r="200" spans="1:11" ht="135" customHeight="1">
      <c r="A200" s="13"/>
      <c r="B200" s="62"/>
      <c r="C200" s="13"/>
      <c r="D200" s="13"/>
      <c r="E200" s="13"/>
      <c r="F200" s="13"/>
      <c r="G200" s="13"/>
      <c r="H200" s="13"/>
      <c r="I200" s="13"/>
      <c r="J200" s="13"/>
      <c r="K200" s="64" t="str">
        <f>IF(AND($C200&lt;&gt;"",$I200&lt;&gt;"Closed",$I200&lt;&gt;"Complete",$I200&lt;&gt;"",$C200&amp;""=PMIS_Home!$B$4&amp;""),MAX($K$4:K199)+1,"")</f>
        <v/>
      </c>
    </row>
    <row r="201" spans="1:11" ht="135" customHeight="1">
      <c r="A201" s="13"/>
      <c r="B201" s="62"/>
      <c r="C201" s="13"/>
      <c r="D201" s="13"/>
      <c r="E201" s="13"/>
      <c r="F201" s="13"/>
      <c r="G201" s="13"/>
      <c r="H201" s="13"/>
      <c r="I201" s="13"/>
      <c r="J201" s="13"/>
      <c r="K201" s="64" t="str">
        <f>IF(AND($C201&lt;&gt;"",$I201&lt;&gt;"Closed",$I201&lt;&gt;"Complete",$I201&lt;&gt;"",$C201&amp;""=PMIS_Home!$B$4&amp;""),MAX($K$4:K200)+1,"")</f>
        <v/>
      </c>
    </row>
    <row r="202" spans="1:11" ht="135" customHeight="1">
      <c r="A202" s="13"/>
      <c r="B202" s="62"/>
      <c r="C202" s="13"/>
      <c r="D202" s="13"/>
      <c r="E202" s="13"/>
      <c r="F202" s="13"/>
      <c r="G202" s="13"/>
      <c r="H202" s="13"/>
      <c r="I202" s="13"/>
      <c r="J202" s="13"/>
      <c r="K202" s="64" t="str">
        <f>IF(AND($C202&lt;&gt;"",$I202&lt;&gt;"Closed",$I202&lt;&gt;"Complete",$I202&lt;&gt;"",$C202&amp;""=PMIS_Home!$B$4&amp;""),MAX($K$4:K201)+1,"")</f>
        <v/>
      </c>
    </row>
    <row r="203" spans="1:11" ht="135" customHeight="1">
      <c r="A203" s="13"/>
      <c r="B203" s="62"/>
      <c r="C203" s="13"/>
      <c r="D203" s="13"/>
      <c r="E203" s="13"/>
      <c r="F203" s="13"/>
      <c r="G203" s="13"/>
      <c r="H203" s="13"/>
      <c r="I203" s="13"/>
      <c r="J203" s="13"/>
      <c r="K203" s="64" t="str">
        <f>IF(AND($C203&lt;&gt;"",$I203&lt;&gt;"Closed",$I203&lt;&gt;"Complete",$I203&lt;&gt;"",$C203&amp;""=PMIS_Home!$B$4&amp;""),MAX($K$4:K202)+1,"")</f>
        <v/>
      </c>
    </row>
    <row r="204" spans="1:11" ht="135" customHeight="1">
      <c r="A204" s="13"/>
      <c r="B204" s="62"/>
      <c r="C204" s="13"/>
      <c r="D204" s="13"/>
      <c r="E204" s="13"/>
      <c r="F204" s="13"/>
      <c r="G204" s="13"/>
      <c r="H204" s="13"/>
      <c r="I204" s="13"/>
      <c r="J204" s="13"/>
      <c r="K204" s="64" t="str">
        <f>IF(AND($C204&lt;&gt;"",$I204&lt;&gt;"Closed",$I204&lt;&gt;"Complete",$I204&lt;&gt;"",$C204&amp;""=PMIS_Home!$B$4&amp;""),MAX($K$4:K203)+1,"")</f>
        <v/>
      </c>
    </row>
    <row r="205" spans="1:11" ht="135" customHeight="1">
      <c r="A205" s="13"/>
      <c r="B205" s="62"/>
      <c r="C205" s="13"/>
      <c r="D205" s="13"/>
      <c r="E205" s="13"/>
      <c r="F205" s="13"/>
      <c r="G205" s="13"/>
      <c r="H205" s="13"/>
      <c r="I205" s="13"/>
      <c r="J205" s="13"/>
      <c r="K205" s="64" t="str">
        <f>IF(AND($C205&lt;&gt;"",$I205&lt;&gt;"Closed",$I205&lt;&gt;"Complete",$I205&lt;&gt;"",$C205&amp;""=PMIS_Home!$B$4&amp;""),MAX($K$4:K204)+1,"")</f>
        <v/>
      </c>
    </row>
    <row r="206" spans="1:11" ht="135" customHeight="1">
      <c r="A206" s="13"/>
      <c r="B206" s="62"/>
      <c r="C206" s="13"/>
      <c r="D206" s="13"/>
      <c r="E206" s="13"/>
      <c r="F206" s="13"/>
      <c r="G206" s="13"/>
      <c r="H206" s="13"/>
      <c r="I206" s="13"/>
      <c r="J206" s="13"/>
      <c r="K206" s="64" t="str">
        <f>IF(AND($C206&lt;&gt;"",$I206&lt;&gt;"Closed",$I206&lt;&gt;"Complete",$I206&lt;&gt;"",$C206&amp;""=PMIS_Home!$B$4&amp;""),MAX($K$4:K205)+1,"")</f>
        <v/>
      </c>
    </row>
    <row r="207" spans="1:11" ht="135" customHeight="1">
      <c r="A207" s="13"/>
      <c r="B207" s="62"/>
      <c r="C207" s="13"/>
      <c r="D207" s="13"/>
      <c r="E207" s="13"/>
      <c r="F207" s="13"/>
      <c r="G207" s="13"/>
      <c r="H207" s="13"/>
      <c r="I207" s="13"/>
      <c r="J207" s="13"/>
      <c r="K207" s="64" t="str">
        <f>IF(AND($C207&lt;&gt;"",$I207&lt;&gt;"Closed",$I207&lt;&gt;"Complete",$I207&lt;&gt;"",$C207&amp;""=PMIS_Home!$B$4&amp;""),MAX($K$4:K206)+1,"")</f>
        <v/>
      </c>
    </row>
    <row r="208" spans="1:11" ht="135" customHeight="1">
      <c r="A208" s="13"/>
      <c r="B208" s="62"/>
      <c r="C208" s="13"/>
      <c r="D208" s="13"/>
      <c r="E208" s="13"/>
      <c r="F208" s="13"/>
      <c r="G208" s="13"/>
      <c r="H208" s="13"/>
      <c r="I208" s="13"/>
      <c r="J208" s="13"/>
      <c r="K208" s="64" t="str">
        <f>IF(AND($C208&lt;&gt;"",$I208&lt;&gt;"Closed",$I208&lt;&gt;"Complete",$I208&lt;&gt;"",$C208&amp;""=PMIS_Home!$B$4&amp;""),MAX($K$4:K207)+1,"")</f>
        <v/>
      </c>
    </row>
    <row r="209" spans="1:11" ht="135" customHeight="1">
      <c r="A209" s="13"/>
      <c r="B209" s="62"/>
      <c r="C209" s="13"/>
      <c r="D209" s="13"/>
      <c r="E209" s="13"/>
      <c r="F209" s="13"/>
      <c r="G209" s="13"/>
      <c r="H209" s="13"/>
      <c r="I209" s="13"/>
      <c r="J209" s="13"/>
      <c r="K209" s="64" t="str">
        <f>IF(AND($C209&lt;&gt;"",$I209&lt;&gt;"Closed",$I209&lt;&gt;"Complete",$I209&lt;&gt;"",$C209&amp;""=PMIS_Home!$B$4&amp;""),MAX($K$4:K208)+1,"")</f>
        <v/>
      </c>
    </row>
    <row r="210" spans="1:11" ht="135" customHeight="1">
      <c r="A210" s="13"/>
      <c r="B210" s="62"/>
      <c r="C210" s="13"/>
      <c r="D210" s="13"/>
      <c r="E210" s="13"/>
      <c r="F210" s="13"/>
      <c r="G210" s="13"/>
      <c r="H210" s="13"/>
      <c r="I210" s="13"/>
      <c r="J210" s="13"/>
      <c r="K210" s="64" t="str">
        <f>IF(AND($C210&lt;&gt;"",$I210&lt;&gt;"Closed",$I210&lt;&gt;"Complete",$I210&lt;&gt;"",$C210&amp;""=PMIS_Home!$B$4&amp;""),MAX($K$4:K209)+1,"")</f>
        <v/>
      </c>
    </row>
    <row r="211" spans="1:11" ht="135" customHeight="1">
      <c r="A211" s="13"/>
      <c r="B211" s="62"/>
      <c r="C211" s="13"/>
      <c r="D211" s="13"/>
      <c r="E211" s="13"/>
      <c r="F211" s="13"/>
      <c r="G211" s="13"/>
      <c r="H211" s="13"/>
      <c r="I211" s="13"/>
      <c r="J211" s="13"/>
      <c r="K211" s="64" t="str">
        <f>IF(AND($C211&lt;&gt;"",$I211&lt;&gt;"Closed",$I211&lt;&gt;"Complete",$I211&lt;&gt;"",$C211&amp;""=PMIS_Home!$B$4&amp;""),MAX($K$4:K210)+1,"")</f>
        <v/>
      </c>
    </row>
    <row r="212" spans="1:11" ht="135" customHeight="1">
      <c r="A212" s="13"/>
      <c r="B212" s="62"/>
      <c r="C212" s="13"/>
      <c r="D212" s="13"/>
      <c r="E212" s="13"/>
      <c r="F212" s="13"/>
      <c r="G212" s="13"/>
      <c r="H212" s="13"/>
      <c r="I212" s="13"/>
      <c r="J212" s="13"/>
      <c r="K212" s="64" t="str">
        <f>IF(AND($C212&lt;&gt;"",$I212&lt;&gt;"Closed",$I212&lt;&gt;"Complete",$I212&lt;&gt;"",$C212&amp;""=PMIS_Home!$B$4&amp;""),MAX($K$4:K211)+1,"")</f>
        <v/>
      </c>
    </row>
    <row r="213" spans="1:11" ht="135" customHeight="1">
      <c r="A213" s="13"/>
      <c r="B213" s="62"/>
      <c r="C213" s="13"/>
      <c r="D213" s="13"/>
      <c r="E213" s="13"/>
      <c r="F213" s="13"/>
      <c r="G213" s="13"/>
      <c r="H213" s="13"/>
      <c r="I213" s="13"/>
      <c r="J213" s="13"/>
      <c r="K213" s="64" t="str">
        <f>IF(AND($C213&lt;&gt;"",$I213&lt;&gt;"Closed",$I213&lt;&gt;"Complete",$I213&lt;&gt;"",$C213&amp;""=PMIS_Home!$B$4&amp;""),MAX($K$4:K212)+1,"")</f>
        <v/>
      </c>
    </row>
    <row r="214" spans="1:11" ht="135" customHeight="1">
      <c r="A214" s="13"/>
      <c r="B214" s="62"/>
      <c r="C214" s="13"/>
      <c r="D214" s="13"/>
      <c r="E214" s="13"/>
      <c r="F214" s="13"/>
      <c r="G214" s="13"/>
      <c r="H214" s="13"/>
      <c r="I214" s="13"/>
      <c r="J214" s="13"/>
      <c r="K214" s="64" t="str">
        <f>IF(AND($C214&lt;&gt;"",$I214&lt;&gt;"Closed",$I214&lt;&gt;"Complete",$I214&lt;&gt;"",$C214&amp;""=PMIS_Home!$B$4&amp;""),MAX($K$4:K213)+1,"")</f>
        <v/>
      </c>
    </row>
    <row r="215" spans="1:11" ht="135" customHeight="1">
      <c r="A215" s="13"/>
      <c r="B215" s="62"/>
      <c r="C215" s="13"/>
      <c r="D215" s="13"/>
      <c r="E215" s="13"/>
      <c r="F215" s="13"/>
      <c r="G215" s="13"/>
      <c r="H215" s="13"/>
      <c r="I215" s="13"/>
      <c r="J215" s="13"/>
      <c r="K215" s="64" t="str">
        <f>IF(AND($C215&lt;&gt;"",$I215&lt;&gt;"Closed",$I215&lt;&gt;"Complete",$I215&lt;&gt;"",$C215&amp;""=PMIS_Home!$B$4&amp;""),MAX($K$4:K214)+1,"")</f>
        <v/>
      </c>
    </row>
    <row r="216" spans="1:11" ht="135" customHeight="1">
      <c r="A216" s="13"/>
      <c r="B216" s="62"/>
      <c r="C216" s="13"/>
      <c r="D216" s="13"/>
      <c r="E216" s="13"/>
      <c r="F216" s="13"/>
      <c r="G216" s="13"/>
      <c r="H216" s="13"/>
      <c r="I216" s="13"/>
      <c r="J216" s="13"/>
      <c r="K216" s="64" t="str">
        <f>IF(AND($C216&lt;&gt;"",$I216&lt;&gt;"Closed",$I216&lt;&gt;"Complete",$I216&lt;&gt;"",$C216&amp;""=PMIS_Home!$B$4&amp;""),MAX($K$4:K215)+1,"")</f>
        <v/>
      </c>
    </row>
    <row r="217" spans="1:11" ht="135" customHeight="1">
      <c r="A217" s="13"/>
      <c r="B217" s="62"/>
      <c r="C217" s="13"/>
      <c r="D217" s="13"/>
      <c r="E217" s="13"/>
      <c r="F217" s="13"/>
      <c r="G217" s="13"/>
      <c r="H217" s="13"/>
      <c r="I217" s="13"/>
      <c r="J217" s="13"/>
      <c r="K217" s="64" t="str">
        <f>IF(AND($C217&lt;&gt;"",$I217&lt;&gt;"Closed",$I217&lt;&gt;"Complete",$I217&lt;&gt;"",$C217&amp;""=PMIS_Home!$B$4&amp;""),MAX($K$4:K216)+1,"")</f>
        <v/>
      </c>
    </row>
    <row r="218" spans="1:11" ht="135" customHeight="1">
      <c r="A218" s="13"/>
      <c r="B218" s="62"/>
      <c r="C218" s="13"/>
      <c r="D218" s="13"/>
      <c r="E218" s="13"/>
      <c r="F218" s="13"/>
      <c r="G218" s="13"/>
      <c r="H218" s="13"/>
      <c r="I218" s="13"/>
      <c r="J218" s="13"/>
      <c r="K218" s="64" t="str">
        <f>IF(AND($C218&lt;&gt;"",$I218&lt;&gt;"Closed",$I218&lt;&gt;"Complete",$I218&lt;&gt;"",$C218&amp;""=PMIS_Home!$B$4&amp;""),MAX($K$4:K217)+1,"")</f>
        <v/>
      </c>
    </row>
    <row r="219" spans="1:11" ht="135" customHeight="1">
      <c r="A219" s="13"/>
      <c r="B219" s="62"/>
      <c r="C219" s="13"/>
      <c r="D219" s="13"/>
      <c r="E219" s="13"/>
      <c r="F219" s="13"/>
      <c r="G219" s="13"/>
      <c r="H219" s="13"/>
      <c r="I219" s="13"/>
      <c r="J219" s="13"/>
      <c r="K219" s="64" t="str">
        <f>IF(AND($C219&lt;&gt;"",$I219&lt;&gt;"Closed",$I219&lt;&gt;"Complete",$I219&lt;&gt;"",$C219&amp;""=PMIS_Home!$B$4&amp;""),MAX($K$4:K218)+1,"")</f>
        <v/>
      </c>
    </row>
    <row r="220" spans="1:11" ht="135" customHeight="1">
      <c r="A220" s="13"/>
      <c r="B220" s="62"/>
      <c r="C220" s="13"/>
      <c r="D220" s="13"/>
      <c r="E220" s="13"/>
      <c r="F220" s="13"/>
      <c r="G220" s="13"/>
      <c r="H220" s="13"/>
      <c r="I220" s="13"/>
      <c r="J220" s="13"/>
      <c r="K220" s="64" t="str">
        <f>IF(AND($C220&lt;&gt;"",$I220&lt;&gt;"Closed",$I220&lt;&gt;"Complete",$I220&lt;&gt;"",$C220&amp;""=PMIS_Home!$B$4&amp;""),MAX($K$4:K219)+1,"")</f>
        <v/>
      </c>
    </row>
    <row r="221" spans="1:11" ht="135" customHeight="1">
      <c r="K221" s="65" t="str">
        <f>IF(AND($C221&lt;&gt;"",$I221&lt;&gt;"Closed",$I221&lt;&gt;"Complete",$I221&lt;&gt;"",$C221&amp;""=PMIS_Home!$B$4&amp;""),MAX($K$4:K220)+1,"")</f>
        <v/>
      </c>
    </row>
    <row r="222" spans="1:11" ht="135" customHeight="1">
      <c r="K222" s="65" t="str">
        <f>IF(AND($C222&lt;&gt;"",$I222&lt;&gt;"Closed",$I222&lt;&gt;"Complete",$I222&lt;&gt;"",$C222&amp;""=PMIS_Home!$B$4&amp;""),MAX($K$4:K221)+1,"")</f>
        <v/>
      </c>
    </row>
    <row r="223" spans="1:11" ht="135" customHeight="1">
      <c r="K223" s="65" t="str">
        <f>IF(AND($C223&lt;&gt;"",$I223&lt;&gt;"Closed",$I223&lt;&gt;"Complete",$I223&lt;&gt;"",$C223&amp;""=PMIS_Home!$B$4&amp;""),MAX($K$4:K222)+1,"")</f>
        <v/>
      </c>
    </row>
    <row r="224" spans="1:11" ht="135" customHeight="1">
      <c r="K224" s="65" t="str">
        <f>IF(AND($C224&lt;&gt;"",$I224&lt;&gt;"Closed",$I224&lt;&gt;"Complete",$I224&lt;&gt;"",$C224&amp;""=PMIS_Home!$B$4&amp;""),MAX($K$4:K223)+1,"")</f>
        <v/>
      </c>
    </row>
    <row r="225" spans="11:11" ht="135" customHeight="1">
      <c r="K225" s="65" t="str">
        <f>IF(AND($C225&lt;&gt;"",$I225&lt;&gt;"Closed",$I225&lt;&gt;"Complete",$I225&lt;&gt;"",$C225&amp;""=PMIS_Home!$B$4&amp;""),MAX($K$4:K224)+1,"")</f>
        <v/>
      </c>
    </row>
    <row r="226" spans="11:11" ht="135" customHeight="1">
      <c r="K226" s="65" t="str">
        <f>IF(AND($C226&lt;&gt;"",$I226&lt;&gt;"Closed",$I226&lt;&gt;"Complete",$I226&lt;&gt;"",$C226&amp;""=PMIS_Home!$B$4&amp;""),MAX($K$4:K225)+1,"")</f>
        <v/>
      </c>
    </row>
    <row r="227" spans="11:11" ht="135" customHeight="1">
      <c r="K227" s="65" t="str">
        <f>IF(AND($C227&lt;&gt;"",$I227&lt;&gt;"Closed",$I227&lt;&gt;"Complete",$I227&lt;&gt;"",$C227&amp;""=PMIS_Home!$B$4&amp;""),MAX($K$4:K226)+1,"")</f>
        <v/>
      </c>
    </row>
    <row r="228" spans="11:11" ht="135" customHeight="1">
      <c r="K228" s="65" t="str">
        <f>IF(AND($C228&lt;&gt;"",$I228&lt;&gt;"Closed",$I228&lt;&gt;"Complete",$I228&lt;&gt;"",$C228&amp;""=PMIS_Home!$B$4&amp;""),MAX($K$4:K227)+1,"")</f>
        <v/>
      </c>
    </row>
    <row r="229" spans="11:11" ht="135" customHeight="1">
      <c r="K229" s="65" t="str">
        <f>IF(AND($C229&lt;&gt;"",$I229&lt;&gt;"Closed",$I229&lt;&gt;"Complete",$I229&lt;&gt;"",$C229&amp;""=PMIS_Home!$B$4&amp;""),MAX($K$4:K228)+1,"")</f>
        <v/>
      </c>
    </row>
    <row r="230" spans="11:11" ht="135" customHeight="1">
      <c r="K230" s="65" t="str">
        <f>IF(AND($C230&lt;&gt;"",$I230&lt;&gt;"Closed",$I230&lt;&gt;"Complete",$I230&lt;&gt;"",$C230&amp;""=PMIS_Home!$B$4&amp;""),MAX($K$4:K229)+1,"")</f>
        <v/>
      </c>
    </row>
    <row r="231" spans="11:11" ht="135" customHeight="1">
      <c r="K231" s="65" t="str">
        <f>IF(AND($C231&lt;&gt;"",$I231&lt;&gt;"Closed",$I231&lt;&gt;"Complete",$I231&lt;&gt;"",$C231&amp;""=PMIS_Home!$B$4&amp;""),MAX($K$4:K230)+1,"")</f>
        <v/>
      </c>
    </row>
    <row r="232" spans="11:11" ht="135" customHeight="1">
      <c r="K232" s="65" t="str">
        <f>IF(AND($C232&lt;&gt;"",$I232&lt;&gt;"Closed",$I232&lt;&gt;"Complete",$I232&lt;&gt;"",$C232&amp;""=PMIS_Home!$B$4&amp;""),MAX($K$4:K231)+1,"")</f>
        <v/>
      </c>
    </row>
    <row r="233" spans="11:11" ht="135" customHeight="1">
      <c r="K233" s="65" t="str">
        <f>IF(AND($C233&lt;&gt;"",$I233&lt;&gt;"Closed",$I233&lt;&gt;"Complete",$I233&lt;&gt;"",$C233&amp;""=PMIS_Home!$B$4&amp;""),MAX($K$4:K232)+1,"")</f>
        <v/>
      </c>
    </row>
    <row r="234" spans="11:11" ht="135" customHeight="1">
      <c r="K234" s="65" t="str">
        <f>IF(AND($C234&lt;&gt;"",$I234&lt;&gt;"Closed",$I234&lt;&gt;"Complete",$I234&lt;&gt;"",$C234&amp;""=PMIS_Home!$B$4&amp;""),MAX($K$4:K233)+1,"")</f>
        <v/>
      </c>
    </row>
    <row r="235" spans="11:11" ht="135" customHeight="1">
      <c r="K235" s="65" t="str">
        <f>IF(AND($C235&lt;&gt;"",$I235&lt;&gt;"Closed",$I235&lt;&gt;"Complete",$I235&lt;&gt;"",$C235&amp;""=PMIS_Home!$B$4&amp;""),MAX($K$4:K234)+1,"")</f>
        <v/>
      </c>
    </row>
    <row r="236" spans="11:11" ht="135" customHeight="1">
      <c r="K236" s="65" t="str">
        <f>IF(AND($C236&lt;&gt;"",$I236&lt;&gt;"Closed",$I236&lt;&gt;"Complete",$I236&lt;&gt;"",$C236&amp;""=PMIS_Home!$B$4&amp;""),MAX($K$4:K235)+1,"")</f>
        <v/>
      </c>
    </row>
    <row r="237" spans="11:11" ht="135" customHeight="1">
      <c r="K237" s="65" t="str">
        <f>IF(AND($C237&lt;&gt;"",$I237&lt;&gt;"Closed",$I237&lt;&gt;"Complete",$I237&lt;&gt;"",$C237&amp;""=PMIS_Home!$B$4&amp;""),MAX($K$4:K236)+1,"")</f>
        <v/>
      </c>
    </row>
    <row r="238" spans="11:11" ht="135" customHeight="1">
      <c r="K238" s="65" t="str">
        <f>IF(AND($C238&lt;&gt;"",$I238&lt;&gt;"Closed",$I238&lt;&gt;"Complete",$I238&lt;&gt;"",$C238&amp;""=PMIS_Home!$B$4&amp;""),MAX($K$4:K237)+1,"")</f>
        <v/>
      </c>
    </row>
    <row r="239" spans="11:11" ht="135" customHeight="1">
      <c r="K239" s="65" t="str">
        <f>IF(AND($C239&lt;&gt;"",$I239&lt;&gt;"Closed",$I239&lt;&gt;"Complete",$I239&lt;&gt;"",$C239&amp;""=PMIS_Home!$B$4&amp;""),MAX($K$4:K238)+1,"")</f>
        <v/>
      </c>
    </row>
    <row r="240" spans="11:11" ht="135" customHeight="1">
      <c r="K240" s="65" t="str">
        <f>IF(AND($C240&lt;&gt;"",$I240&lt;&gt;"Closed",$I240&lt;&gt;"Complete",$I240&lt;&gt;"",$C240&amp;""=PMIS_Home!$B$4&amp;""),MAX($K$4:K239)+1,"")</f>
        <v/>
      </c>
    </row>
    <row r="241" spans="11:11" ht="135" customHeight="1">
      <c r="K241" s="65" t="str">
        <f>IF(AND($C241&lt;&gt;"",$I241&lt;&gt;"Closed",$I241&lt;&gt;"Complete",$I241&lt;&gt;"",$C241&amp;""=PMIS_Home!$B$4&amp;""),MAX($K$4:K240)+1,"")</f>
        <v/>
      </c>
    </row>
    <row r="242" spans="11:11" ht="135" customHeight="1">
      <c r="K242" s="65" t="str">
        <f>IF(AND($C242&lt;&gt;"",$I242&lt;&gt;"Closed",$I242&lt;&gt;"Complete",$I242&lt;&gt;"",$C242&amp;""=PMIS_Home!$B$4&amp;""),MAX($K$4:K241)+1,"")</f>
        <v/>
      </c>
    </row>
    <row r="243" spans="11:11" ht="135" customHeight="1">
      <c r="K243" s="65" t="str">
        <f>IF(AND($C243&lt;&gt;"",$I243&lt;&gt;"Closed",$I243&lt;&gt;"Complete",$I243&lt;&gt;"",$C243&amp;""=PMIS_Home!$B$4&amp;""),MAX($K$4:K242)+1,"")</f>
        <v/>
      </c>
    </row>
    <row r="244" spans="11:11" ht="135" customHeight="1">
      <c r="K244" s="65" t="str">
        <f>IF(AND($C244&lt;&gt;"",$I244&lt;&gt;"Closed",$I244&lt;&gt;"Complete",$I244&lt;&gt;"",$C244&amp;""=PMIS_Home!$B$4&amp;""),MAX($K$4:K243)+1,"")</f>
        <v/>
      </c>
    </row>
    <row r="245" spans="11:11" ht="135" customHeight="1">
      <c r="K245" s="65" t="str">
        <f>IF(AND($C245&lt;&gt;"",$I245&lt;&gt;"Closed",$I245&lt;&gt;"Complete",$I245&lt;&gt;"",$C245&amp;""=PMIS_Home!$B$4&amp;""),MAX($K$4:K244)+1,"")</f>
        <v/>
      </c>
    </row>
    <row r="246" spans="11:11" ht="135" customHeight="1">
      <c r="K246" s="65" t="str">
        <f>IF(AND($C246&lt;&gt;"",$I246&lt;&gt;"Closed",$I246&lt;&gt;"Complete",$I246&lt;&gt;"",$C246&amp;""=PMIS_Home!$B$4&amp;""),MAX($K$4:K245)+1,"")</f>
        <v/>
      </c>
    </row>
    <row r="247" spans="11:11" ht="135" customHeight="1">
      <c r="K247" s="65" t="str">
        <f>IF(AND($C247&lt;&gt;"",$I247&lt;&gt;"Closed",$I247&lt;&gt;"Complete",$I247&lt;&gt;"",$C247&amp;""=PMIS_Home!$B$4&amp;""),MAX($K$4:K246)+1,"")</f>
        <v/>
      </c>
    </row>
    <row r="248" spans="11:11" ht="135" customHeight="1">
      <c r="K248" s="65" t="str">
        <f>IF(AND($C248&lt;&gt;"",$I248&lt;&gt;"Closed",$I248&lt;&gt;"Complete",$I248&lt;&gt;"",$C248&amp;""=PMIS_Home!$B$4&amp;""),MAX($K$4:K247)+1,"")</f>
        <v/>
      </c>
    </row>
    <row r="249" spans="11:11" ht="135" customHeight="1">
      <c r="K249" s="65" t="str">
        <f>IF(AND($C249&lt;&gt;"",$I249&lt;&gt;"Closed",$I249&lt;&gt;"Complete",$I249&lt;&gt;"",$C249&amp;""=PMIS_Home!$B$4&amp;""),MAX($K$4:K248)+1,"")</f>
        <v/>
      </c>
    </row>
    <row r="250" spans="11:11" ht="135" customHeight="1">
      <c r="K250" s="65" t="str">
        <f>IF(AND($C250&lt;&gt;"",$I250&lt;&gt;"Closed",$I250&lt;&gt;"Complete",$I250&lt;&gt;"",$C250&amp;""=PMIS_Home!$B$4&amp;""),MAX($K$4:K249)+1,"")</f>
        <v/>
      </c>
    </row>
    <row r="251" spans="11:11" ht="135" customHeight="1">
      <c r="K251" s="65" t="str">
        <f>IF(AND($C251&lt;&gt;"",$I251&lt;&gt;"Closed",$I251&lt;&gt;"Complete",$I251&lt;&gt;"",$C251&amp;""=PMIS_Home!$B$4&amp;""),MAX($K$4:K250)+1,"")</f>
        <v/>
      </c>
    </row>
    <row r="252" spans="11:11" ht="135" customHeight="1">
      <c r="K252" s="65" t="str">
        <f>IF(AND($C252&lt;&gt;"",$I252&lt;&gt;"Closed",$I252&lt;&gt;"Complete",$I252&lt;&gt;"",$C252&amp;""=PMIS_Home!$B$4&amp;""),MAX($K$4:K251)+1,"")</f>
        <v/>
      </c>
    </row>
    <row r="253" spans="11:11" ht="135" customHeight="1">
      <c r="K253" s="65" t="str">
        <f>IF(AND($C253&lt;&gt;"",$I253&lt;&gt;"Closed",$I253&lt;&gt;"Complete",$I253&lt;&gt;"",$C253&amp;""=PMIS_Home!$B$4&amp;""),MAX($K$4:K252)+1,"")</f>
        <v/>
      </c>
    </row>
    <row r="254" spans="11:11" ht="135" customHeight="1">
      <c r="K254" s="65" t="str">
        <f>IF(AND($C254&lt;&gt;"",$I254&lt;&gt;"Closed",$I254&lt;&gt;"Complete",$I254&lt;&gt;"",$C254&amp;""=PMIS_Home!$B$4&amp;""),MAX($K$4:K253)+1,"")</f>
        <v/>
      </c>
    </row>
    <row r="255" spans="11:11" ht="135" customHeight="1">
      <c r="K255" s="65" t="str">
        <f>IF(AND($C255&lt;&gt;"",$I255&lt;&gt;"Closed",$I255&lt;&gt;"Complete",$I255&lt;&gt;"",$C255&amp;""=PMIS_Home!$B$4&amp;""),MAX($K$4:K254)+1,"")</f>
        <v/>
      </c>
    </row>
    <row r="256" spans="11:11" ht="135" customHeight="1">
      <c r="K256" s="65" t="str">
        <f>IF(AND($C256&lt;&gt;"",$I256&lt;&gt;"Closed",$I256&lt;&gt;"Complete",$I256&lt;&gt;"",$C256&amp;""=PMIS_Home!$B$4&amp;""),MAX($K$4:K255)+1,"")</f>
        <v/>
      </c>
    </row>
    <row r="257" spans="11:11" ht="135" customHeight="1">
      <c r="K257" s="65" t="str">
        <f>IF(AND($C257&lt;&gt;"",$I257&lt;&gt;"Closed",$I257&lt;&gt;"Complete",$I257&lt;&gt;"",$C257&amp;""=PMIS_Home!$B$4&amp;""),MAX($K$4:K256)+1,"")</f>
        <v/>
      </c>
    </row>
    <row r="258" spans="11:11" ht="135" customHeight="1">
      <c r="K258" s="65" t="str">
        <f>IF(AND($C258&lt;&gt;"",$I258&lt;&gt;"Closed",$I258&lt;&gt;"Complete",$I258&lt;&gt;"",$C258&amp;""=PMIS_Home!$B$4&amp;""),MAX($K$4:K257)+1,"")</f>
        <v/>
      </c>
    </row>
    <row r="259" spans="11:11" ht="135" customHeight="1">
      <c r="K259" s="65" t="str">
        <f>IF(AND($C259&lt;&gt;"",$I259&lt;&gt;"Closed",$I259&lt;&gt;"Complete",$I259&lt;&gt;"",$C259&amp;""=PMIS_Home!$B$4&amp;""),MAX($K$4:K258)+1,"")</f>
        <v/>
      </c>
    </row>
    <row r="260" spans="11:11" ht="135" customHeight="1">
      <c r="K260" s="65" t="str">
        <f>IF(AND($C260&lt;&gt;"",$I260&lt;&gt;"Closed",$I260&lt;&gt;"Complete",$I260&lt;&gt;"",$C260&amp;""=PMIS_Home!$B$4&amp;""),MAX($K$4:K259)+1,"")</f>
        <v/>
      </c>
    </row>
    <row r="261" spans="11:11" ht="135" customHeight="1">
      <c r="K261" s="65" t="str">
        <f>IF(AND($C261&lt;&gt;"",$I261&lt;&gt;"Closed",$I261&lt;&gt;"Complete",$I261&lt;&gt;"",$C261&amp;""=PMIS_Home!$B$4&amp;""),MAX($K$4:K260)+1,"")</f>
        <v/>
      </c>
    </row>
    <row r="262" spans="11:11" ht="135" customHeight="1">
      <c r="K262" s="65" t="str">
        <f>IF(AND($C262&lt;&gt;"",$I262&lt;&gt;"Closed",$I262&lt;&gt;"Complete",$I262&lt;&gt;"",$C262&amp;""=PMIS_Home!$B$4&amp;""),MAX($K$4:K261)+1,"")</f>
        <v/>
      </c>
    </row>
    <row r="263" spans="11:11" ht="135" customHeight="1">
      <c r="K263" s="65" t="str">
        <f>IF(AND($C263&lt;&gt;"",$I263&lt;&gt;"Closed",$I263&lt;&gt;"Complete",$I263&lt;&gt;"",$C263&amp;""=PMIS_Home!$B$4&amp;""),MAX($K$4:K262)+1,"")</f>
        <v/>
      </c>
    </row>
    <row r="264" spans="11:11" ht="135" customHeight="1">
      <c r="K264" s="65" t="str">
        <f>IF(AND($C264&lt;&gt;"",$I264&lt;&gt;"Closed",$I264&lt;&gt;"Complete",$I264&lt;&gt;"",$C264&amp;""=PMIS_Home!$B$4&amp;""),MAX($K$4:K263)+1,"")</f>
        <v/>
      </c>
    </row>
    <row r="265" spans="11:11" ht="135" customHeight="1">
      <c r="K265" s="65" t="str">
        <f>IF(AND($C265&lt;&gt;"",$I265&lt;&gt;"Closed",$I265&lt;&gt;"Complete",$I265&lt;&gt;"",$C265&amp;""=PMIS_Home!$B$4&amp;""),MAX($K$4:K264)+1,"")</f>
        <v/>
      </c>
    </row>
    <row r="266" spans="11:11" ht="135" customHeight="1">
      <c r="K266" s="65" t="str">
        <f>IF(AND($C266&lt;&gt;"",$I266&lt;&gt;"Closed",$I266&lt;&gt;"Complete",$I266&lt;&gt;"",$C266&amp;""=PMIS_Home!$B$4&amp;""),MAX($K$4:K265)+1,"")</f>
        <v/>
      </c>
    </row>
    <row r="267" spans="11:11" ht="135" customHeight="1">
      <c r="K267" s="65" t="str">
        <f>IF(AND($C267&lt;&gt;"",$I267&lt;&gt;"Closed",$I267&lt;&gt;"Complete",$I267&lt;&gt;"",$C267&amp;""=PMIS_Home!$B$4&amp;""),MAX($K$4:K266)+1,"")</f>
        <v/>
      </c>
    </row>
    <row r="268" spans="11:11" ht="135" customHeight="1">
      <c r="K268" s="65" t="str">
        <f>IF(AND($C268&lt;&gt;"",$I268&lt;&gt;"Closed",$I268&lt;&gt;"Complete",$I268&lt;&gt;"",$C268&amp;""=PMIS_Home!$B$4&amp;""),MAX($K$4:K267)+1,"")</f>
        <v/>
      </c>
    </row>
    <row r="269" spans="11:11" ht="135" customHeight="1">
      <c r="K269" s="65" t="str">
        <f>IF(AND($C269&lt;&gt;"",$I269&lt;&gt;"Closed",$I269&lt;&gt;"Complete",$I269&lt;&gt;"",$C269&amp;""=PMIS_Home!$B$4&amp;""),MAX($K$4:K268)+1,"")</f>
        <v/>
      </c>
    </row>
    <row r="270" spans="11:11" ht="135" customHeight="1">
      <c r="K270" s="65" t="str">
        <f>IF(AND($C270&lt;&gt;"",$I270&lt;&gt;"Closed",$I270&lt;&gt;"Complete",$I270&lt;&gt;"",$C270&amp;""=PMIS_Home!$B$4&amp;""),MAX($K$4:K269)+1,"")</f>
        <v/>
      </c>
    </row>
    <row r="271" spans="11:11" ht="135" customHeight="1">
      <c r="K271" s="65" t="str">
        <f>IF(AND($C271&lt;&gt;"",$I271&lt;&gt;"Closed",$I271&lt;&gt;"Complete",$I271&lt;&gt;"",$C271&amp;""=PMIS_Home!$B$4&amp;""),MAX($K$4:K270)+1,"")</f>
        <v/>
      </c>
    </row>
    <row r="272" spans="11:11" ht="135" customHeight="1">
      <c r="K272" s="65" t="str">
        <f>IF(AND($C272&lt;&gt;"",$I272&lt;&gt;"Closed",$I272&lt;&gt;"Complete",$I272&lt;&gt;"",$C272&amp;""=PMIS_Home!$B$4&amp;""),MAX($K$4:K271)+1,"")</f>
        <v/>
      </c>
    </row>
    <row r="273" spans="11:11" ht="135" customHeight="1">
      <c r="K273" s="65" t="str">
        <f>IF(AND($C273&lt;&gt;"",$I273&lt;&gt;"Closed",$I273&lt;&gt;"Complete",$I273&lt;&gt;"",$C273&amp;""=PMIS_Home!$B$4&amp;""),MAX($K$4:K272)+1,"")</f>
        <v/>
      </c>
    </row>
    <row r="274" spans="11:11" ht="135" customHeight="1">
      <c r="K274" s="65" t="str">
        <f>IF(AND($C274&lt;&gt;"",$I274&lt;&gt;"Closed",$I274&lt;&gt;"Complete",$I274&lt;&gt;"",$C274&amp;""=PMIS_Home!$B$4&amp;""),MAX($K$4:K273)+1,"")</f>
        <v/>
      </c>
    </row>
    <row r="275" spans="11:11" ht="135" customHeight="1">
      <c r="K275" s="65" t="str">
        <f>IF(AND($C275&lt;&gt;"",$I275&lt;&gt;"Closed",$I275&lt;&gt;"Complete",$I275&lt;&gt;"",$C275&amp;""=PMIS_Home!$B$4&amp;""),MAX($K$4:K274)+1,"")</f>
        <v/>
      </c>
    </row>
    <row r="276" spans="11:11" ht="135" customHeight="1">
      <c r="K276" s="65" t="str">
        <f>IF(AND($C276&lt;&gt;"",$I276&lt;&gt;"Closed",$I276&lt;&gt;"Complete",$I276&lt;&gt;"",$C276&amp;""=PMIS_Home!$B$4&amp;""),MAX($K$4:K275)+1,"")</f>
        <v/>
      </c>
    </row>
    <row r="277" spans="11:11" ht="135" customHeight="1">
      <c r="K277" s="65" t="str">
        <f>IF(AND($C277&lt;&gt;"",$I277&lt;&gt;"Closed",$I277&lt;&gt;"Complete",$I277&lt;&gt;"",$C277&amp;""=PMIS_Home!$B$4&amp;""),MAX($K$4:K276)+1,"")</f>
        <v/>
      </c>
    </row>
    <row r="278" spans="11:11" ht="135" customHeight="1">
      <c r="K278" s="65" t="str">
        <f>IF(AND($C278&lt;&gt;"",$I278&lt;&gt;"Closed",$I278&lt;&gt;"Complete",$I278&lt;&gt;"",$C278&amp;""=PMIS_Home!$B$4&amp;""),MAX($K$4:K277)+1,"")</f>
        <v/>
      </c>
    </row>
    <row r="279" spans="11:11" ht="135" customHeight="1">
      <c r="K279" s="65" t="str">
        <f>IF(AND($C279&lt;&gt;"",$I279&lt;&gt;"Closed",$I279&lt;&gt;"Complete",$I279&lt;&gt;"",$C279&amp;""=PMIS_Home!$B$4&amp;""),MAX($K$4:K278)+1,"")</f>
        <v/>
      </c>
    </row>
    <row r="280" spans="11:11" ht="135" customHeight="1">
      <c r="K280" s="65" t="str">
        <f>IF(AND($C280&lt;&gt;"",$I280&lt;&gt;"Closed",$I280&lt;&gt;"Complete",$I280&lt;&gt;"",$C280&amp;""=PMIS_Home!$B$4&amp;""),MAX($K$4:K279)+1,"")</f>
        <v/>
      </c>
    </row>
    <row r="281" spans="11:11" ht="135" customHeight="1">
      <c r="K281" s="65" t="str">
        <f>IF(AND($C281&lt;&gt;"",$I281&lt;&gt;"Closed",$I281&lt;&gt;"Complete",$I281&lt;&gt;"",$C281&amp;""=PMIS_Home!$B$4&amp;""),MAX($K$4:K280)+1,"")</f>
        <v/>
      </c>
    </row>
    <row r="282" spans="11:11" ht="135" customHeight="1">
      <c r="K282" s="65" t="str">
        <f>IF(AND($C282&lt;&gt;"",$I282&lt;&gt;"Closed",$I282&lt;&gt;"Complete",$I282&lt;&gt;"",$C282&amp;""=PMIS_Home!$B$4&amp;""),MAX($K$4:K281)+1,"")</f>
        <v/>
      </c>
    </row>
    <row r="283" spans="11:11" ht="135" customHeight="1">
      <c r="K283" s="65" t="str">
        <f>IF(AND($C283&lt;&gt;"",$I283&lt;&gt;"Closed",$I283&lt;&gt;"Complete",$I283&lt;&gt;"",$C283&amp;""=PMIS_Home!$B$4&amp;""),MAX($K$4:K282)+1,"")</f>
        <v/>
      </c>
    </row>
    <row r="284" spans="11:11" ht="135" customHeight="1">
      <c r="K284" s="65" t="str">
        <f>IF(AND($C284&lt;&gt;"",$I284&lt;&gt;"Closed",$I284&lt;&gt;"Complete",$I284&lt;&gt;"",$C284&amp;""=PMIS_Home!$B$4&amp;""),MAX($K$4:K283)+1,"")</f>
        <v/>
      </c>
    </row>
    <row r="285" spans="11:11" ht="135" customHeight="1">
      <c r="K285" s="65" t="str">
        <f>IF(AND($C285&lt;&gt;"",$I285&lt;&gt;"Closed",$I285&lt;&gt;"Complete",$I285&lt;&gt;"",$C285&amp;""=PMIS_Home!$B$4&amp;""),MAX($K$4:K284)+1,"")</f>
        <v/>
      </c>
    </row>
    <row r="286" spans="11:11" ht="135" customHeight="1">
      <c r="K286" s="65" t="str">
        <f>IF(AND($C286&lt;&gt;"",$I286&lt;&gt;"Closed",$I286&lt;&gt;"Complete",$I286&lt;&gt;"",$C286&amp;""=PMIS_Home!$B$4&amp;""),MAX($K$4:K285)+1,"")</f>
        <v/>
      </c>
    </row>
    <row r="287" spans="11:11" ht="135" customHeight="1">
      <c r="K287" s="65" t="str">
        <f>IF(AND($C287&lt;&gt;"",$I287&lt;&gt;"Closed",$I287&lt;&gt;"Complete",$I287&lt;&gt;"",$C287&amp;""=PMIS_Home!$B$4&amp;""),MAX($K$4:K286)+1,"")</f>
        <v/>
      </c>
    </row>
    <row r="288" spans="11:11" ht="135" customHeight="1">
      <c r="K288" s="65" t="str">
        <f>IF(AND($C288&lt;&gt;"",$I288&lt;&gt;"Closed",$I288&lt;&gt;"Complete",$I288&lt;&gt;"",$C288&amp;""=PMIS_Home!$B$4&amp;""),MAX($K$4:K287)+1,"")</f>
        <v/>
      </c>
    </row>
    <row r="289" spans="11:11" ht="135" customHeight="1">
      <c r="K289" s="65" t="str">
        <f>IF(AND($C289&lt;&gt;"",$I289&lt;&gt;"Closed",$I289&lt;&gt;"Complete",$I289&lt;&gt;"",$C289&amp;""=PMIS_Home!$B$4&amp;""),MAX($K$4:K288)+1,"")</f>
        <v/>
      </c>
    </row>
    <row r="290" spans="11:11" ht="135" customHeight="1">
      <c r="K290" s="65" t="str">
        <f>IF(AND($C290&lt;&gt;"",$I290&lt;&gt;"Closed",$I290&lt;&gt;"Complete",$I290&lt;&gt;"",$C290&amp;""=PMIS_Home!$B$4&amp;""),MAX($K$4:K289)+1,"")</f>
        <v/>
      </c>
    </row>
    <row r="291" spans="11:11" ht="135" customHeight="1">
      <c r="K291" s="65" t="str">
        <f>IF(AND($C291&lt;&gt;"",$I291&lt;&gt;"Closed",$I291&lt;&gt;"Complete",$I291&lt;&gt;"",$C291&amp;""=PMIS_Home!$B$4&amp;""),MAX($K$4:K290)+1,"")</f>
        <v/>
      </c>
    </row>
    <row r="292" spans="11:11" ht="135" customHeight="1">
      <c r="K292" s="65" t="str">
        <f>IF(AND($C292&lt;&gt;"",$I292&lt;&gt;"Closed",$I292&lt;&gt;"Complete",$I292&lt;&gt;"",$C292&amp;""=PMIS_Home!$B$4&amp;""),MAX($K$4:K291)+1,"")</f>
        <v/>
      </c>
    </row>
    <row r="293" spans="11:11" ht="135" customHeight="1">
      <c r="K293" s="65" t="str">
        <f>IF(AND($C293&lt;&gt;"",$I293&lt;&gt;"Closed",$I293&lt;&gt;"Complete",$I293&lt;&gt;"",$C293&amp;""=PMIS_Home!$B$4&amp;""),MAX($K$4:K292)+1,"")</f>
        <v/>
      </c>
    </row>
    <row r="294" spans="11:11" ht="135" customHeight="1">
      <c r="K294" s="65" t="str">
        <f>IF(AND($C294&lt;&gt;"",$I294&lt;&gt;"Closed",$I294&lt;&gt;"Complete",$I294&lt;&gt;"",$C294&amp;""=PMIS_Home!$B$4&amp;""),MAX($K$4:K293)+1,"")</f>
        <v/>
      </c>
    </row>
    <row r="295" spans="11:11" ht="135" customHeight="1">
      <c r="K295" s="65" t="str">
        <f>IF(AND($C295&lt;&gt;"",$I295&lt;&gt;"Closed",$I295&lt;&gt;"Complete",$I295&lt;&gt;"",$C295&amp;""=PMIS_Home!$B$4&amp;""),MAX($K$4:K294)+1,"")</f>
        <v/>
      </c>
    </row>
    <row r="296" spans="11:11" ht="135" customHeight="1">
      <c r="K296" s="65" t="str">
        <f>IF(AND($C296&lt;&gt;"",$I296&lt;&gt;"Closed",$I296&lt;&gt;"Complete",$I296&lt;&gt;"",$C296&amp;""=PMIS_Home!$B$4&amp;""),MAX($K$4:K295)+1,"")</f>
        <v/>
      </c>
    </row>
    <row r="297" spans="11:11" ht="135" customHeight="1">
      <c r="K297" s="65" t="str">
        <f>IF(AND($C297&lt;&gt;"",$I297&lt;&gt;"Closed",$I297&lt;&gt;"Complete",$I297&lt;&gt;"",$C297&amp;""=PMIS_Home!$B$4&amp;""),MAX($K$4:K296)+1,"")</f>
        <v/>
      </c>
    </row>
    <row r="298" spans="11:11" ht="135" customHeight="1">
      <c r="K298" s="65" t="str">
        <f>IF(AND($C298&lt;&gt;"",$I298&lt;&gt;"Closed",$I298&lt;&gt;"Complete",$I298&lt;&gt;"",$C298&amp;""=PMIS_Home!$B$4&amp;""),MAX($K$4:K297)+1,"")</f>
        <v/>
      </c>
    </row>
    <row r="299" spans="11:11" ht="135" customHeight="1">
      <c r="K299" s="65" t="str">
        <f>IF(AND($C299&lt;&gt;"",$I299&lt;&gt;"Closed",$I299&lt;&gt;"Complete",$I299&lt;&gt;"",$C299&amp;""=PMIS_Home!$B$4&amp;""),MAX($K$4:K298)+1,"")</f>
        <v/>
      </c>
    </row>
    <row r="300" spans="11:11" ht="135" customHeight="1">
      <c r="K300" s="65" t="str">
        <f>IF(AND($C300&lt;&gt;"",$I300&lt;&gt;"Closed",$I300&lt;&gt;"Complete",$I300&lt;&gt;"",$C300&amp;""=PMIS_Home!$B$4&amp;""),MAX($K$4:K299)+1,"")</f>
        <v/>
      </c>
    </row>
  </sheetData>
  <conditionalFormatting sqref="I4:I200">
    <cfRule type="expression" dxfId="1440" priority="2">
      <formula>$I4="Closed"</formula>
    </cfRule>
    <cfRule type="expression" dxfId="1439" priority="3">
      <formula>$I4="Complete"</formula>
    </cfRule>
    <cfRule type="expression" dxfId="1438" priority="4">
      <formula>$I4="Delayed"</formula>
    </cfRule>
    <cfRule type="expression" dxfId="1437" priority="5">
      <formula>$I4="On Hold"</formula>
    </cfRule>
    <cfRule type="expression" dxfId="1436"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defaultColWidth="8.85546875" defaultRowHeight="15" customHeight="1"/>
  <cols>
    <col min="1" max="1" width="18.4257812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923" t="s">
        <v>350</v>
      </c>
      <c r="B1" s="924"/>
      <c r="C1" s="924"/>
      <c r="D1" s="924"/>
      <c r="E1" s="924"/>
      <c r="F1" s="924"/>
      <c r="G1" s="924"/>
      <c r="H1" s="924"/>
      <c r="I1" s="924"/>
      <c r="J1" s="924"/>
      <c r="K1" s="924"/>
      <c r="M1" s="227"/>
      <c r="N1" s="227"/>
      <c r="O1" s="227"/>
      <c r="P1" s="227"/>
      <c r="Q1" s="227"/>
      <c r="R1" s="227"/>
      <c r="S1" s="227"/>
      <c r="T1" s="227"/>
      <c r="U1" s="192"/>
    </row>
    <row r="2" spans="1:21" ht="15" customHeight="1">
      <c r="A2" s="517" t="s">
        <v>351</v>
      </c>
      <c r="B2" s="518"/>
      <c r="C2" s="518"/>
      <c r="D2" s="518"/>
      <c r="E2" s="518"/>
      <c r="F2" s="518"/>
      <c r="G2" s="518"/>
      <c r="H2" s="518"/>
      <c r="M2" s="227"/>
      <c r="N2" s="227"/>
      <c r="O2" s="227"/>
      <c r="P2" s="227"/>
      <c r="Q2" s="227"/>
      <c r="R2" s="227"/>
      <c r="S2" s="227"/>
      <c r="T2" s="227"/>
      <c r="U2" s="192"/>
    </row>
    <row r="3" spans="1:21" s="192" customFormat="1" ht="15" customHeight="1">
      <c r="A3" s="383" t="s">
        <v>352</v>
      </c>
      <c r="B3" s="383" t="s">
        <v>142</v>
      </c>
      <c r="C3" s="383" t="s">
        <v>353</v>
      </c>
      <c r="D3" s="383" t="s">
        <v>354</v>
      </c>
      <c r="E3" s="383" t="s">
        <v>355</v>
      </c>
      <c r="F3" s="383" t="s">
        <v>356</v>
      </c>
      <c r="G3" s="383" t="s">
        <v>77</v>
      </c>
      <c r="H3" s="383" t="s">
        <v>5733</v>
      </c>
      <c r="I3" s="384" t="s">
        <v>357</v>
      </c>
      <c r="J3" s="385" t="s">
        <v>177</v>
      </c>
      <c r="K3" s="385" t="s">
        <v>11</v>
      </c>
      <c r="M3" s="227"/>
      <c r="N3" s="227"/>
      <c r="O3" s="227"/>
      <c r="P3" s="227"/>
      <c r="Q3" s="227"/>
      <c r="R3" s="227"/>
      <c r="S3" s="227"/>
      <c r="T3" s="227"/>
    </row>
    <row r="4" spans="1:21" s="192" customFormat="1" ht="15" customHeight="1" thickBot="1">
      <c r="A4" s="386"/>
      <c r="B4" s="387" t="s">
        <v>358</v>
      </c>
      <c r="C4" s="387" t="s">
        <v>359</v>
      </c>
      <c r="D4" s="387" t="s">
        <v>360</v>
      </c>
      <c r="E4" s="387" t="s">
        <v>361</v>
      </c>
      <c r="F4" s="387" t="s">
        <v>362</v>
      </c>
      <c r="G4" s="387"/>
      <c r="H4" s="387"/>
      <c r="I4" s="388" t="s">
        <v>363</v>
      </c>
      <c r="J4" s="389"/>
      <c r="K4" s="390"/>
      <c r="M4" s="227"/>
      <c r="N4" s="227"/>
      <c r="O4" s="227"/>
      <c r="P4" s="227"/>
      <c r="Q4" s="227"/>
      <c r="R4" s="227"/>
      <c r="S4" s="227"/>
      <c r="T4" s="227"/>
    </row>
    <row r="5" spans="1:21" s="192" customFormat="1" ht="15" customHeight="1" thickBot="1">
      <c r="A5" s="391"/>
      <c r="B5" s="392">
        <v>1</v>
      </c>
      <c r="C5" s="393" t="s">
        <v>366</v>
      </c>
      <c r="D5" s="393" t="s">
        <v>367</v>
      </c>
      <c r="E5" s="394"/>
      <c r="F5" s="394"/>
      <c r="G5" s="394"/>
      <c r="H5" s="394"/>
      <c r="I5" s="395"/>
      <c r="J5" s="396"/>
      <c r="K5" s="397"/>
      <c r="M5" s="227"/>
      <c r="N5" s="227"/>
      <c r="O5" s="227"/>
      <c r="P5" s="227"/>
      <c r="Q5" s="227"/>
      <c r="R5" s="227"/>
      <c r="S5" s="227"/>
      <c r="T5" s="227"/>
    </row>
    <row r="6" spans="1:21" s="192" customFormat="1" ht="15" customHeight="1" thickTop="1" thickBot="1">
      <c r="A6" s="398"/>
      <c r="B6" s="399"/>
      <c r="C6" s="400">
        <v>1</v>
      </c>
      <c r="D6" s="400" t="s">
        <v>369</v>
      </c>
      <c r="E6" s="400">
        <v>107</v>
      </c>
      <c r="F6" s="400" t="s">
        <v>370</v>
      </c>
      <c r="G6" s="401" t="s">
        <v>412</v>
      </c>
      <c r="H6" s="400"/>
      <c r="I6" s="402" t="s">
        <v>371</v>
      </c>
      <c r="J6" s="403"/>
      <c r="K6" s="404"/>
      <c r="M6" s="227"/>
      <c r="N6" s="227"/>
      <c r="O6" s="227"/>
      <c r="P6" s="227"/>
      <c r="Q6" s="227"/>
      <c r="R6" s="227"/>
      <c r="S6" s="227"/>
      <c r="T6" s="227"/>
    </row>
    <row r="7" spans="1:21" s="192" customFormat="1" ht="15" customHeight="1" thickBot="1">
      <c r="A7" s="405"/>
      <c r="B7" s="406"/>
      <c r="C7" s="407">
        <v>2</v>
      </c>
      <c r="D7" s="407" t="s">
        <v>373</v>
      </c>
      <c r="E7" s="401"/>
      <c r="F7" s="401"/>
      <c r="G7" s="401"/>
      <c r="H7" s="401"/>
      <c r="I7" s="408"/>
      <c r="J7" s="409"/>
      <c r="K7" s="410"/>
      <c r="M7" s="227"/>
      <c r="N7" s="227"/>
      <c r="O7" s="227"/>
      <c r="P7" s="227"/>
      <c r="Q7" s="227"/>
      <c r="R7" s="227"/>
      <c r="S7" s="227"/>
      <c r="T7" s="227"/>
    </row>
    <row r="8" spans="1:21" s="192" customFormat="1" ht="15" customHeight="1" thickTop="1" thickBot="1">
      <c r="A8" s="411"/>
      <c r="B8" s="412">
        <v>2</v>
      </c>
      <c r="C8" s="413" t="s">
        <v>375</v>
      </c>
      <c r="D8" s="413" t="s">
        <v>367</v>
      </c>
      <c r="E8" s="414"/>
      <c r="F8" s="414"/>
      <c r="G8" s="414"/>
      <c r="H8" s="414"/>
      <c r="I8" s="415"/>
      <c r="J8" s="416"/>
      <c r="K8" s="417"/>
      <c r="M8" s="227"/>
      <c r="N8" s="227"/>
      <c r="O8" s="227"/>
      <c r="P8" s="227"/>
      <c r="Q8" s="227"/>
      <c r="R8" s="227"/>
      <c r="S8" s="227"/>
      <c r="T8" s="227"/>
    </row>
    <row r="9" spans="1:21" s="192" customFormat="1" ht="15" customHeight="1" thickTop="1" thickBot="1">
      <c r="A9" s="398"/>
      <c r="B9" s="418"/>
      <c r="C9" s="419">
        <v>1</v>
      </c>
      <c r="D9" s="419" t="s">
        <v>369</v>
      </c>
      <c r="E9" s="419">
        <v>141</v>
      </c>
      <c r="F9" s="419" t="s">
        <v>377</v>
      </c>
      <c r="G9" s="420" t="s">
        <v>5734</v>
      </c>
      <c r="H9" s="419"/>
      <c r="I9" s="421" t="s">
        <v>378</v>
      </c>
      <c r="J9" s="422"/>
      <c r="K9" s="423"/>
      <c r="M9" s="227"/>
      <c r="N9" s="227"/>
      <c r="O9" s="227"/>
      <c r="P9" s="227"/>
      <c r="Q9" s="227"/>
      <c r="R9" s="227"/>
      <c r="S9" s="227"/>
      <c r="T9" s="227"/>
    </row>
    <row r="10" spans="1:21" s="192" customFormat="1" ht="15" customHeight="1" thickBot="1">
      <c r="A10" s="398"/>
      <c r="B10" s="418"/>
      <c r="C10" s="419">
        <v>2</v>
      </c>
      <c r="D10" s="419" t="s">
        <v>369</v>
      </c>
      <c r="E10" s="419">
        <v>236</v>
      </c>
      <c r="F10" s="419" t="s">
        <v>377</v>
      </c>
      <c r="G10" s="420" t="s">
        <v>412</v>
      </c>
      <c r="H10" s="419"/>
      <c r="I10" s="421" t="s">
        <v>380</v>
      </c>
      <c r="J10" s="422"/>
      <c r="K10" s="423"/>
      <c r="M10" s="227"/>
      <c r="N10" s="227"/>
      <c r="O10" s="227"/>
      <c r="P10" s="227"/>
      <c r="Q10" s="227"/>
      <c r="R10" s="227"/>
      <c r="S10" s="227"/>
      <c r="T10" s="227"/>
    </row>
    <row r="11" spans="1:21" s="192" customFormat="1" ht="15" customHeight="1" thickBot="1">
      <c r="A11" s="398"/>
      <c r="B11" s="418"/>
      <c r="C11" s="419">
        <v>3</v>
      </c>
      <c r="D11" s="419" t="s">
        <v>369</v>
      </c>
      <c r="E11" s="419">
        <v>342</v>
      </c>
      <c r="F11" s="419" t="s">
        <v>370</v>
      </c>
      <c r="G11" s="420" t="s">
        <v>412</v>
      </c>
      <c r="H11" s="419"/>
      <c r="I11" s="421" t="s">
        <v>382</v>
      </c>
      <c r="J11" s="422"/>
      <c r="K11" s="423"/>
      <c r="M11" s="227"/>
      <c r="N11" s="227"/>
      <c r="O11" s="227"/>
      <c r="P11" s="227"/>
      <c r="Q11" s="227"/>
      <c r="R11" s="227"/>
      <c r="S11" s="227"/>
      <c r="T11" s="227"/>
    </row>
    <row r="12" spans="1:21" s="192" customFormat="1" ht="15" customHeight="1" thickBot="1">
      <c r="A12" s="405"/>
      <c r="B12" s="424"/>
      <c r="C12" s="425">
        <v>4</v>
      </c>
      <c r="D12" s="425" t="s">
        <v>383</v>
      </c>
      <c r="E12" s="420"/>
      <c r="F12" s="420"/>
      <c r="G12" s="420"/>
      <c r="H12" s="420"/>
      <c r="I12" s="426"/>
      <c r="J12" s="427"/>
      <c r="K12" s="428"/>
      <c r="M12" s="227"/>
      <c r="N12" s="227"/>
      <c r="O12" s="227"/>
      <c r="P12" s="227"/>
      <c r="Q12" s="227"/>
      <c r="R12" s="227"/>
      <c r="S12" s="227"/>
      <c r="T12" s="227"/>
    </row>
    <row r="13" spans="1:21" s="192" customFormat="1" ht="15" customHeight="1" thickTop="1" thickBot="1">
      <c r="A13" s="411"/>
      <c r="B13" s="392">
        <v>3</v>
      </c>
      <c r="C13" s="393" t="s">
        <v>375</v>
      </c>
      <c r="D13" s="393" t="s">
        <v>367</v>
      </c>
      <c r="E13" s="394"/>
      <c r="F13" s="394"/>
      <c r="G13" s="394"/>
      <c r="H13" s="394"/>
      <c r="I13" s="395"/>
      <c r="J13" s="429"/>
      <c r="K13" s="430"/>
      <c r="M13" s="227"/>
      <c r="N13" s="227"/>
      <c r="O13" s="227"/>
      <c r="P13" s="227"/>
      <c r="Q13" s="227"/>
      <c r="R13" s="227"/>
      <c r="S13" s="227"/>
      <c r="T13" s="227"/>
    </row>
    <row r="14" spans="1:21" s="192" customFormat="1" ht="15" customHeight="1" thickTop="1" thickBot="1">
      <c r="A14" s="405"/>
      <c r="B14" s="406"/>
      <c r="C14" s="407">
        <v>1</v>
      </c>
      <c r="D14" s="407" t="s">
        <v>369</v>
      </c>
      <c r="E14" s="407" t="s">
        <v>386</v>
      </c>
      <c r="F14" s="407" t="s">
        <v>377</v>
      </c>
      <c r="G14" s="401" t="s">
        <v>412</v>
      </c>
      <c r="H14" s="407"/>
      <c r="I14" s="431" t="s">
        <v>387</v>
      </c>
      <c r="J14" s="432"/>
      <c r="K14" s="433"/>
      <c r="M14" s="227"/>
      <c r="N14" s="227"/>
      <c r="O14" s="227"/>
      <c r="P14" s="227"/>
      <c r="Q14" s="227"/>
      <c r="R14" s="227"/>
      <c r="S14" s="227"/>
      <c r="T14" s="227"/>
    </row>
    <row r="15" spans="1:21" s="192" customFormat="1" ht="15" customHeight="1" thickTop="1" thickBot="1">
      <c r="A15" s="411"/>
      <c r="B15" s="412">
        <v>4</v>
      </c>
      <c r="C15" s="413" t="s">
        <v>375</v>
      </c>
      <c r="D15" s="413" t="s">
        <v>369</v>
      </c>
      <c r="E15" s="413" t="s">
        <v>389</v>
      </c>
      <c r="F15" s="413" t="s">
        <v>377</v>
      </c>
      <c r="G15" s="414" t="s">
        <v>412</v>
      </c>
      <c r="H15" s="413"/>
      <c r="I15" s="434" t="s">
        <v>390</v>
      </c>
      <c r="J15" s="435"/>
      <c r="K15" s="436"/>
      <c r="M15" s="227"/>
      <c r="N15" s="227"/>
      <c r="O15" s="227"/>
      <c r="P15" s="227"/>
      <c r="Q15" s="227"/>
      <c r="R15" s="227"/>
      <c r="S15" s="227"/>
      <c r="T15" s="227"/>
    </row>
    <row r="16" spans="1:21" s="192" customFormat="1" ht="15" customHeight="1" thickTop="1" thickBot="1">
      <c r="A16" s="398"/>
      <c r="B16" s="418"/>
      <c r="C16" s="419">
        <v>1</v>
      </c>
      <c r="D16" s="419" t="s">
        <v>369</v>
      </c>
      <c r="E16" s="419">
        <v>141</v>
      </c>
      <c r="F16" s="419" t="s">
        <v>370</v>
      </c>
      <c r="G16" s="420" t="s">
        <v>5734</v>
      </c>
      <c r="H16" s="419"/>
      <c r="I16" s="421" t="s">
        <v>393</v>
      </c>
      <c r="J16" s="437"/>
      <c r="K16" s="438"/>
      <c r="M16" s="227"/>
      <c r="N16" s="227"/>
      <c r="O16" s="227"/>
      <c r="P16" s="227"/>
      <c r="Q16" s="227"/>
      <c r="R16" s="227"/>
      <c r="S16" s="227"/>
      <c r="T16" s="227"/>
    </row>
    <row r="17" spans="1:20" s="192" customFormat="1" ht="15" customHeight="1" thickBot="1">
      <c r="A17" s="405"/>
      <c r="B17" s="424"/>
      <c r="C17" s="425">
        <v>2</v>
      </c>
      <c r="D17" s="425" t="s">
        <v>369</v>
      </c>
      <c r="E17" s="425">
        <v>244</v>
      </c>
      <c r="F17" s="425" t="s">
        <v>370</v>
      </c>
      <c r="G17" s="420" t="s">
        <v>5734</v>
      </c>
      <c r="H17" s="425"/>
      <c r="I17" s="439" t="s">
        <v>395</v>
      </c>
      <c r="J17" s="440"/>
      <c r="K17" s="441"/>
      <c r="M17" s="227"/>
      <c r="N17" s="227"/>
      <c r="O17" s="227"/>
      <c r="P17" s="227"/>
      <c r="Q17" s="227"/>
      <c r="R17" s="227"/>
      <c r="S17" s="227"/>
      <c r="T17" s="227"/>
    </row>
    <row r="18" spans="1:20" s="192" customFormat="1" ht="15" customHeight="1" thickTop="1" thickBot="1">
      <c r="A18" s="411"/>
      <c r="B18" s="392">
        <v>5</v>
      </c>
      <c r="C18" s="393" t="s">
        <v>375</v>
      </c>
      <c r="D18" s="442" t="s">
        <v>367</v>
      </c>
      <c r="E18" s="443"/>
      <c r="F18" s="443"/>
      <c r="G18" s="443"/>
      <c r="H18" s="443"/>
      <c r="I18" s="444"/>
      <c r="J18" s="445"/>
      <c r="K18" s="397"/>
      <c r="M18" s="227"/>
      <c r="N18" s="227"/>
      <c r="O18" s="227"/>
      <c r="P18" s="227"/>
      <c r="Q18" s="227"/>
      <c r="R18" s="227"/>
      <c r="S18" s="227"/>
      <c r="T18" s="227"/>
    </row>
    <row r="19" spans="1:20" s="192" customFormat="1" ht="15" customHeight="1" thickTop="1" thickBot="1">
      <c r="A19" s="398"/>
      <c r="B19" s="399"/>
      <c r="C19" s="400">
        <v>1</v>
      </c>
      <c r="D19" s="446" t="s">
        <v>396</v>
      </c>
      <c r="E19" s="400">
        <v>150</v>
      </c>
      <c r="F19" s="446" t="s">
        <v>396</v>
      </c>
      <c r="G19" s="447" t="s">
        <v>412</v>
      </c>
      <c r="H19" s="446"/>
      <c r="I19" s="402" t="s">
        <v>397</v>
      </c>
      <c r="J19" s="403"/>
      <c r="K19" s="404"/>
      <c r="M19" s="227"/>
      <c r="N19" s="227"/>
      <c r="O19" s="227"/>
      <c r="P19" s="227"/>
      <c r="Q19" s="227"/>
      <c r="R19" s="227"/>
      <c r="S19" s="227"/>
      <c r="T19" s="227"/>
    </row>
    <row r="20" spans="1:20" s="192" customFormat="1" ht="15" customHeight="1" thickBot="1">
      <c r="A20" s="398"/>
      <c r="B20" s="399"/>
      <c r="C20" s="400">
        <v>2</v>
      </c>
      <c r="D20" s="400" t="s">
        <v>398</v>
      </c>
      <c r="E20" s="447"/>
      <c r="F20" s="447"/>
      <c r="G20" s="447"/>
      <c r="H20" s="447"/>
      <c r="I20" s="448"/>
      <c r="J20" s="449"/>
      <c r="K20" s="404"/>
      <c r="M20" s="227"/>
      <c r="N20" s="227"/>
      <c r="O20" s="227"/>
      <c r="P20" s="227"/>
      <c r="Q20" s="227"/>
      <c r="R20" s="227"/>
      <c r="S20" s="227"/>
      <c r="T20" s="227"/>
    </row>
    <row r="21" spans="1:20" s="192" customFormat="1" ht="15" customHeight="1" thickBot="1">
      <c r="A21" s="405"/>
      <c r="B21" s="406"/>
      <c r="C21" s="407" t="s">
        <v>399</v>
      </c>
      <c r="D21" s="447"/>
      <c r="E21" s="447"/>
      <c r="F21" s="447"/>
      <c r="G21" s="447"/>
      <c r="H21" s="447"/>
      <c r="I21" s="448"/>
      <c r="J21" s="450"/>
      <c r="K21" s="410"/>
      <c r="M21" s="227"/>
      <c r="N21" s="227"/>
      <c r="O21" s="227"/>
      <c r="P21" s="227"/>
      <c r="Q21" s="227"/>
      <c r="R21" s="227"/>
      <c r="S21" s="227"/>
      <c r="T21" s="227"/>
    </row>
    <row r="22" spans="1:20" s="192" customFormat="1" ht="15" customHeight="1" thickTop="1" thickBot="1">
      <c r="A22" s="411"/>
      <c r="B22" s="412">
        <v>6</v>
      </c>
      <c r="C22" s="413" t="s">
        <v>375</v>
      </c>
      <c r="D22" s="413" t="s">
        <v>367</v>
      </c>
      <c r="E22" s="414"/>
      <c r="F22" s="414"/>
      <c r="G22" s="414"/>
      <c r="H22" s="414"/>
      <c r="I22" s="415"/>
      <c r="J22" s="416"/>
      <c r="K22" s="417"/>
      <c r="M22" s="227"/>
      <c r="N22" s="227"/>
      <c r="O22" s="227"/>
      <c r="P22" s="227"/>
      <c r="Q22" s="227"/>
      <c r="R22" s="227"/>
      <c r="S22" s="227"/>
      <c r="T22" s="227"/>
    </row>
    <row r="23" spans="1:20" s="192" customFormat="1" ht="15" customHeight="1" thickTop="1" thickBot="1">
      <c r="A23" s="398"/>
      <c r="B23" s="418"/>
      <c r="C23" s="419">
        <v>1</v>
      </c>
      <c r="D23" s="419" t="s">
        <v>369</v>
      </c>
      <c r="E23" s="419">
        <v>178</v>
      </c>
      <c r="F23" s="419" t="s">
        <v>370</v>
      </c>
      <c r="G23" s="420" t="s">
        <v>412</v>
      </c>
      <c r="H23" s="419"/>
      <c r="I23" s="421" t="s">
        <v>387</v>
      </c>
      <c r="J23" s="422"/>
      <c r="K23" s="423"/>
      <c r="M23" s="227"/>
      <c r="N23" s="227"/>
      <c r="O23" s="227"/>
      <c r="P23" s="227"/>
      <c r="Q23" s="227"/>
      <c r="R23" s="227"/>
      <c r="S23" s="227"/>
      <c r="T23" s="227"/>
    </row>
    <row r="24" spans="1:20" s="192" customFormat="1" ht="15" customHeight="1" thickBot="1">
      <c r="A24" s="405"/>
      <c r="B24" s="424"/>
      <c r="C24" s="425">
        <v>2</v>
      </c>
      <c r="D24" s="425" t="s">
        <v>369</v>
      </c>
      <c r="E24" s="425">
        <v>233</v>
      </c>
      <c r="F24" s="425" t="s">
        <v>370</v>
      </c>
      <c r="G24" s="420" t="s">
        <v>412</v>
      </c>
      <c r="H24" s="425"/>
      <c r="I24" s="439" t="s">
        <v>400</v>
      </c>
      <c r="J24" s="451"/>
      <c r="K24" s="428"/>
      <c r="M24" s="227"/>
      <c r="N24" s="227"/>
      <c r="O24" s="227"/>
      <c r="P24" s="227"/>
      <c r="Q24" s="227"/>
      <c r="R24" s="227"/>
      <c r="S24" s="227"/>
      <c r="T24" s="227"/>
    </row>
    <row r="25" spans="1:20" s="192" customFormat="1" ht="15" customHeight="1" thickTop="1" thickBot="1">
      <c r="A25" s="411"/>
      <c r="B25" s="392">
        <v>7</v>
      </c>
      <c r="C25" s="393" t="s">
        <v>375</v>
      </c>
      <c r="D25" s="393" t="s">
        <v>369</v>
      </c>
      <c r="E25" s="393" t="s">
        <v>401</v>
      </c>
      <c r="F25" s="393" t="s">
        <v>370</v>
      </c>
      <c r="G25" s="394" t="s">
        <v>412</v>
      </c>
      <c r="H25" s="393"/>
      <c r="I25" s="452" t="s">
        <v>402</v>
      </c>
      <c r="J25" s="453"/>
      <c r="K25" s="397"/>
      <c r="M25" s="227"/>
      <c r="N25" s="227"/>
      <c r="O25" s="227"/>
      <c r="P25" s="227"/>
      <c r="Q25" s="227"/>
      <c r="R25" s="227"/>
      <c r="S25" s="227"/>
      <c r="T25" s="227"/>
    </row>
    <row r="26" spans="1:20" s="192" customFormat="1" ht="15" customHeight="1" thickTop="1" thickBot="1">
      <c r="A26" s="398"/>
      <c r="B26" s="399"/>
      <c r="C26" s="400">
        <v>1</v>
      </c>
      <c r="D26" s="400" t="s">
        <v>403</v>
      </c>
      <c r="E26" s="401"/>
      <c r="F26" s="401"/>
      <c r="G26" s="401"/>
      <c r="H26" s="401"/>
      <c r="I26" s="408"/>
      <c r="J26" s="454"/>
      <c r="K26" s="404"/>
      <c r="M26" s="227"/>
      <c r="N26" s="227"/>
      <c r="O26" s="227"/>
      <c r="P26" s="227"/>
      <c r="Q26" s="227"/>
      <c r="R26" s="227"/>
      <c r="S26" s="227"/>
      <c r="T26" s="227"/>
    </row>
    <row r="27" spans="1:20" s="192" customFormat="1" ht="15" customHeight="1" thickBot="1">
      <c r="A27" s="405"/>
      <c r="B27" s="406"/>
      <c r="C27" s="407">
        <v>2</v>
      </c>
      <c r="D27" s="407" t="s">
        <v>369</v>
      </c>
      <c r="E27" s="407" t="s">
        <v>404</v>
      </c>
      <c r="F27" s="407" t="s">
        <v>377</v>
      </c>
      <c r="G27" s="401" t="s">
        <v>5734</v>
      </c>
      <c r="H27" s="407"/>
      <c r="I27" s="431" t="s">
        <v>405</v>
      </c>
      <c r="J27" s="455"/>
      <c r="K27" s="410"/>
      <c r="M27" s="227"/>
      <c r="N27" s="227"/>
      <c r="O27" s="227"/>
      <c r="P27" s="227"/>
      <c r="Q27" s="227"/>
      <c r="R27" s="227"/>
      <c r="S27" s="227"/>
      <c r="T27" s="227"/>
    </row>
    <row r="28" spans="1:20" s="192" customFormat="1" ht="15" customHeight="1" thickTop="1" thickBot="1">
      <c r="A28" s="411"/>
      <c r="B28" s="412">
        <v>8</v>
      </c>
      <c r="C28" s="413" t="s">
        <v>375</v>
      </c>
      <c r="D28" s="413" t="s">
        <v>403</v>
      </c>
      <c r="E28" s="414"/>
      <c r="F28" s="414"/>
      <c r="G28" s="414"/>
      <c r="H28" s="414"/>
      <c r="I28" s="415"/>
      <c r="J28" s="416"/>
      <c r="K28" s="417"/>
      <c r="M28" s="227"/>
      <c r="N28" s="227"/>
      <c r="O28" s="227"/>
      <c r="P28" s="227"/>
      <c r="Q28" s="227"/>
      <c r="R28" s="227"/>
      <c r="S28" s="227"/>
      <c r="T28" s="227"/>
    </row>
    <row r="29" spans="1:20" s="192" customFormat="1" ht="15" customHeight="1" thickTop="1" thickBot="1">
      <c r="A29" s="398"/>
      <c r="B29" s="418"/>
      <c r="C29" s="419">
        <v>1</v>
      </c>
      <c r="D29" s="419" t="s">
        <v>403</v>
      </c>
      <c r="E29" s="420"/>
      <c r="F29" s="420"/>
      <c r="G29" s="420"/>
      <c r="H29" s="420"/>
      <c r="I29" s="426"/>
      <c r="J29" s="456"/>
      <c r="K29" s="423"/>
      <c r="M29" s="227"/>
      <c r="N29" s="227"/>
      <c r="O29" s="227"/>
      <c r="P29" s="227"/>
      <c r="Q29" s="227"/>
      <c r="R29" s="227"/>
      <c r="S29" s="227"/>
      <c r="T29" s="227"/>
    </row>
    <row r="30" spans="1:20" s="192" customFormat="1" ht="15" customHeight="1" thickBot="1">
      <c r="A30" s="398"/>
      <c r="B30" s="418"/>
      <c r="C30" s="419">
        <v>2</v>
      </c>
      <c r="D30" s="419" t="s">
        <v>369</v>
      </c>
      <c r="E30" s="419" t="s">
        <v>406</v>
      </c>
      <c r="F30" s="419" t="s">
        <v>377</v>
      </c>
      <c r="G30" s="420" t="s">
        <v>412</v>
      </c>
      <c r="H30" s="419"/>
      <c r="I30" s="421" t="s">
        <v>387</v>
      </c>
      <c r="J30" s="422"/>
      <c r="K30" s="423" t="s">
        <v>5735</v>
      </c>
      <c r="M30" s="227"/>
      <c r="N30" s="227"/>
      <c r="O30" s="227"/>
      <c r="P30" s="227"/>
      <c r="Q30" s="227"/>
      <c r="R30" s="227"/>
      <c r="S30" s="227"/>
      <c r="T30" s="227"/>
    </row>
    <row r="31" spans="1:20" s="192" customFormat="1" ht="15" customHeight="1" thickBot="1">
      <c r="A31" s="405"/>
      <c r="B31" s="424"/>
      <c r="C31" s="425" t="s">
        <v>399</v>
      </c>
      <c r="D31" s="420"/>
      <c r="E31" s="420"/>
      <c r="F31" s="420"/>
      <c r="G31" s="420"/>
      <c r="H31" s="420"/>
      <c r="I31" s="426"/>
      <c r="J31" s="427"/>
      <c r="K31" s="428"/>
      <c r="M31" s="227"/>
      <c r="N31" s="227"/>
      <c r="O31" s="227"/>
      <c r="P31" s="227"/>
      <c r="Q31" s="227"/>
      <c r="R31" s="227"/>
      <c r="S31" s="227"/>
      <c r="T31" s="227"/>
    </row>
    <row r="32" spans="1:20" s="192" customFormat="1" ht="15" customHeight="1" thickTop="1" thickBot="1">
      <c r="A32" s="411"/>
      <c r="B32" s="392">
        <v>9</v>
      </c>
      <c r="C32" s="393" t="s">
        <v>375</v>
      </c>
      <c r="D32" s="393" t="s">
        <v>369</v>
      </c>
      <c r="E32" s="393" t="s">
        <v>12</v>
      </c>
      <c r="F32" s="393" t="s">
        <v>370</v>
      </c>
      <c r="G32" s="394" t="s">
        <v>412</v>
      </c>
      <c r="H32" s="393"/>
      <c r="I32" s="452" t="s">
        <v>407</v>
      </c>
      <c r="J32" s="453"/>
      <c r="K32" s="397" t="s">
        <v>5736</v>
      </c>
      <c r="M32" s="227"/>
      <c r="N32" s="227"/>
      <c r="O32" s="227"/>
      <c r="P32" s="227"/>
      <c r="Q32" s="227"/>
      <c r="R32" s="227"/>
      <c r="S32" s="227"/>
      <c r="T32" s="227"/>
    </row>
    <row r="33" spans="1:20" s="192" customFormat="1" ht="15" customHeight="1" thickTop="1" thickBot="1">
      <c r="A33" s="398"/>
      <c r="B33" s="399"/>
      <c r="C33" s="400">
        <v>1</v>
      </c>
      <c r="D33" s="400" t="s">
        <v>369</v>
      </c>
      <c r="E33" s="400" t="s">
        <v>408</v>
      </c>
      <c r="F33" s="400" t="s">
        <v>370</v>
      </c>
      <c r="G33" s="401" t="s">
        <v>5734</v>
      </c>
      <c r="H33" s="400"/>
      <c r="I33" s="402" t="s">
        <v>409</v>
      </c>
      <c r="J33" s="403" t="s">
        <v>5737</v>
      </c>
      <c r="K33" s="404" t="s">
        <v>5738</v>
      </c>
      <c r="M33" s="227"/>
      <c r="N33" s="227"/>
      <c r="O33" s="227"/>
      <c r="P33" s="227"/>
      <c r="Q33" s="227"/>
      <c r="R33" s="227"/>
      <c r="S33" s="227"/>
      <c r="T33" s="227"/>
    </row>
    <row r="34" spans="1:20" s="192" customFormat="1" ht="15" customHeight="1" thickBot="1">
      <c r="A34" s="398"/>
      <c r="B34" s="399"/>
      <c r="C34" s="457"/>
      <c r="D34" s="457"/>
      <c r="E34" s="457"/>
      <c r="F34" s="457"/>
      <c r="G34" s="401"/>
      <c r="H34" s="457"/>
      <c r="I34" s="458"/>
      <c r="J34" s="459"/>
      <c r="K34" s="410" t="s">
        <v>5739</v>
      </c>
      <c r="M34" s="227"/>
      <c r="N34" s="227"/>
      <c r="O34" s="227"/>
      <c r="P34" s="227"/>
      <c r="Q34" s="227"/>
      <c r="R34" s="227"/>
      <c r="S34" s="227"/>
      <c r="T34" s="227"/>
    </row>
    <row r="35" spans="1:20" s="192" customFormat="1" ht="15" customHeight="1" thickBot="1">
      <c r="A35" s="405"/>
      <c r="B35" s="406"/>
      <c r="C35" s="407">
        <v>2</v>
      </c>
      <c r="D35" s="407" t="s">
        <v>369</v>
      </c>
      <c r="E35" s="407">
        <v>206</v>
      </c>
      <c r="F35" s="407" t="s">
        <v>370</v>
      </c>
      <c r="G35" s="401" t="s">
        <v>5734</v>
      </c>
      <c r="H35" s="407"/>
      <c r="I35" s="431" t="s">
        <v>410</v>
      </c>
      <c r="J35" s="455"/>
      <c r="K35" s="410"/>
      <c r="M35" s="227"/>
      <c r="N35" s="227"/>
      <c r="O35" s="227"/>
      <c r="P35" s="227"/>
      <c r="Q35" s="227"/>
      <c r="R35" s="227"/>
      <c r="S35" s="227"/>
      <c r="T35" s="227"/>
    </row>
    <row r="36" spans="1:20" s="192" customFormat="1" ht="15" customHeight="1" thickTop="1" thickBot="1">
      <c r="A36" s="411"/>
      <c r="B36" s="412">
        <v>10</v>
      </c>
      <c r="C36" s="413" t="s">
        <v>375</v>
      </c>
      <c r="D36" s="413" t="s">
        <v>403</v>
      </c>
      <c r="E36" s="414"/>
      <c r="F36" s="414"/>
      <c r="G36" s="414"/>
      <c r="H36" s="414"/>
      <c r="I36" s="415"/>
      <c r="J36" s="416"/>
      <c r="K36" s="417"/>
      <c r="M36" s="227"/>
      <c r="N36" s="227"/>
      <c r="O36" s="227"/>
      <c r="P36" s="227"/>
      <c r="Q36" s="227"/>
      <c r="R36" s="227"/>
      <c r="S36" s="227"/>
      <c r="T36" s="227"/>
    </row>
    <row r="37" spans="1:20" s="192" customFormat="1" ht="15" customHeight="1" thickTop="1" thickBot="1">
      <c r="A37" s="398"/>
      <c r="B37" s="418"/>
      <c r="C37" s="419">
        <v>1</v>
      </c>
      <c r="D37" s="419" t="s">
        <v>403</v>
      </c>
      <c r="E37" s="420"/>
      <c r="F37" s="420"/>
      <c r="G37" s="420"/>
      <c r="H37" s="420"/>
      <c r="I37" s="426"/>
      <c r="J37" s="456"/>
      <c r="K37" s="423"/>
      <c r="M37" s="227"/>
      <c r="N37" s="227"/>
      <c r="O37" s="227"/>
      <c r="P37" s="227"/>
      <c r="Q37" s="227"/>
      <c r="R37" s="227"/>
      <c r="S37" s="227"/>
      <c r="T37" s="227"/>
    </row>
    <row r="38" spans="1:20" s="192" customFormat="1" ht="15" customHeight="1" thickBot="1">
      <c r="A38" s="405"/>
      <c r="B38" s="424"/>
      <c r="C38" s="425" t="s">
        <v>399</v>
      </c>
      <c r="D38" s="425" t="s">
        <v>369</v>
      </c>
      <c r="E38" s="425" t="s">
        <v>411</v>
      </c>
      <c r="F38" s="425" t="s">
        <v>370</v>
      </c>
      <c r="G38" s="420" t="s">
        <v>412</v>
      </c>
      <c r="H38" s="425"/>
      <c r="I38" s="439" t="s">
        <v>412</v>
      </c>
      <c r="J38" s="451"/>
      <c r="K38" s="428" t="s">
        <v>5740</v>
      </c>
      <c r="M38" s="227"/>
      <c r="N38" s="227"/>
      <c r="O38" s="227"/>
      <c r="P38" s="227"/>
      <c r="Q38" s="227"/>
      <c r="R38" s="227"/>
      <c r="S38" s="227"/>
      <c r="T38" s="227"/>
    </row>
    <row r="39" spans="1:20" s="192" customFormat="1" ht="15" customHeight="1" thickTop="1" thickBot="1">
      <c r="A39" s="411"/>
      <c r="B39" s="392">
        <v>12</v>
      </c>
      <c r="C39" s="393" t="s">
        <v>375</v>
      </c>
      <c r="D39" s="460" t="s">
        <v>413</v>
      </c>
      <c r="E39" s="394"/>
      <c r="F39" s="394"/>
      <c r="G39" s="394"/>
      <c r="H39" s="394"/>
      <c r="I39" s="395"/>
      <c r="J39" s="396"/>
      <c r="K39" s="397"/>
      <c r="M39" s="227"/>
      <c r="N39" s="227"/>
      <c r="O39" s="227"/>
      <c r="P39" s="227"/>
      <c r="Q39" s="227"/>
      <c r="R39" s="227"/>
      <c r="S39" s="227"/>
      <c r="T39" s="227"/>
    </row>
    <row r="40" spans="1:20" s="192" customFormat="1" ht="15" customHeight="1" thickTop="1" thickBot="1">
      <c r="A40" s="398"/>
      <c r="B40" s="399"/>
      <c r="C40" s="400">
        <v>1</v>
      </c>
      <c r="D40" s="461" t="s">
        <v>413</v>
      </c>
      <c r="E40" s="401"/>
      <c r="F40" s="401"/>
      <c r="G40" s="401"/>
      <c r="H40" s="401"/>
      <c r="I40" s="408"/>
      <c r="J40" s="454"/>
      <c r="K40" s="404"/>
      <c r="M40" s="227"/>
      <c r="N40" s="227"/>
      <c r="O40" s="227"/>
      <c r="P40" s="227"/>
      <c r="Q40" s="227"/>
      <c r="R40" s="227"/>
      <c r="S40" s="227"/>
      <c r="T40" s="227"/>
    </row>
    <row r="41" spans="1:20" s="192" customFormat="1" ht="15" customHeight="1" thickBot="1">
      <c r="A41" s="405"/>
      <c r="B41" s="406"/>
      <c r="C41" s="407">
        <v>2</v>
      </c>
      <c r="D41" s="462" t="s">
        <v>413</v>
      </c>
      <c r="E41" s="401"/>
      <c r="F41" s="401"/>
      <c r="G41" s="401"/>
      <c r="H41" s="401"/>
      <c r="I41" s="408"/>
      <c r="J41" s="409"/>
      <c r="K41" s="410"/>
      <c r="M41" s="227"/>
      <c r="N41" s="227"/>
      <c r="O41" s="227"/>
      <c r="P41" s="227"/>
      <c r="Q41" s="227"/>
      <c r="R41" s="227"/>
      <c r="S41" s="227"/>
      <c r="T41" s="227"/>
    </row>
    <row r="42" spans="1:20" s="192" customFormat="1" ht="15" customHeight="1" thickTop="1" thickBot="1">
      <c r="A42" s="411"/>
      <c r="B42" s="412">
        <v>13</v>
      </c>
      <c r="C42" s="413" t="s">
        <v>375</v>
      </c>
      <c r="D42" s="413" t="s">
        <v>367</v>
      </c>
      <c r="E42" s="414"/>
      <c r="F42" s="414"/>
      <c r="G42" s="414"/>
      <c r="H42" s="414"/>
      <c r="I42" s="415"/>
      <c r="J42" s="416"/>
      <c r="K42" s="417"/>
      <c r="M42" s="227"/>
      <c r="N42" s="227"/>
      <c r="O42" s="227"/>
      <c r="P42" s="227"/>
      <c r="Q42" s="227"/>
      <c r="R42" s="227"/>
      <c r="S42" s="227"/>
      <c r="T42" s="227"/>
    </row>
    <row r="43" spans="1:20" s="192" customFormat="1" ht="15" customHeight="1" thickTop="1" thickBot="1">
      <c r="A43" s="398"/>
      <c r="B43" s="418"/>
      <c r="C43" s="419">
        <v>1</v>
      </c>
      <c r="D43" s="419" t="s">
        <v>369</v>
      </c>
      <c r="E43" s="419">
        <v>124</v>
      </c>
      <c r="F43" s="419" t="s">
        <v>370</v>
      </c>
      <c r="G43" s="420" t="s">
        <v>412</v>
      </c>
      <c r="H43" s="419"/>
      <c r="I43" s="421" t="s">
        <v>414</v>
      </c>
      <c r="J43" s="422"/>
      <c r="K43" s="423" t="s">
        <v>5741</v>
      </c>
      <c r="M43" s="227"/>
      <c r="N43" s="227"/>
      <c r="O43" s="227"/>
      <c r="P43" s="227"/>
      <c r="Q43" s="227"/>
      <c r="R43" s="227"/>
      <c r="S43" s="227"/>
      <c r="T43" s="227"/>
    </row>
    <row r="44" spans="1:20" s="192" customFormat="1" ht="15" customHeight="1" thickBot="1">
      <c r="A44" s="405"/>
      <c r="B44" s="424"/>
      <c r="C44" s="425">
        <v>2</v>
      </c>
      <c r="D44" s="425" t="s">
        <v>367</v>
      </c>
      <c r="E44" s="420"/>
      <c r="F44" s="420"/>
      <c r="G44" s="420"/>
      <c r="H44" s="420"/>
      <c r="I44" s="426"/>
      <c r="J44" s="427"/>
      <c r="K44" s="428"/>
      <c r="M44" s="227"/>
      <c r="N44" s="227"/>
      <c r="O44" s="227"/>
      <c r="P44" s="227"/>
      <c r="Q44" s="227"/>
      <c r="R44" s="227"/>
      <c r="S44" s="227"/>
      <c r="T44" s="227"/>
    </row>
    <row r="45" spans="1:20" s="192" customFormat="1" ht="15" customHeight="1" thickTop="1" thickBot="1">
      <c r="A45" s="411"/>
      <c r="B45" s="392">
        <v>14</v>
      </c>
      <c r="C45" s="393" t="s">
        <v>375</v>
      </c>
      <c r="D45" s="393" t="s">
        <v>367</v>
      </c>
      <c r="E45" s="394"/>
      <c r="F45" s="394"/>
      <c r="G45" s="394"/>
      <c r="H45" s="394"/>
      <c r="I45" s="395"/>
      <c r="J45" s="396"/>
      <c r="K45" s="397"/>
      <c r="M45" s="227"/>
      <c r="N45" s="227"/>
      <c r="O45" s="227"/>
      <c r="P45" s="227"/>
      <c r="Q45" s="227"/>
      <c r="R45" s="227"/>
      <c r="S45" s="227"/>
      <c r="T45" s="227"/>
    </row>
    <row r="46" spans="1:20" s="192" customFormat="1" ht="15" customHeight="1" thickTop="1" thickBot="1">
      <c r="A46" s="398"/>
      <c r="B46" s="399"/>
      <c r="C46" s="400">
        <v>1</v>
      </c>
      <c r="D46" s="400" t="s">
        <v>369</v>
      </c>
      <c r="E46" s="400">
        <v>119</v>
      </c>
      <c r="F46" s="400" t="s">
        <v>370</v>
      </c>
      <c r="G46" s="401" t="s">
        <v>5734</v>
      </c>
      <c r="H46" s="400"/>
      <c r="I46" s="402" t="s">
        <v>415</v>
      </c>
      <c r="J46" s="403"/>
      <c r="K46" s="404" t="s">
        <v>5742</v>
      </c>
      <c r="M46" s="227"/>
      <c r="N46" s="227"/>
      <c r="O46" s="227"/>
      <c r="P46" s="227"/>
      <c r="Q46" s="227"/>
      <c r="R46" s="227"/>
      <c r="S46" s="227"/>
      <c r="T46" s="227"/>
    </row>
    <row r="47" spans="1:20" s="192" customFormat="1" ht="15" customHeight="1" thickBot="1">
      <c r="A47" s="405"/>
      <c r="B47" s="406"/>
      <c r="C47" s="407">
        <v>2</v>
      </c>
      <c r="D47" s="407" t="s">
        <v>367</v>
      </c>
      <c r="E47" s="401"/>
      <c r="F47" s="401"/>
      <c r="G47" s="401"/>
      <c r="H47" s="401"/>
      <c r="I47" s="408"/>
      <c r="J47" s="409"/>
      <c r="K47" s="410"/>
      <c r="M47" s="227"/>
      <c r="N47" s="227"/>
      <c r="O47" s="227"/>
      <c r="P47" s="227"/>
      <c r="Q47" s="227"/>
      <c r="R47" s="227"/>
      <c r="S47" s="227"/>
      <c r="T47" s="227"/>
    </row>
    <row r="48" spans="1:20" s="192" customFormat="1" ht="15" customHeight="1" thickTop="1" thickBot="1">
      <c r="A48" s="411"/>
      <c r="B48" s="412">
        <v>15</v>
      </c>
      <c r="C48" s="413" t="s">
        <v>375</v>
      </c>
      <c r="D48" s="413" t="s">
        <v>367</v>
      </c>
      <c r="E48" s="414"/>
      <c r="F48" s="414"/>
      <c r="G48" s="414"/>
      <c r="H48" s="414"/>
      <c r="I48" s="415"/>
      <c r="J48" s="416"/>
      <c r="K48" s="417"/>
      <c r="M48" s="227"/>
      <c r="N48" s="227"/>
      <c r="O48" s="227"/>
      <c r="P48" s="227"/>
      <c r="Q48" s="227"/>
      <c r="R48" s="227"/>
      <c r="S48" s="227"/>
      <c r="T48" s="227"/>
    </row>
    <row r="49" spans="1:20" s="192" customFormat="1" ht="15" customHeight="1" thickTop="1" thickBot="1">
      <c r="A49" s="398"/>
      <c r="B49" s="418"/>
      <c r="C49" s="419">
        <v>1</v>
      </c>
      <c r="D49" s="419" t="s">
        <v>369</v>
      </c>
      <c r="E49" s="419">
        <v>124</v>
      </c>
      <c r="F49" s="419" t="s">
        <v>370</v>
      </c>
      <c r="G49" s="420" t="s">
        <v>5734</v>
      </c>
      <c r="H49" s="419"/>
      <c r="I49" s="421" t="s">
        <v>416</v>
      </c>
      <c r="J49" s="422"/>
      <c r="K49" s="423" t="s">
        <v>5742</v>
      </c>
      <c r="M49" s="227"/>
      <c r="N49" s="227"/>
      <c r="O49" s="227"/>
      <c r="P49" s="227"/>
      <c r="Q49" s="227"/>
      <c r="R49" s="227"/>
      <c r="S49" s="227"/>
      <c r="T49" s="227"/>
    </row>
    <row r="50" spans="1:20" s="192" customFormat="1" ht="15" customHeight="1" thickBot="1">
      <c r="A50" s="405"/>
      <c r="B50" s="424"/>
      <c r="C50" s="425">
        <v>2</v>
      </c>
      <c r="D50" s="425" t="s">
        <v>367</v>
      </c>
      <c r="E50" s="420"/>
      <c r="F50" s="420"/>
      <c r="G50" s="420"/>
      <c r="H50" s="420"/>
      <c r="I50" s="426"/>
      <c r="J50" s="427"/>
      <c r="K50" s="428"/>
      <c r="M50" s="227"/>
      <c r="N50" s="227"/>
      <c r="O50" s="227"/>
      <c r="P50" s="227"/>
      <c r="Q50" s="227"/>
      <c r="R50" s="227"/>
      <c r="S50" s="227"/>
      <c r="T50" s="227"/>
    </row>
    <row r="51" spans="1:20" s="192" customFormat="1" ht="15" customHeight="1" thickTop="1" thickBot="1">
      <c r="A51" s="411"/>
      <c r="B51" s="392">
        <v>16</v>
      </c>
      <c r="C51" s="393" t="s">
        <v>375</v>
      </c>
      <c r="D51" s="393" t="s">
        <v>369</v>
      </c>
      <c r="E51" s="393">
        <v>15</v>
      </c>
      <c r="F51" s="393" t="s">
        <v>370</v>
      </c>
      <c r="G51" s="394" t="s">
        <v>412</v>
      </c>
      <c r="H51" s="393"/>
      <c r="I51" s="452" t="s">
        <v>387</v>
      </c>
      <c r="J51" s="453"/>
      <c r="K51" s="397" t="s">
        <v>5743</v>
      </c>
      <c r="M51" s="227"/>
      <c r="N51" s="227"/>
      <c r="O51" s="227"/>
      <c r="P51" s="227"/>
      <c r="Q51" s="227"/>
      <c r="R51" s="227"/>
      <c r="S51" s="227"/>
      <c r="T51" s="227"/>
    </row>
    <row r="52" spans="1:20" s="192" customFormat="1" ht="15" customHeight="1" thickTop="1" thickBot="1">
      <c r="A52" s="398"/>
      <c r="B52" s="399"/>
      <c r="C52" s="400">
        <v>1</v>
      </c>
      <c r="D52" s="400" t="s">
        <v>417</v>
      </c>
      <c r="E52" s="401"/>
      <c r="F52" s="401"/>
      <c r="G52" s="401"/>
      <c r="H52" s="401"/>
      <c r="I52" s="408"/>
      <c r="J52" s="454"/>
      <c r="K52" s="404"/>
      <c r="M52" s="227"/>
      <c r="N52" s="227"/>
      <c r="O52" s="227"/>
      <c r="P52" s="227"/>
      <c r="Q52" s="227"/>
      <c r="R52" s="227"/>
      <c r="S52" s="227"/>
      <c r="T52" s="227"/>
    </row>
    <row r="53" spans="1:20" s="192" customFormat="1" ht="15" customHeight="1" thickBot="1">
      <c r="A53" s="398"/>
      <c r="B53" s="399"/>
      <c r="C53" s="400">
        <v>2</v>
      </c>
      <c r="D53" s="400" t="s">
        <v>417</v>
      </c>
      <c r="E53" s="401"/>
      <c r="F53" s="401"/>
      <c r="G53" s="401"/>
      <c r="H53" s="401"/>
      <c r="I53" s="408"/>
      <c r="J53" s="454"/>
      <c r="K53" s="404"/>
      <c r="M53" s="227"/>
      <c r="N53" s="227"/>
      <c r="O53" s="227"/>
      <c r="P53" s="227"/>
      <c r="Q53" s="227"/>
      <c r="R53" s="227"/>
      <c r="S53" s="227"/>
      <c r="T53" s="227"/>
    </row>
    <row r="54" spans="1:20" s="192" customFormat="1" ht="15" customHeight="1" thickBot="1">
      <c r="A54" s="405"/>
      <c r="B54" s="406"/>
      <c r="C54" s="407" t="s">
        <v>399</v>
      </c>
      <c r="D54" s="407" t="s">
        <v>417</v>
      </c>
      <c r="E54" s="401"/>
      <c r="F54" s="401"/>
      <c r="G54" s="401"/>
      <c r="H54" s="401"/>
      <c r="I54" s="408"/>
      <c r="J54" s="409"/>
      <c r="K54" s="410"/>
      <c r="M54" s="227"/>
      <c r="N54" s="227"/>
      <c r="O54" s="227"/>
      <c r="P54" s="227"/>
      <c r="Q54" s="227"/>
      <c r="R54" s="227"/>
      <c r="S54" s="227"/>
      <c r="T54" s="227"/>
    </row>
    <row r="55" spans="1:20" s="192" customFormat="1" ht="15" customHeight="1" thickTop="1" thickBot="1">
      <c r="A55" s="463"/>
      <c r="B55" s="463"/>
      <c r="C55" s="227"/>
      <c r="D55" s="227"/>
      <c r="E55" s="227"/>
      <c r="F55" s="227"/>
      <c r="G55" s="464"/>
      <c r="H55" s="227"/>
      <c r="I55" s="227"/>
      <c r="J55" s="465"/>
      <c r="K55" s="466"/>
      <c r="M55" s="227"/>
      <c r="N55" s="227"/>
      <c r="O55" s="227"/>
      <c r="P55" s="227"/>
      <c r="Q55" s="227"/>
      <c r="R55" s="227"/>
      <c r="S55" s="227"/>
      <c r="T55" s="227"/>
    </row>
    <row r="56" spans="1:20" s="192" customFormat="1" ht="15" customHeight="1" thickBot="1">
      <c r="A56" s="467"/>
      <c r="B56" s="412" t="s">
        <v>418</v>
      </c>
      <c r="C56" s="413" t="s">
        <v>375</v>
      </c>
      <c r="D56" s="413" t="s">
        <v>367</v>
      </c>
      <c r="E56" s="414"/>
      <c r="F56" s="414"/>
      <c r="G56" s="414"/>
      <c r="H56" s="414"/>
      <c r="I56" s="415"/>
      <c r="J56" s="416"/>
      <c r="K56" s="417"/>
      <c r="M56" s="227"/>
      <c r="N56" s="227"/>
      <c r="O56" s="227"/>
      <c r="P56" s="227"/>
      <c r="Q56" s="227"/>
      <c r="R56" s="227"/>
      <c r="S56" s="227"/>
      <c r="T56" s="227"/>
    </row>
    <row r="57" spans="1:20" s="192" customFormat="1" ht="15" customHeight="1" thickTop="1" thickBot="1">
      <c r="A57" s="398"/>
      <c r="B57" s="418"/>
      <c r="C57" s="419">
        <v>1</v>
      </c>
      <c r="D57" s="419" t="s">
        <v>369</v>
      </c>
      <c r="E57" s="419">
        <v>118</v>
      </c>
      <c r="F57" s="419" t="s">
        <v>370</v>
      </c>
      <c r="G57" s="420" t="s">
        <v>5734</v>
      </c>
      <c r="H57" s="419"/>
      <c r="I57" s="421" t="s">
        <v>415</v>
      </c>
      <c r="J57" s="422"/>
      <c r="K57" s="423" t="s">
        <v>5744</v>
      </c>
      <c r="M57" s="227"/>
      <c r="N57" s="227"/>
      <c r="O57" s="227"/>
      <c r="P57" s="227"/>
      <c r="Q57" s="227"/>
      <c r="R57" s="227"/>
      <c r="S57" s="227"/>
      <c r="T57" s="227"/>
    </row>
    <row r="58" spans="1:20" s="192" customFormat="1" ht="15" customHeight="1" thickBot="1">
      <c r="A58" s="398"/>
      <c r="B58" s="418"/>
      <c r="C58" s="419">
        <v>2</v>
      </c>
      <c r="D58" s="419" t="s">
        <v>367</v>
      </c>
      <c r="E58" s="420"/>
      <c r="F58" s="420"/>
      <c r="G58" s="420"/>
      <c r="H58" s="420"/>
      <c r="I58" s="426"/>
      <c r="J58" s="456"/>
      <c r="K58" s="423"/>
      <c r="M58" s="227"/>
      <c r="N58" s="227"/>
      <c r="O58" s="227"/>
      <c r="P58" s="227"/>
      <c r="Q58" s="227"/>
      <c r="R58" s="227"/>
      <c r="S58" s="227"/>
      <c r="T58" s="227"/>
    </row>
    <row r="59" spans="1:20" s="192" customFormat="1" ht="15" customHeight="1" thickBot="1">
      <c r="A59" s="405"/>
      <c r="B59" s="424"/>
      <c r="C59" s="425" t="s">
        <v>399</v>
      </c>
      <c r="D59" s="420"/>
      <c r="E59" s="420"/>
      <c r="F59" s="420"/>
      <c r="G59" s="420"/>
      <c r="H59" s="420"/>
      <c r="I59" s="426"/>
      <c r="J59" s="427"/>
      <c r="K59" s="428"/>
      <c r="M59" s="227"/>
      <c r="N59" s="227"/>
      <c r="O59" s="227"/>
      <c r="P59" s="227"/>
      <c r="Q59" s="227"/>
      <c r="R59" s="227"/>
      <c r="S59" s="227"/>
      <c r="T59" s="227"/>
    </row>
    <row r="60" spans="1:20" s="192" customFormat="1" ht="15" customHeight="1" thickTop="1" thickBot="1">
      <c r="A60" s="411"/>
      <c r="B60" s="392">
        <v>18</v>
      </c>
      <c r="C60" s="393" t="s">
        <v>375</v>
      </c>
      <c r="D60" s="393" t="s">
        <v>367</v>
      </c>
      <c r="E60" s="394"/>
      <c r="F60" s="394"/>
      <c r="G60" s="394"/>
      <c r="H60" s="394"/>
      <c r="I60" s="395"/>
      <c r="J60" s="396"/>
      <c r="K60" s="397"/>
      <c r="M60" s="227"/>
      <c r="N60" s="227"/>
      <c r="O60" s="227"/>
      <c r="P60" s="227"/>
      <c r="Q60" s="227"/>
      <c r="R60" s="227"/>
      <c r="S60" s="227"/>
      <c r="T60" s="227"/>
    </row>
    <row r="61" spans="1:20" s="192" customFormat="1" ht="15" customHeight="1" thickTop="1" thickBot="1">
      <c r="A61" s="398"/>
      <c r="B61" s="399"/>
      <c r="C61" s="400">
        <v>1</v>
      </c>
      <c r="D61" s="400" t="s">
        <v>369</v>
      </c>
      <c r="E61" s="400">
        <v>110</v>
      </c>
      <c r="F61" s="400" t="s">
        <v>370</v>
      </c>
      <c r="G61" s="401" t="s">
        <v>412</v>
      </c>
      <c r="H61" s="400"/>
      <c r="I61" s="402" t="s">
        <v>382</v>
      </c>
      <c r="J61" s="403"/>
      <c r="K61" s="404" t="s">
        <v>5745</v>
      </c>
      <c r="M61" s="227"/>
      <c r="N61" s="227"/>
      <c r="O61" s="227"/>
      <c r="P61" s="227"/>
      <c r="Q61" s="227"/>
      <c r="R61" s="227"/>
      <c r="S61" s="227"/>
      <c r="T61" s="227"/>
    </row>
    <row r="62" spans="1:20" s="192" customFormat="1" ht="15" customHeight="1" thickBot="1">
      <c r="A62" s="398"/>
      <c r="B62" s="399"/>
      <c r="C62" s="400">
        <v>2</v>
      </c>
      <c r="D62" s="400" t="s">
        <v>367</v>
      </c>
      <c r="E62" s="401"/>
      <c r="F62" s="401"/>
      <c r="G62" s="401"/>
      <c r="H62" s="401"/>
      <c r="I62" s="408"/>
      <c r="J62" s="454"/>
      <c r="K62" s="404"/>
      <c r="M62" s="227"/>
      <c r="N62" s="227"/>
      <c r="O62" s="227"/>
      <c r="P62" s="227"/>
      <c r="Q62" s="227"/>
      <c r="R62" s="227"/>
      <c r="S62" s="227"/>
      <c r="T62" s="227"/>
    </row>
    <row r="63" spans="1:20" s="192" customFormat="1" ht="15" customHeight="1" thickBot="1">
      <c r="A63" s="405"/>
      <c r="B63" s="406"/>
      <c r="C63" s="407" t="s">
        <v>399</v>
      </c>
      <c r="D63" s="401"/>
      <c r="E63" s="401"/>
      <c r="F63" s="401"/>
      <c r="G63" s="401"/>
      <c r="H63" s="401"/>
      <c r="I63" s="408"/>
      <c r="J63" s="409"/>
      <c r="K63" s="410"/>
      <c r="M63" s="227"/>
      <c r="N63" s="227"/>
      <c r="O63" s="227"/>
      <c r="P63" s="227"/>
      <c r="Q63" s="227"/>
      <c r="R63" s="227"/>
      <c r="S63" s="227"/>
      <c r="T63" s="227"/>
    </row>
    <row r="64" spans="1:20" s="192" customFormat="1" ht="15" customHeight="1" thickTop="1" thickBot="1">
      <c r="A64" s="411"/>
      <c r="B64" s="412">
        <v>19</v>
      </c>
      <c r="C64" s="413" t="s">
        <v>375</v>
      </c>
      <c r="D64" s="413" t="s">
        <v>419</v>
      </c>
      <c r="E64" s="414"/>
      <c r="F64" s="414"/>
      <c r="G64" s="414"/>
      <c r="H64" s="414"/>
      <c r="I64" s="415"/>
      <c r="J64" s="416"/>
      <c r="K64" s="417"/>
      <c r="M64" s="227"/>
      <c r="N64" s="227"/>
      <c r="O64" s="227"/>
      <c r="P64" s="227"/>
      <c r="Q64" s="227"/>
      <c r="R64" s="227"/>
      <c r="S64" s="227"/>
      <c r="T64" s="227"/>
    </row>
    <row r="65" spans="1:20" s="192" customFormat="1" ht="15" customHeight="1" thickTop="1" thickBot="1">
      <c r="A65" s="405"/>
      <c r="B65" s="424"/>
      <c r="C65" s="425">
        <v>1</v>
      </c>
      <c r="D65" s="425" t="s">
        <v>419</v>
      </c>
      <c r="E65" s="420"/>
      <c r="F65" s="420"/>
      <c r="G65" s="420"/>
      <c r="H65" s="420"/>
      <c r="I65" s="426"/>
      <c r="J65" s="427"/>
      <c r="K65" s="428"/>
      <c r="M65" s="227"/>
      <c r="N65" s="227"/>
      <c r="O65" s="227"/>
      <c r="P65" s="227"/>
      <c r="Q65" s="227"/>
      <c r="R65" s="227"/>
      <c r="S65" s="227"/>
      <c r="T65" s="227"/>
    </row>
    <row r="66" spans="1:20" s="192" customFormat="1" ht="15" customHeight="1" thickTop="1" thickBot="1">
      <c r="A66" s="67"/>
      <c r="B66" s="468" t="s">
        <v>420</v>
      </c>
      <c r="C66" s="469">
        <v>1</v>
      </c>
      <c r="D66" s="470" t="s">
        <v>396</v>
      </c>
      <c r="E66" s="469" t="s">
        <v>421</v>
      </c>
      <c r="F66" s="470" t="s">
        <v>396</v>
      </c>
      <c r="G66" s="443" t="s">
        <v>5734</v>
      </c>
      <c r="H66" s="470"/>
      <c r="I66" s="471" t="s">
        <v>422</v>
      </c>
      <c r="J66" s="472"/>
      <c r="K66" s="473"/>
      <c r="M66" s="227"/>
      <c r="N66" s="227"/>
      <c r="O66" s="227"/>
      <c r="P66" s="227"/>
      <c r="Q66" s="227"/>
      <c r="R66" s="227"/>
      <c r="S66" s="227"/>
      <c r="T66" s="227"/>
    </row>
    <row r="67" spans="1:20" s="192" customFormat="1" ht="15" customHeight="1" thickTop="1" thickBot="1">
      <c r="A67" s="474"/>
      <c r="B67" s="412" t="s">
        <v>423</v>
      </c>
      <c r="C67" s="413" t="s">
        <v>375</v>
      </c>
      <c r="D67" s="475" t="s">
        <v>424</v>
      </c>
      <c r="E67" s="476"/>
      <c r="F67" s="476"/>
      <c r="G67" s="476"/>
      <c r="H67" s="476"/>
      <c r="I67" s="477"/>
      <c r="J67" s="478"/>
      <c r="K67" s="417"/>
      <c r="M67" s="227"/>
      <c r="N67" s="227"/>
      <c r="O67" s="227"/>
      <c r="P67" s="227"/>
      <c r="Q67" s="227"/>
      <c r="R67" s="227"/>
      <c r="S67" s="227"/>
      <c r="T67" s="227"/>
    </row>
    <row r="68" spans="1:20" s="192" customFormat="1" ht="15" customHeight="1" thickTop="1" thickBot="1">
      <c r="A68" s="405"/>
      <c r="B68" s="424"/>
      <c r="C68" s="425">
        <v>1</v>
      </c>
      <c r="D68" s="479" t="s">
        <v>396</v>
      </c>
      <c r="E68" s="425" t="s">
        <v>425</v>
      </c>
      <c r="F68" s="479" t="s">
        <v>396</v>
      </c>
      <c r="G68" s="480" t="s">
        <v>5734</v>
      </c>
      <c r="H68" s="479"/>
      <c r="I68" s="439" t="s">
        <v>426</v>
      </c>
      <c r="J68" s="451"/>
      <c r="K68" s="428"/>
      <c r="M68" s="227"/>
      <c r="N68" s="227"/>
      <c r="O68" s="227"/>
      <c r="P68" s="227"/>
      <c r="Q68" s="227"/>
      <c r="R68" s="227"/>
      <c r="S68" s="227"/>
      <c r="T68" s="227"/>
    </row>
    <row r="69" spans="1:20" s="192" customFormat="1" ht="15" customHeight="1" thickTop="1" thickBot="1">
      <c r="A69" s="411"/>
      <c r="B69" s="392">
        <v>22</v>
      </c>
      <c r="C69" s="393">
        <v>1</v>
      </c>
      <c r="D69" s="481" t="s">
        <v>396</v>
      </c>
      <c r="E69" s="393">
        <v>106</v>
      </c>
      <c r="F69" s="481" t="s">
        <v>396</v>
      </c>
      <c r="G69" s="443"/>
      <c r="H69" s="482"/>
      <c r="I69" s="395"/>
      <c r="J69" s="396"/>
      <c r="K69" s="397" t="s">
        <v>5746</v>
      </c>
      <c r="M69" s="227"/>
      <c r="N69" s="227"/>
      <c r="O69" s="227"/>
      <c r="P69" s="227"/>
      <c r="Q69" s="227"/>
      <c r="R69" s="227"/>
      <c r="S69" s="227"/>
      <c r="T69" s="227"/>
    </row>
    <row r="70" spans="1:20" s="192" customFormat="1" ht="15" customHeight="1" thickTop="1" thickBot="1">
      <c r="A70" s="405"/>
      <c r="B70" s="406"/>
      <c r="C70" s="407" t="s">
        <v>427</v>
      </c>
      <c r="D70" s="483" t="s">
        <v>424</v>
      </c>
      <c r="E70" s="447"/>
      <c r="F70" s="447"/>
      <c r="G70" s="447"/>
      <c r="H70" s="447"/>
      <c r="I70" s="448"/>
      <c r="J70" s="450"/>
      <c r="K70" s="410"/>
      <c r="M70" s="227"/>
      <c r="N70" s="227"/>
      <c r="O70" s="227"/>
      <c r="P70" s="227"/>
      <c r="Q70" s="227"/>
      <c r="R70" s="227"/>
      <c r="S70" s="227"/>
      <c r="T70" s="227"/>
    </row>
    <row r="71" spans="1:20" s="192" customFormat="1" ht="15" customHeight="1" thickTop="1" thickBot="1">
      <c r="A71" s="411"/>
      <c r="B71" s="412">
        <v>33</v>
      </c>
      <c r="C71" s="413" t="s">
        <v>375</v>
      </c>
      <c r="D71" s="484" t="s">
        <v>396</v>
      </c>
      <c r="E71" s="413" t="s">
        <v>428</v>
      </c>
      <c r="F71" s="484" t="s">
        <v>396</v>
      </c>
      <c r="G71" s="476" t="s">
        <v>5734</v>
      </c>
      <c r="H71" s="484"/>
      <c r="I71" s="434" t="s">
        <v>429</v>
      </c>
      <c r="J71" s="485"/>
      <c r="K71" s="417"/>
      <c r="M71" s="227"/>
      <c r="N71" s="227"/>
      <c r="O71" s="227"/>
      <c r="P71" s="227"/>
      <c r="Q71" s="227"/>
      <c r="R71" s="227"/>
      <c r="S71" s="227"/>
      <c r="T71" s="227"/>
    </row>
    <row r="72" spans="1:20" s="192" customFormat="1" ht="15" customHeight="1" thickTop="1" thickBot="1">
      <c r="A72" s="405"/>
      <c r="B72" s="424"/>
      <c r="C72" s="425">
        <v>1</v>
      </c>
      <c r="D72" s="486" t="s">
        <v>430</v>
      </c>
      <c r="E72" s="480"/>
      <c r="F72" s="480"/>
      <c r="G72" s="480"/>
      <c r="H72" s="480"/>
      <c r="I72" s="487"/>
      <c r="J72" s="488"/>
      <c r="K72" s="428"/>
      <c r="M72" s="227"/>
      <c r="N72" s="227"/>
      <c r="O72" s="227"/>
      <c r="P72" s="227"/>
      <c r="Q72" s="227"/>
      <c r="R72" s="227"/>
      <c r="S72" s="227"/>
      <c r="T72" s="227"/>
    </row>
    <row r="73" spans="1:20" s="192" customFormat="1" ht="15" customHeight="1" thickTop="1" thickBot="1">
      <c r="A73" s="411"/>
      <c r="B73" s="392">
        <v>61</v>
      </c>
      <c r="C73" s="393" t="s">
        <v>375</v>
      </c>
      <c r="D73" s="393" t="s">
        <v>369</v>
      </c>
      <c r="E73" s="393" t="s">
        <v>34</v>
      </c>
      <c r="F73" s="393" t="s">
        <v>370</v>
      </c>
      <c r="G73" s="394" t="s">
        <v>412</v>
      </c>
      <c r="H73" s="393"/>
      <c r="I73" s="452" t="s">
        <v>431</v>
      </c>
      <c r="J73" s="453"/>
      <c r="K73" s="397" t="s">
        <v>5736</v>
      </c>
      <c r="M73" s="227"/>
      <c r="N73" s="227"/>
      <c r="O73" s="227"/>
      <c r="P73" s="227"/>
      <c r="Q73" s="227"/>
      <c r="R73" s="227"/>
      <c r="S73" s="227"/>
      <c r="T73" s="227"/>
    </row>
    <row r="74" spans="1:20" s="192" customFormat="1" ht="15" customHeight="1" thickTop="1" thickBot="1">
      <c r="A74" s="398"/>
      <c r="B74" s="399"/>
      <c r="C74" s="400">
        <v>1</v>
      </c>
      <c r="D74" s="400" t="s">
        <v>369</v>
      </c>
      <c r="E74" s="400">
        <v>124</v>
      </c>
      <c r="F74" s="400" t="s">
        <v>370</v>
      </c>
      <c r="G74" s="401" t="s">
        <v>412</v>
      </c>
      <c r="H74" s="400"/>
      <c r="I74" s="402" t="s">
        <v>432</v>
      </c>
      <c r="J74" s="403" t="s">
        <v>5747</v>
      </c>
      <c r="K74" s="404" t="s">
        <v>5748</v>
      </c>
      <c r="M74" s="227"/>
      <c r="N74" s="227"/>
      <c r="O74" s="227"/>
      <c r="P74" s="227"/>
      <c r="Q74" s="227"/>
      <c r="R74" s="227"/>
      <c r="S74" s="227"/>
      <c r="T74" s="227"/>
    </row>
    <row r="75" spans="1:20" s="192" customFormat="1" ht="15" customHeight="1" thickBot="1">
      <c r="A75" s="398"/>
      <c r="B75" s="399"/>
      <c r="C75" s="400">
        <v>2</v>
      </c>
      <c r="D75" s="400" t="s">
        <v>369</v>
      </c>
      <c r="E75" s="400">
        <v>226</v>
      </c>
      <c r="F75" s="400" t="s">
        <v>370</v>
      </c>
      <c r="G75" s="401" t="s">
        <v>412</v>
      </c>
      <c r="H75" s="400"/>
      <c r="I75" s="402" t="s">
        <v>433</v>
      </c>
      <c r="J75" s="403" t="s">
        <v>5747</v>
      </c>
      <c r="K75" s="404" t="s">
        <v>5748</v>
      </c>
      <c r="M75" s="227"/>
      <c r="N75" s="227"/>
      <c r="O75" s="227"/>
      <c r="P75" s="227"/>
      <c r="Q75" s="227"/>
      <c r="R75" s="227"/>
      <c r="S75" s="227"/>
      <c r="T75" s="227"/>
    </row>
    <row r="76" spans="1:20" s="192" customFormat="1" ht="15" customHeight="1" thickBot="1">
      <c r="A76" s="405"/>
      <c r="B76" s="406"/>
      <c r="C76" s="407" t="s">
        <v>399</v>
      </c>
      <c r="D76" s="401"/>
      <c r="E76" s="401"/>
      <c r="F76" s="401"/>
      <c r="G76" s="401"/>
      <c r="H76" s="401"/>
      <c r="I76" s="408"/>
      <c r="J76" s="409"/>
      <c r="K76" s="410"/>
      <c r="M76" s="227"/>
      <c r="N76" s="227"/>
      <c r="O76" s="227"/>
      <c r="P76" s="227"/>
      <c r="Q76" s="227"/>
      <c r="R76" s="227"/>
      <c r="S76" s="227"/>
      <c r="T76" s="227"/>
    </row>
    <row r="77" spans="1:20" s="192" customFormat="1" ht="15" customHeight="1" thickTop="1" thickBot="1">
      <c r="A77" s="411"/>
      <c r="B77" s="412">
        <v>62</v>
      </c>
      <c r="C77" s="413" t="s">
        <v>375</v>
      </c>
      <c r="D77" s="413" t="s">
        <v>369</v>
      </c>
      <c r="E77" s="413" t="s">
        <v>434</v>
      </c>
      <c r="F77" s="413" t="s">
        <v>370</v>
      </c>
      <c r="G77" s="414" t="s">
        <v>412</v>
      </c>
      <c r="H77" s="413"/>
      <c r="I77" s="434" t="s">
        <v>435</v>
      </c>
      <c r="J77" s="485"/>
      <c r="K77" s="417" t="s">
        <v>5749</v>
      </c>
      <c r="M77" s="227"/>
      <c r="N77" s="227"/>
      <c r="O77" s="227"/>
      <c r="P77" s="227"/>
      <c r="Q77" s="227"/>
      <c r="R77" s="227"/>
      <c r="S77" s="227"/>
      <c r="T77" s="227"/>
    </row>
    <row r="78" spans="1:20" s="192" customFormat="1" ht="15" customHeight="1" thickTop="1" thickBot="1">
      <c r="A78" s="398"/>
      <c r="B78" s="418"/>
      <c r="C78" s="419">
        <v>1</v>
      </c>
      <c r="D78" s="419" t="s">
        <v>369</v>
      </c>
      <c r="E78" s="419">
        <v>125</v>
      </c>
      <c r="F78" s="419" t="s">
        <v>370</v>
      </c>
      <c r="G78" s="420" t="s">
        <v>5734</v>
      </c>
      <c r="H78" s="419"/>
      <c r="I78" s="421" t="s">
        <v>436</v>
      </c>
      <c r="J78" s="422"/>
      <c r="K78" s="423" t="s">
        <v>5750</v>
      </c>
      <c r="M78" s="227"/>
      <c r="N78" s="227"/>
      <c r="O78" s="227"/>
      <c r="P78" s="227"/>
      <c r="Q78" s="227"/>
      <c r="R78" s="227"/>
      <c r="S78" s="227"/>
      <c r="T78" s="227"/>
    </row>
    <row r="79" spans="1:20" s="192" customFormat="1" ht="15" customHeight="1" thickBot="1">
      <c r="A79" s="398"/>
      <c r="B79" s="418"/>
      <c r="C79" s="419">
        <v>2</v>
      </c>
      <c r="D79" s="419" t="s">
        <v>369</v>
      </c>
      <c r="E79" s="419">
        <v>225</v>
      </c>
      <c r="F79" s="419" t="s">
        <v>370</v>
      </c>
      <c r="G79" s="420" t="s">
        <v>5734</v>
      </c>
      <c r="H79" s="419"/>
      <c r="I79" s="421" t="s">
        <v>415</v>
      </c>
      <c r="J79" s="422"/>
      <c r="K79" s="423" t="s">
        <v>5751</v>
      </c>
      <c r="M79" s="227"/>
      <c r="N79" s="227"/>
      <c r="O79" s="227"/>
      <c r="P79" s="227"/>
      <c r="Q79" s="227"/>
      <c r="R79" s="227"/>
      <c r="S79" s="227"/>
      <c r="T79" s="227"/>
    </row>
    <row r="80" spans="1:20" s="192" customFormat="1" ht="15" customHeight="1" thickBot="1">
      <c r="A80" s="405"/>
      <c r="B80" s="424"/>
      <c r="C80" s="425" t="s">
        <v>437</v>
      </c>
      <c r="D80" s="420"/>
      <c r="E80" s="420"/>
      <c r="F80" s="420"/>
      <c r="G80" s="420"/>
      <c r="H80" s="420"/>
      <c r="I80" s="426"/>
      <c r="J80" s="427"/>
      <c r="K80" s="428"/>
      <c r="M80" s="227"/>
      <c r="N80" s="227"/>
      <c r="O80" s="227"/>
      <c r="P80" s="227"/>
      <c r="Q80" s="227"/>
      <c r="R80" s="227"/>
      <c r="S80" s="227"/>
      <c r="T80" s="227"/>
    </row>
    <row r="81" spans="1:21" s="192" customFormat="1" ht="15" customHeight="1" thickTop="1" thickBot="1">
      <c r="A81" s="411"/>
      <c r="B81" s="392">
        <v>70</v>
      </c>
      <c r="C81" s="393" t="s">
        <v>375</v>
      </c>
      <c r="D81" s="393" t="s">
        <v>369</v>
      </c>
      <c r="E81" s="393" t="s">
        <v>438</v>
      </c>
      <c r="F81" s="393" t="s">
        <v>370</v>
      </c>
      <c r="G81" s="394" t="s">
        <v>5734</v>
      </c>
      <c r="H81" s="393"/>
      <c r="I81" s="452" t="s">
        <v>415</v>
      </c>
      <c r="J81" s="453"/>
      <c r="K81" s="397"/>
      <c r="M81" s="227"/>
      <c r="N81" s="227"/>
      <c r="O81" s="227"/>
      <c r="P81" s="227"/>
      <c r="Q81" s="227"/>
      <c r="R81" s="227"/>
      <c r="S81" s="227"/>
      <c r="T81" s="227"/>
    </row>
    <row r="82" spans="1:21" s="192" customFormat="1" ht="15" customHeight="1" thickTop="1" thickBot="1">
      <c r="A82" s="398"/>
      <c r="B82" s="399"/>
      <c r="C82" s="400">
        <v>1</v>
      </c>
      <c r="D82" s="400" t="s">
        <v>369</v>
      </c>
      <c r="E82" s="400">
        <v>125</v>
      </c>
      <c r="F82" s="400" t="s">
        <v>370</v>
      </c>
      <c r="G82" s="401" t="s">
        <v>5734</v>
      </c>
      <c r="H82" s="400"/>
      <c r="I82" s="402" t="s">
        <v>439</v>
      </c>
      <c r="J82" s="403"/>
      <c r="K82" s="404"/>
      <c r="M82" s="227"/>
      <c r="N82" s="227"/>
      <c r="O82" s="227"/>
      <c r="P82" s="227"/>
      <c r="Q82" s="227"/>
      <c r="R82" s="227"/>
      <c r="S82" s="227"/>
      <c r="T82" s="227"/>
    </row>
    <row r="83" spans="1:21" s="192" customFormat="1" ht="15" customHeight="1" thickBot="1">
      <c r="A83" s="405"/>
      <c r="B83" s="406"/>
      <c r="C83" s="407">
        <v>2</v>
      </c>
      <c r="D83" s="407" t="s">
        <v>369</v>
      </c>
      <c r="E83" s="407" t="s">
        <v>440</v>
      </c>
      <c r="F83" s="407" t="s">
        <v>370</v>
      </c>
      <c r="G83" s="401" t="s">
        <v>5734</v>
      </c>
      <c r="H83" s="407"/>
      <c r="I83" s="431" t="s">
        <v>415</v>
      </c>
      <c r="J83" s="455"/>
      <c r="K83" s="410"/>
      <c r="M83" s="227"/>
      <c r="N83" s="227"/>
      <c r="O83" s="227"/>
      <c r="P83" s="227"/>
      <c r="Q83" s="227"/>
      <c r="R83" s="227"/>
      <c r="S83" s="227"/>
      <c r="T83" s="227"/>
    </row>
    <row r="84" spans="1:21" s="192" customFormat="1" ht="15" customHeight="1" thickTop="1" thickBot="1">
      <c r="A84" s="474"/>
      <c r="B84" s="489" t="s">
        <v>441</v>
      </c>
      <c r="C84" s="490" t="s">
        <v>375</v>
      </c>
      <c r="D84" s="490" t="s">
        <v>442</v>
      </c>
      <c r="E84" s="490" t="s">
        <v>443</v>
      </c>
      <c r="F84" s="490" t="s">
        <v>377</v>
      </c>
      <c r="G84" s="414" t="s">
        <v>412</v>
      </c>
      <c r="H84" s="490"/>
      <c r="I84" s="491" t="s">
        <v>382</v>
      </c>
      <c r="J84" s="492"/>
      <c r="K84" s="493" t="s">
        <v>5752</v>
      </c>
      <c r="M84" s="8"/>
      <c r="N84" s="8"/>
      <c r="O84" s="8"/>
      <c r="P84" s="8"/>
      <c r="Q84" s="8"/>
      <c r="R84"/>
      <c r="S84"/>
      <c r="T84"/>
      <c r="U84"/>
    </row>
    <row r="85" spans="1:21" s="192" customFormat="1" ht="15" customHeight="1" thickTop="1" thickBot="1">
      <c r="A85" s="398"/>
      <c r="B85" s="494"/>
      <c r="C85" s="68"/>
      <c r="D85" s="68"/>
      <c r="E85" s="495" t="s">
        <v>52</v>
      </c>
      <c r="F85" s="495" t="s">
        <v>444</v>
      </c>
      <c r="G85" s="420" t="s">
        <v>412</v>
      </c>
      <c r="H85" s="495"/>
      <c r="I85" s="496" t="s">
        <v>445</v>
      </c>
      <c r="J85" s="497"/>
      <c r="K85" s="498" t="s">
        <v>5753</v>
      </c>
      <c r="M85" s="8"/>
      <c r="N85" s="8"/>
      <c r="O85" s="8"/>
      <c r="P85" s="8"/>
      <c r="Q85" s="8"/>
      <c r="R85"/>
      <c r="S85"/>
      <c r="T85"/>
      <c r="U85"/>
    </row>
    <row r="86" spans="1:21" s="192" customFormat="1" ht="15" customHeight="1" thickBot="1">
      <c r="A86" s="398"/>
      <c r="B86" s="494"/>
      <c r="C86" s="495">
        <v>1</v>
      </c>
      <c r="D86" s="495" t="s">
        <v>369</v>
      </c>
      <c r="E86" s="495">
        <v>1232</v>
      </c>
      <c r="F86" s="495" t="s">
        <v>377</v>
      </c>
      <c r="G86" s="420" t="s">
        <v>5734</v>
      </c>
      <c r="H86" s="495"/>
      <c r="I86" s="496" t="s">
        <v>415</v>
      </c>
      <c r="J86" s="497"/>
      <c r="K86" s="498"/>
      <c r="M86" s="8"/>
      <c r="N86" s="8"/>
      <c r="O86" s="8"/>
      <c r="P86" s="8"/>
      <c r="Q86" s="8"/>
      <c r="R86"/>
      <c r="S86"/>
      <c r="T86"/>
      <c r="U86"/>
    </row>
    <row r="87" spans="1:21" s="192" customFormat="1" ht="15" customHeight="1" thickBot="1">
      <c r="A87" s="398"/>
      <c r="B87" s="494"/>
      <c r="C87" s="495">
        <v>2</v>
      </c>
      <c r="D87" s="495" t="s">
        <v>369</v>
      </c>
      <c r="E87" s="495" t="s">
        <v>446</v>
      </c>
      <c r="F87" s="495" t="s">
        <v>377</v>
      </c>
      <c r="G87" s="420" t="s">
        <v>412</v>
      </c>
      <c r="H87" s="495"/>
      <c r="I87" s="496" t="s">
        <v>382</v>
      </c>
      <c r="J87" s="497"/>
      <c r="K87" s="498" t="s">
        <v>5754</v>
      </c>
      <c r="M87" s="8"/>
      <c r="N87" s="8"/>
      <c r="O87" s="8"/>
      <c r="P87" s="8"/>
      <c r="Q87" s="8"/>
      <c r="R87"/>
      <c r="S87"/>
      <c r="T87"/>
      <c r="U87"/>
    </row>
    <row r="88" spans="1:21" s="192" customFormat="1" ht="15" customHeight="1" thickBot="1">
      <c r="A88" s="398"/>
      <c r="B88" s="494"/>
      <c r="C88" s="495">
        <v>3</v>
      </c>
      <c r="D88" s="495" t="s">
        <v>369</v>
      </c>
      <c r="E88" s="495">
        <v>342</v>
      </c>
      <c r="F88" s="495" t="s">
        <v>377</v>
      </c>
      <c r="G88" s="420" t="s">
        <v>5734</v>
      </c>
      <c r="H88" s="495"/>
      <c r="I88" s="496" t="s">
        <v>447</v>
      </c>
      <c r="J88" s="497"/>
      <c r="K88" s="498" t="s">
        <v>5742</v>
      </c>
      <c r="M88" s="8"/>
      <c r="N88" s="8"/>
      <c r="O88" s="8"/>
      <c r="P88" s="8"/>
      <c r="Q88" s="8"/>
      <c r="R88"/>
      <c r="S88"/>
      <c r="T88"/>
      <c r="U88"/>
    </row>
    <row r="89" spans="1:21" s="192" customFormat="1" ht="15" customHeight="1" thickBot="1">
      <c r="A89" s="398"/>
      <c r="B89" s="494"/>
      <c r="C89" s="495">
        <v>4</v>
      </c>
      <c r="D89" s="495" t="s">
        <v>369</v>
      </c>
      <c r="E89" s="495">
        <v>401</v>
      </c>
      <c r="F89" s="495" t="s">
        <v>370</v>
      </c>
      <c r="G89" s="420" t="s">
        <v>5734</v>
      </c>
      <c r="H89" s="495"/>
      <c r="I89" s="496" t="s">
        <v>448</v>
      </c>
      <c r="J89" s="497"/>
      <c r="K89" s="498" t="s">
        <v>5755</v>
      </c>
      <c r="M89" s="8"/>
      <c r="N89" s="8"/>
      <c r="O89" s="8"/>
      <c r="P89" s="8"/>
      <c r="Q89" s="8"/>
      <c r="R89"/>
      <c r="S89"/>
      <c r="T89"/>
      <c r="U89"/>
    </row>
    <row r="90" spans="1:21" s="192" customFormat="1" ht="15" customHeight="1" thickBot="1">
      <c r="A90" s="405"/>
      <c r="B90" s="68"/>
      <c r="C90" s="499" t="s">
        <v>437</v>
      </c>
      <c r="D90" s="420"/>
      <c r="E90" s="420"/>
      <c r="F90" s="420"/>
      <c r="G90" s="420"/>
      <c r="H90" s="420"/>
      <c r="I90" s="426"/>
      <c r="J90" s="427"/>
      <c r="K90" s="500"/>
      <c r="M90" s="8"/>
      <c r="N90" s="8"/>
      <c r="O90" s="8"/>
      <c r="P90" s="8"/>
      <c r="Q90" s="8"/>
      <c r="R90"/>
      <c r="S90"/>
      <c r="T90"/>
      <c r="U90"/>
    </row>
    <row r="91" spans="1:21" s="192" customFormat="1" ht="15" customHeight="1" thickTop="1" thickBot="1">
      <c r="A91" s="411"/>
      <c r="B91" s="392">
        <v>80</v>
      </c>
      <c r="C91" s="393" t="s">
        <v>375</v>
      </c>
      <c r="D91" s="393" t="s">
        <v>367</v>
      </c>
      <c r="E91" s="394"/>
      <c r="F91" s="394"/>
      <c r="G91" s="394"/>
      <c r="H91" s="394"/>
      <c r="I91" s="395"/>
      <c r="J91" s="396"/>
      <c r="K91" s="397"/>
      <c r="M91" s="8"/>
      <c r="N91" s="8"/>
      <c r="O91" s="8"/>
      <c r="P91" s="8"/>
      <c r="Q91" s="8"/>
      <c r="R91"/>
      <c r="S91"/>
      <c r="T91"/>
      <c r="U91"/>
    </row>
    <row r="92" spans="1:21" s="192" customFormat="1" ht="15" customHeight="1" thickTop="1" thickBot="1">
      <c r="A92" s="405"/>
      <c r="B92" s="406"/>
      <c r="C92" s="407">
        <v>1</v>
      </c>
      <c r="D92" s="407" t="s">
        <v>369</v>
      </c>
      <c r="E92" s="407">
        <v>102</v>
      </c>
      <c r="F92" s="407" t="s">
        <v>370</v>
      </c>
      <c r="G92" s="401" t="s">
        <v>5734</v>
      </c>
      <c r="H92" s="407"/>
      <c r="I92" s="431" t="s">
        <v>449</v>
      </c>
      <c r="J92" s="455"/>
      <c r="K92" s="410" t="s">
        <v>5756</v>
      </c>
      <c r="M92" s="8"/>
      <c r="N92" s="8"/>
      <c r="O92" s="8"/>
      <c r="P92" s="8"/>
      <c r="Q92" s="8"/>
      <c r="R92"/>
      <c r="S92"/>
      <c r="T92"/>
      <c r="U92"/>
    </row>
    <row r="93" spans="1:21" s="192" customFormat="1" ht="15" customHeight="1" thickTop="1" thickBot="1">
      <c r="A93" s="411"/>
      <c r="B93" s="412">
        <v>81</v>
      </c>
      <c r="C93" s="413">
        <v>1</v>
      </c>
      <c r="D93" s="484" t="s">
        <v>396</v>
      </c>
      <c r="E93" s="413" t="s">
        <v>450</v>
      </c>
      <c r="F93" s="484" t="s">
        <v>451</v>
      </c>
      <c r="G93" s="476" t="s">
        <v>5734</v>
      </c>
      <c r="H93" s="484"/>
      <c r="I93" s="434" t="s">
        <v>412</v>
      </c>
      <c r="J93" s="485"/>
      <c r="K93" s="417" t="s">
        <v>5757</v>
      </c>
      <c r="M93" s="8"/>
      <c r="N93" s="8"/>
      <c r="O93" s="8"/>
      <c r="P93" s="8"/>
      <c r="Q93" s="8"/>
      <c r="R93"/>
      <c r="S93"/>
      <c r="T93"/>
      <c r="U93"/>
    </row>
    <row r="94" spans="1:21" s="192" customFormat="1" ht="15" customHeight="1" thickTop="1" thickBot="1">
      <c r="A94" s="405"/>
      <c r="B94" s="424"/>
      <c r="C94" s="425" t="s">
        <v>399</v>
      </c>
      <c r="D94" s="480"/>
      <c r="E94" s="480"/>
      <c r="F94" s="480"/>
      <c r="G94" s="480"/>
      <c r="H94" s="480"/>
      <c r="I94" s="487"/>
      <c r="J94" s="488"/>
      <c r="K94" s="428"/>
      <c r="M94" s="8"/>
      <c r="N94" s="8"/>
      <c r="O94" s="8"/>
      <c r="P94" s="8"/>
      <c r="Q94" s="8"/>
      <c r="R94"/>
      <c r="S94"/>
      <c r="T94"/>
      <c r="U94"/>
    </row>
    <row r="95" spans="1:21" s="192" customFormat="1" ht="15" customHeight="1" thickTop="1" thickBot="1">
      <c r="A95" s="411"/>
      <c r="B95" s="392">
        <v>82</v>
      </c>
      <c r="C95" s="393" t="s">
        <v>375</v>
      </c>
      <c r="D95" s="442" t="s">
        <v>367</v>
      </c>
      <c r="E95" s="443"/>
      <c r="F95" s="443"/>
      <c r="G95" s="443"/>
      <c r="H95" s="443"/>
      <c r="I95" s="444"/>
      <c r="J95" s="445"/>
      <c r="K95" s="397"/>
      <c r="M95" s="8"/>
      <c r="N95" s="8"/>
      <c r="O95" s="8"/>
      <c r="P95" s="8"/>
      <c r="Q95" s="8"/>
      <c r="R95"/>
      <c r="S95"/>
      <c r="T95"/>
      <c r="U95"/>
    </row>
    <row r="96" spans="1:21" s="192" customFormat="1" ht="15" customHeight="1" thickTop="1" thickBot="1">
      <c r="A96" s="405"/>
      <c r="B96" s="406"/>
      <c r="C96" s="407">
        <v>1</v>
      </c>
      <c r="D96" s="501" t="s">
        <v>396</v>
      </c>
      <c r="E96" s="407">
        <v>102</v>
      </c>
      <c r="F96" s="407" t="s">
        <v>396</v>
      </c>
      <c r="G96" s="447" t="s">
        <v>412</v>
      </c>
      <c r="H96" s="407"/>
      <c r="I96" s="431" t="s">
        <v>382</v>
      </c>
      <c r="J96" s="455"/>
      <c r="K96" s="410"/>
      <c r="M96" s="8"/>
      <c r="N96" s="8"/>
      <c r="O96" s="8"/>
      <c r="P96" s="8"/>
      <c r="Q96" s="8"/>
      <c r="R96"/>
      <c r="S96"/>
      <c r="T96"/>
      <c r="U96"/>
    </row>
    <row r="97" spans="1:21" s="192" customFormat="1" ht="15" customHeight="1" thickTop="1" thickBot="1">
      <c r="A97" s="411"/>
      <c r="B97" s="412" t="s">
        <v>452</v>
      </c>
      <c r="C97" s="413">
        <v>1</v>
      </c>
      <c r="D97" s="484" t="s">
        <v>396</v>
      </c>
      <c r="E97" s="413">
        <v>107</v>
      </c>
      <c r="F97" s="413" t="s">
        <v>396</v>
      </c>
      <c r="G97" s="476"/>
      <c r="H97" s="413"/>
      <c r="I97" s="434" t="s">
        <v>453</v>
      </c>
      <c r="J97" s="485"/>
      <c r="K97" s="417" t="s">
        <v>679</v>
      </c>
      <c r="M97" s="8"/>
      <c r="N97" s="8"/>
      <c r="O97" s="8"/>
      <c r="P97" s="8"/>
      <c r="Q97" s="8"/>
      <c r="R97"/>
      <c r="S97"/>
      <c r="T97"/>
      <c r="U97"/>
    </row>
    <row r="98" spans="1:21" s="192" customFormat="1" ht="15" customHeight="1" thickTop="1" thickBot="1">
      <c r="A98" s="398"/>
      <c r="B98" s="418"/>
      <c r="C98" s="419">
        <v>2</v>
      </c>
      <c r="D98" s="480"/>
      <c r="E98" s="480"/>
      <c r="F98" s="480"/>
      <c r="G98" s="480"/>
      <c r="H98" s="480"/>
      <c r="I98" s="487"/>
      <c r="J98" s="502"/>
      <c r="K98" s="423"/>
      <c r="M98" s="8"/>
      <c r="N98" s="8"/>
      <c r="O98" s="8"/>
      <c r="P98" s="8"/>
      <c r="Q98" s="8"/>
      <c r="R98"/>
      <c r="S98"/>
      <c r="T98"/>
      <c r="U98"/>
    </row>
    <row r="99" spans="1:21" s="192" customFormat="1" ht="15" customHeight="1" thickBot="1">
      <c r="A99" s="398"/>
      <c r="B99" s="418"/>
      <c r="C99" s="503" t="s">
        <v>399</v>
      </c>
      <c r="D99" s="504"/>
      <c r="E99" s="504"/>
      <c r="F99" s="504"/>
      <c r="G99" s="504"/>
      <c r="H99" s="504"/>
      <c r="I99" s="505"/>
      <c r="J99" s="506"/>
      <c r="K99" s="507"/>
      <c r="M99" s="8"/>
      <c r="N99" s="8"/>
      <c r="O99" s="8"/>
      <c r="P99" s="8"/>
      <c r="Q99" s="8"/>
      <c r="R99"/>
      <c r="S99"/>
      <c r="T99"/>
      <c r="U99"/>
    </row>
    <row r="100" spans="1:21" s="192" customFormat="1" ht="15" customHeight="1" thickBot="1">
      <c r="A100" s="508"/>
      <c r="B100" s="509" t="s">
        <v>68</v>
      </c>
      <c r="C100" s="510"/>
      <c r="D100" s="510"/>
      <c r="E100" s="510"/>
      <c r="F100" s="510"/>
      <c r="G100" s="511"/>
      <c r="H100" s="510"/>
      <c r="I100" s="512"/>
      <c r="J100" s="513"/>
      <c r="K100" s="514"/>
      <c r="M100" s="8"/>
      <c r="N100" s="8"/>
      <c r="O100" s="8"/>
      <c r="P100" s="8"/>
      <c r="Q100" s="8"/>
      <c r="R100"/>
      <c r="S100"/>
      <c r="T100"/>
      <c r="U100"/>
    </row>
    <row r="101" spans="1:21" s="192" customFormat="1" ht="15" customHeight="1" thickBot="1">
      <c r="A101" s="515"/>
      <c r="B101" s="509" t="s">
        <v>70</v>
      </c>
      <c r="C101" s="510"/>
      <c r="D101" s="510"/>
      <c r="E101" s="510"/>
      <c r="F101" s="510"/>
      <c r="G101" s="511"/>
      <c r="H101" s="510"/>
      <c r="I101" s="512"/>
      <c r="J101" s="513"/>
      <c r="K101" s="514"/>
      <c r="M101" s="8"/>
      <c r="N101" s="8"/>
      <c r="O101" s="8"/>
      <c r="P101" s="8"/>
      <c r="Q101" s="8"/>
      <c r="R101"/>
      <c r="S101"/>
      <c r="T101"/>
      <c r="U101"/>
    </row>
    <row r="102" spans="1:21" s="192" customFormat="1" ht="15" customHeight="1">
      <c r="A102" s="463"/>
      <c r="B102" s="463"/>
      <c r="C102" s="227"/>
      <c r="D102" s="227"/>
      <c r="E102" s="227"/>
      <c r="F102" s="227"/>
      <c r="G102" s="227"/>
      <c r="H102" s="227"/>
      <c r="I102" s="227"/>
      <c r="J102" s="227"/>
      <c r="K102" s="516"/>
      <c r="M102" s="8"/>
      <c r="N102" s="8"/>
      <c r="O102" s="8"/>
      <c r="P102" s="8"/>
      <c r="Q102" s="8"/>
      <c r="R102"/>
      <c r="S102"/>
      <c r="T102"/>
      <c r="U102"/>
    </row>
    <row r="103" spans="1:21" s="192" customFormat="1" ht="15" customHeight="1">
      <c r="A103" s="516"/>
      <c r="B103" s="516"/>
      <c r="C103" s="516"/>
      <c r="D103" s="516"/>
      <c r="E103" s="516"/>
      <c r="F103" s="516"/>
      <c r="G103" s="516"/>
      <c r="H103" s="516"/>
      <c r="I103" s="516"/>
      <c r="J103" s="516"/>
      <c r="K103" s="516"/>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topLeftCell="A22" zoomScale="70" zoomScaleNormal="70" workbookViewId="0">
      <selection activeCell="A25" sqref="A25:XFD25"/>
    </sheetView>
  </sheetViews>
  <sheetFormatPr defaultColWidth="16" defaultRowHeight="97.5" customHeight="1"/>
  <cols>
    <col min="1" max="16" width="16" style="139"/>
    <col min="17" max="17" width="53.140625" style="139" bestFit="1" customWidth="1"/>
    <col min="18" max="18" width="66.140625" style="139" bestFit="1" customWidth="1"/>
    <col min="19" max="16384" width="16" style="139"/>
  </cols>
  <sheetData>
    <row r="1" spans="1:48" ht="97.5" customHeight="1">
      <c r="A1" s="925" t="s">
        <v>866</v>
      </c>
      <c r="B1" s="925"/>
      <c r="C1" s="925"/>
      <c r="D1" s="925"/>
      <c r="E1" s="925"/>
      <c r="F1" s="925"/>
      <c r="G1" s="925"/>
      <c r="H1" s="925"/>
      <c r="I1" s="925"/>
      <c r="J1" s="925"/>
      <c r="K1" s="925"/>
      <c r="L1" s="925"/>
      <c r="M1" s="925"/>
      <c r="N1" s="925"/>
      <c r="O1" s="925"/>
      <c r="P1" s="926"/>
      <c r="Q1" s="927" t="str">
        <f>HYPERLINK("#'PMIS_Data'!A1","Data")</f>
        <v>Data</v>
      </c>
      <c r="R1" s="925"/>
      <c r="S1" s="925"/>
      <c r="T1" s="925"/>
      <c r="U1" s="925"/>
      <c r="V1" s="925"/>
      <c r="W1" s="925"/>
      <c r="X1" s="925"/>
      <c r="Y1" s="928" t="s">
        <v>867</v>
      </c>
      <c r="Z1" s="928"/>
      <c r="AA1" s="928"/>
      <c r="AB1" s="928"/>
      <c r="AC1" s="928"/>
      <c r="AD1" s="928"/>
      <c r="AE1" s="928"/>
      <c r="AF1" s="928"/>
      <c r="AG1" s="928"/>
      <c r="AH1" s="928"/>
      <c r="AI1" s="928"/>
      <c r="AJ1" s="928"/>
      <c r="AK1" s="928"/>
      <c r="AL1" s="928"/>
      <c r="AM1" s="928"/>
      <c r="AN1" s="928"/>
      <c r="AO1" s="928"/>
      <c r="AP1" s="928"/>
      <c r="AQ1" s="928"/>
      <c r="AR1" s="928"/>
      <c r="AS1" s="928"/>
      <c r="AT1" s="928"/>
    </row>
    <row r="2" spans="1:48" s="348" customFormat="1" ht="97.5" customHeight="1">
      <c r="A2" s="345" t="s">
        <v>142</v>
      </c>
      <c r="B2" s="345" t="s">
        <v>173</v>
      </c>
      <c r="C2" s="345" t="s">
        <v>151</v>
      </c>
      <c r="D2" s="346" t="s">
        <v>549</v>
      </c>
      <c r="E2" s="346" t="s">
        <v>538</v>
      </c>
      <c r="F2" s="345" t="s">
        <v>154</v>
      </c>
      <c r="G2" s="345" t="s">
        <v>868</v>
      </c>
      <c r="H2" s="345" t="s">
        <v>161</v>
      </c>
      <c r="I2" s="345" t="s">
        <v>199</v>
      </c>
      <c r="J2" s="345" t="s">
        <v>163</v>
      </c>
      <c r="K2" s="345" t="s">
        <v>148</v>
      </c>
      <c r="L2" s="345" t="s">
        <v>153</v>
      </c>
      <c r="M2" s="345" t="s">
        <v>155</v>
      </c>
      <c r="N2" s="345" t="s">
        <v>146</v>
      </c>
      <c r="O2" s="345" t="s">
        <v>157</v>
      </c>
      <c r="P2" s="345" t="s">
        <v>556</v>
      </c>
      <c r="Q2" s="345" t="s">
        <v>869</v>
      </c>
      <c r="R2" s="345" t="s">
        <v>870</v>
      </c>
      <c r="S2" s="345" t="s">
        <v>871</v>
      </c>
      <c r="T2" s="345" t="s">
        <v>872</v>
      </c>
      <c r="U2" s="345" t="s">
        <v>873</v>
      </c>
      <c r="V2" s="345" t="s">
        <v>874</v>
      </c>
      <c r="W2" s="345" t="s">
        <v>875</v>
      </c>
      <c r="X2" s="345" t="s">
        <v>179</v>
      </c>
      <c r="Y2" s="345" t="s">
        <v>876</v>
      </c>
      <c r="Z2" s="349" t="s">
        <v>5636</v>
      </c>
      <c r="AA2" s="344" t="s">
        <v>5698</v>
      </c>
      <c r="AB2" s="349" t="s">
        <v>5641</v>
      </c>
      <c r="AC2" s="344" t="s">
        <v>5699</v>
      </c>
      <c r="AD2" s="344" t="s">
        <v>5700</v>
      </c>
      <c r="AE2" s="349" t="s">
        <v>5701</v>
      </c>
      <c r="AF2" s="344" t="s">
        <v>5702</v>
      </c>
      <c r="AG2" s="349" t="s">
        <v>5703</v>
      </c>
      <c r="AH2" s="344" t="s">
        <v>5704</v>
      </c>
      <c r="AI2" s="349" t="s">
        <v>5651</v>
      </c>
      <c r="AJ2" s="344" t="s">
        <v>5705</v>
      </c>
      <c r="AK2" s="349" t="s">
        <v>5714</v>
      </c>
      <c r="AL2" s="349" t="s">
        <v>5577</v>
      </c>
      <c r="AM2" s="344" t="s">
        <v>5707</v>
      </c>
      <c r="AN2" s="344" t="s">
        <v>5569</v>
      </c>
      <c r="AO2" s="349" t="s">
        <v>5708</v>
      </c>
      <c r="AP2" s="352" t="s">
        <v>5709</v>
      </c>
      <c r="AQ2" s="352" t="s">
        <v>5710</v>
      </c>
      <c r="AR2" s="352" t="s">
        <v>5711</v>
      </c>
      <c r="AS2" s="352" t="s">
        <v>5712</v>
      </c>
      <c r="AT2" s="352" t="s">
        <v>5713</v>
      </c>
      <c r="AU2" s="347"/>
      <c r="AV2" s="347"/>
    </row>
    <row r="3" spans="1:48" ht="97.5" customHeight="1">
      <c r="A3" s="106" t="str">
        <f>B01_Assessment!$B$2&amp;""</f>
        <v>01</v>
      </c>
      <c r="B3" s="106" t="str">
        <f>"B01_Assessment"</f>
        <v>B01_Assessment</v>
      </c>
      <c r="C3" s="106" t="str">
        <f>B01_Assessment!$F$2</f>
        <v>Yellow</v>
      </c>
      <c r="D3" s="142">
        <f>B01_Assessment!$H$2</f>
        <v>0.5</v>
      </c>
      <c r="E3" s="142">
        <f>IFERROR(B01_Assessment!$H$2,0)</f>
        <v>0.5</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0">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49" t="str">
        <f t="shared" ref="AA3:AA32" ca="1" si="7">IF(Z3&gt;=0.95,"Approve",IF(Z3&gt;=0.85,"Partial / Review","Withhold / Review"))</f>
        <v>Withhold / Review</v>
      </c>
      <c r="AB3" s="350">
        <f t="shared" ref="AB3:AB32" ca="1" si="8">IF($AQ3=0,0,IFERROR(AVERAGE(INDIRECT("'"&amp;$B3&amp;"'!E"&amp;$AQ3+2&amp;":E"&amp;$AQ3+9)),0))</f>
        <v>0</v>
      </c>
      <c r="AC3" s="249" t="str">
        <f t="shared" ref="AC3:AC32" ca="1" si="9">IF(AB3&gt;=0.9,"Ready",IF(AB3&gt;=0.7,"At Risk","Blocked"))</f>
        <v>Blocked</v>
      </c>
      <c r="AD3" s="249" t="str">
        <f ca="1">IF($AQ3=0,"Owner controls not mapped",IFERROR(IF(_xludf.TEXTJOIN("; ",TRUE,INDIRECT("'"&amp;$B3&amp;"'!F"&amp;$AQ3+2&amp;":F"&amp;$AQ3+9))="","No blocker documented",_xludf.TEXTJOIN("; ",TRUE,INDIRECT("'"&amp;$B3&amp;"'!F"&amp;$AQ3+2&amp;":F"&amp;$AQ3+9))),"No blocker documented"))</f>
        <v>No blocker documented</v>
      </c>
      <c r="AE3" s="350">
        <f t="shared" ref="AE3:AE32" ca="1" si="10">IF($AR3=0,0,IFERROR((COUNTIF(INDIRECT("'"&amp;$B3&amp;"'!F"&amp;$AR3+2&amp;":F"&amp;$AR3+6),"Pass")+0.5*COUNTIF(INDIRECT("'"&amp;$B3&amp;"'!F"&amp;$AR3+2&amp;":F"&amp;$AR3+6),"Pending"))/(COUNTA(INDIRECT("'"&amp;$B3&amp;"'!F"&amp;$AR3+2&amp;":F"&amp;$AR3+6))-COUNTIF(INDIRECT("'"&amp;$B3&amp;"'!F"&amp;$AR3+2&amp;":F"&amp;$AR3+6),"N/A")),0))</f>
        <v>0.5</v>
      </c>
      <c r="AF3" s="249" t="str">
        <f t="shared" ref="AF3:AF32" ca="1" si="11">IF(AE3=1,"Compliant",IF(AE3&gt;=0.8,"Partial / Verify","Deficiency / Review"))</f>
        <v>Deficiency / Review</v>
      </c>
      <c r="AG3" s="350">
        <f t="shared" ref="AG3:AG32" ca="1" si="12">IF($AS3=0,0,IFERROR(AVERAGE(INDIRECT("'"&amp;$B3&amp;"'!F"&amp;$AS3+2&amp;":F"&amp;$AS3+5)),0))</f>
        <v>0</v>
      </c>
      <c r="AH3" s="249" t="str">
        <f t="shared" ref="AH3:AH32" ca="1" si="13">IF(AG3&gt;=1,"On / Ahead",IF(AG3&gt;=0.8,"Behind / Monitor","Critical / Document"))</f>
        <v>Critical / Document</v>
      </c>
      <c r="AI3" s="350">
        <f t="shared" ref="AI3:AI32" ca="1" si="14">IF($AT3=0,0,IFERROR(AVERAGE(INDIRECT("'"&amp;$B3&amp;"'!E"&amp;$AT3+2&amp;":E"&amp;$AT3+7)),0))</f>
        <v>0</v>
      </c>
      <c r="AJ3" s="249" t="str">
        <f t="shared" ref="AJ3:AJ32" ca="1" si="15">IF(AI3=1,"Ready for Turnover",IF(AI3&gt;=0.8,"Ready w/ Punch","Not Ready"))</f>
        <v>Not Ready</v>
      </c>
      <c r="AK3" s="350">
        <f t="shared" ref="AK3:AK32" ca="1" si="16">AI3</f>
        <v>0</v>
      </c>
      <c r="AL3" s="351">
        <f t="shared" ref="AL3:AL32" ca="1" si="17">IF($AT3=0,0,IFERROR(COUNTIF(INDIRECT("'"&amp;$B3&amp;"'!D"&amp;$AT3+2&amp;":D"&amp;$AT3+7),"No"),0))</f>
        <v>6</v>
      </c>
      <c r="AM3" s="249" t="str">
        <f t="shared" ref="AM3:AM32" ca="1" si="18">IF(AB3&lt;0.7,"Resolve OIT Blocker",IF(AI3&lt;0.8,"Close Acceptance Gates",IF(Z3&lt;0.85,"Review Payment",IF(AE3&lt;0.8,"Resolve Material QA",IF(AG3&lt;0.8,"Document Productivity","Monitor")))))</f>
        <v>Resolve OIT Blocker</v>
      </c>
      <c r="AN3" s="249" t="str">
        <f t="shared" ref="AN3:AN32" ca="1" si="19">IF(OR(AB3&lt;0.7,AI3&lt;0.8,Z3&lt;0.85,AE3&lt;0.8,AG3&lt;0.8),"🔴 ATTENTION",IF(OR(AB3&lt;0.9,AI3&lt;1,Z3&lt;0.95,AE3&lt;1,AG3&lt;1),"🟡 WATCH","🟢 READY"))</f>
        <v>🔴 ATTENTION</v>
      </c>
      <c r="AO3" s="350">
        <f ca="1">IFERROR(AVERAGE(Z3,AB3,AE3,AG3,AI3),0)</f>
        <v>0.1</v>
      </c>
      <c r="AP3" s="353">
        <f t="shared" ref="AP3:AP32" ca="1" si="20">IFERROR(MATCH("*PAYMENT VERIFICATION*",INDIRECT("'"&amp;$B3&amp;"'!A:A"),0),0)</f>
        <v>96</v>
      </c>
      <c r="AQ3" s="354">
        <f t="shared" ref="AQ3:AQ32" ca="1" si="21">IFERROR(MATCH("*OIT ACTIVATION*",INDIRECT("'"&amp;$B3&amp;"'!A:A"),0),0)</f>
        <v>105</v>
      </c>
      <c r="AR3" s="351">
        <f t="shared" ref="AR3:AR32" ca="1" si="22">IFERROR(MATCH("*MATERIAL VERIFICATION*",INDIRECT("'"&amp;$B3&amp;"'!A:A"),0),IFERROR(MATCH("*SUBMITTAL*",INDIRECT("'"&amp;$B3&amp;"'!A:A"),0),0))</f>
        <v>117</v>
      </c>
      <c r="AS3" s="353">
        <f t="shared" ref="AS3:AS32" ca="1" si="23">IFERROR(MATCH("*PRODUCTIVITY*",INDIRECT("'"&amp;$B3&amp;"'!A:A"),0),0)</f>
        <v>126</v>
      </c>
      <c r="AT3" s="353">
        <f t="shared" ref="AT3:AT32" ca="1" si="24">IFERROR(MATCH("*OWNER ACCEPTANCE*",INDIRECT("'"&amp;$B3&amp;"'!A:A"),0),IFERROR(MATCH("*ACCEPTANCE READINESS*",INDIRECT("'"&amp;$B3&amp;"'!A:A"),0),0))</f>
        <v>134</v>
      </c>
      <c r="AU3" s="192"/>
      <c r="AV3" s="249"/>
    </row>
    <row r="4" spans="1:48" ht="97.5" customHeight="1">
      <c r="A4" s="106" t="str">
        <f>B02_Assessment!$B$2&amp;""</f>
        <v>02</v>
      </c>
      <c r="B4" s="106" t="str">
        <f>"B02_Assessment"</f>
        <v>B02_Assessment</v>
      </c>
      <c r="C4" s="106" t="str">
        <f>B02_Assessment!$F$2</f>
        <v>Yellow</v>
      </c>
      <c r="D4" s="142">
        <f>B02_Assessment!$H$2</f>
        <v>0.5</v>
      </c>
      <c r="E4" s="142">
        <f>IFERROR(B02_Assessment!$H$2,0)</f>
        <v>0.5</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0">
        <f t="shared" ca="1" si="6"/>
        <v>0</v>
      </c>
      <c r="AA4" s="249" t="str">
        <f t="shared" ca="1" si="7"/>
        <v>Withhold / Review</v>
      </c>
      <c r="AB4" s="350">
        <f t="shared" ca="1" si="8"/>
        <v>0</v>
      </c>
      <c r="AC4" s="249" t="str">
        <f t="shared" ca="1" si="9"/>
        <v>Blocked</v>
      </c>
      <c r="AD4" s="249" t="str">
        <f ca="1">IF($AQ4=0,"Owner controls not mapped",IFERROR(IF(_xludf.TEXTJOIN("; ",TRUE,INDIRECT("'"&amp;$B4&amp;"'!F"&amp;$AQ4+2&amp;":F"&amp;$AQ4+9))="","No blocker documented",_xludf.TEXTJOIN("; ",TRUE,INDIRECT("'"&amp;$B4&amp;"'!F"&amp;$AQ4+2&amp;":F"&amp;$AQ4+9))),"No blocker documented"))</f>
        <v>No blocker documented</v>
      </c>
      <c r="AE4" s="350">
        <f t="shared" ca="1" si="10"/>
        <v>0.5</v>
      </c>
      <c r="AF4" s="249" t="str">
        <f t="shared" ca="1" si="11"/>
        <v>Deficiency / Review</v>
      </c>
      <c r="AG4" s="350">
        <f t="shared" ca="1" si="12"/>
        <v>0</v>
      </c>
      <c r="AH4" s="249" t="str">
        <f t="shared" ca="1" si="13"/>
        <v>Critical / Document</v>
      </c>
      <c r="AI4" s="350">
        <f t="shared" ca="1" si="14"/>
        <v>0</v>
      </c>
      <c r="AJ4" s="249" t="str">
        <f t="shared" ca="1" si="15"/>
        <v>Not Ready</v>
      </c>
      <c r="AK4" s="350">
        <f t="shared" ca="1" si="16"/>
        <v>0</v>
      </c>
      <c r="AL4" s="351">
        <f t="shared" ca="1" si="17"/>
        <v>6</v>
      </c>
      <c r="AM4" s="249" t="str">
        <f t="shared" ca="1" si="18"/>
        <v>Resolve OIT Blocker</v>
      </c>
      <c r="AN4" s="249" t="str">
        <f t="shared" ca="1" si="19"/>
        <v>🔴 ATTENTION</v>
      </c>
      <c r="AO4" s="350">
        <f t="shared" ref="AO4:AO32" ca="1" si="25">IFERROR(AVERAGE(Z4,AB4,AE4,AG4,AI4),0)</f>
        <v>0.1</v>
      </c>
      <c r="AP4" s="353">
        <f t="shared" ca="1" si="20"/>
        <v>108</v>
      </c>
      <c r="AQ4" s="354">
        <f t="shared" ca="1" si="21"/>
        <v>117</v>
      </c>
      <c r="AR4" s="351">
        <f t="shared" ca="1" si="22"/>
        <v>129</v>
      </c>
      <c r="AS4" s="353">
        <f t="shared" ca="1" si="23"/>
        <v>138</v>
      </c>
      <c r="AT4" s="353">
        <f t="shared" ca="1" si="24"/>
        <v>146</v>
      </c>
      <c r="AU4" s="192"/>
      <c r="AV4" s="249"/>
    </row>
    <row r="5" spans="1:48" ht="97.5" customHeight="1">
      <c r="A5" s="106" t="str">
        <f>B03_Assessment!$B$2&amp;""</f>
        <v>03</v>
      </c>
      <c r="B5" s="106" t="str">
        <f>"B03_Assessment"</f>
        <v>B03_Assessment</v>
      </c>
      <c r="C5" s="106" t="str">
        <f>B03_Assessment!$F$2</f>
        <v>Yellow</v>
      </c>
      <c r="D5" s="142">
        <f>B03_Assessment!$H$2</f>
        <v>0.5</v>
      </c>
      <c r="E5" s="142">
        <f>IFERROR(B03_Assessment!$H$2,0)</f>
        <v>0.5</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0">
        <f t="shared" ca="1" si="6"/>
        <v>0</v>
      </c>
      <c r="AA5" s="249" t="str">
        <f t="shared" ca="1" si="7"/>
        <v>Withhold / Review</v>
      </c>
      <c r="AB5" s="350">
        <f t="shared" ca="1" si="8"/>
        <v>0</v>
      </c>
      <c r="AC5" s="249" t="str">
        <f t="shared" ca="1" si="9"/>
        <v>Blocked</v>
      </c>
      <c r="AD5" s="249" t="str">
        <f ca="1">IF($AQ5=0,"Owner controls not mapped",IFERROR(IF(_xludf.TEXTJOIN("; ",TRUE,INDIRECT("'"&amp;$B5&amp;"'!F"&amp;$AQ5+2&amp;":F"&amp;$AQ5+9))="","No blocker documented",_xludf.TEXTJOIN("; ",TRUE,INDIRECT("'"&amp;$B5&amp;"'!F"&amp;$AQ5+2&amp;":F"&amp;$AQ5+9))),"No blocker documented"))</f>
        <v>No blocker documented</v>
      </c>
      <c r="AE5" s="350">
        <f t="shared" ca="1" si="10"/>
        <v>0.5</v>
      </c>
      <c r="AF5" s="249" t="str">
        <f t="shared" ca="1" si="11"/>
        <v>Deficiency / Review</v>
      </c>
      <c r="AG5" s="350">
        <f t="shared" ca="1" si="12"/>
        <v>0</v>
      </c>
      <c r="AH5" s="249" t="str">
        <f t="shared" ca="1" si="13"/>
        <v>Critical / Document</v>
      </c>
      <c r="AI5" s="350">
        <f t="shared" ca="1" si="14"/>
        <v>0</v>
      </c>
      <c r="AJ5" s="249" t="str">
        <f t="shared" ca="1" si="15"/>
        <v>Not Ready</v>
      </c>
      <c r="AK5" s="350">
        <f t="shared" ca="1" si="16"/>
        <v>0</v>
      </c>
      <c r="AL5" s="351">
        <f t="shared" ca="1" si="17"/>
        <v>6</v>
      </c>
      <c r="AM5" s="249" t="str">
        <f t="shared" ca="1" si="18"/>
        <v>Resolve OIT Blocker</v>
      </c>
      <c r="AN5" s="249" t="str">
        <f t="shared" ca="1" si="19"/>
        <v>🔴 ATTENTION</v>
      </c>
      <c r="AO5" s="350">
        <f t="shared" ca="1" si="25"/>
        <v>0.1</v>
      </c>
      <c r="AP5" s="353">
        <f t="shared" ca="1" si="20"/>
        <v>107</v>
      </c>
      <c r="AQ5" s="354">
        <f t="shared" ca="1" si="21"/>
        <v>116</v>
      </c>
      <c r="AR5" s="351">
        <f t="shared" ca="1" si="22"/>
        <v>128</v>
      </c>
      <c r="AS5" s="353">
        <f t="shared" ca="1" si="23"/>
        <v>137</v>
      </c>
      <c r="AT5" s="353">
        <f t="shared" ca="1" si="24"/>
        <v>145</v>
      </c>
      <c r="AU5" s="192"/>
      <c r="AV5" s="249"/>
    </row>
    <row r="6" spans="1:48" ht="97.5" customHeight="1">
      <c r="A6" s="106" t="str">
        <f>B04_Assessment!$B$2&amp;""</f>
        <v>04</v>
      </c>
      <c r="B6" s="106" t="str">
        <f>"B04_Assessment"</f>
        <v>B04_Assessment</v>
      </c>
      <c r="C6" s="106" t="str">
        <f>B04_Assessment!$F$2</f>
        <v>Yellow</v>
      </c>
      <c r="D6" s="142">
        <f>B04_Assessment!$H$2</f>
        <v>0.5</v>
      </c>
      <c r="E6" s="142">
        <f>IFERROR(B04_Assessment!$H$2,0)</f>
        <v>0.5</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0">
        <f t="shared" ca="1" si="6"/>
        <v>0</v>
      </c>
      <c r="AA6" s="249" t="str">
        <f t="shared" ca="1" si="7"/>
        <v>Withhold / Review</v>
      </c>
      <c r="AB6" s="350">
        <f t="shared" ca="1" si="8"/>
        <v>0</v>
      </c>
      <c r="AC6" s="249" t="str">
        <f t="shared" ca="1" si="9"/>
        <v>Blocked</v>
      </c>
      <c r="AD6" s="249" t="str">
        <f ca="1">IF($AQ6=0,"Owner controls not mapped",IFERROR(IF(_xludf.TEXTJOIN("; ",TRUE,INDIRECT("'"&amp;$B6&amp;"'!F"&amp;$AQ6+2&amp;":F"&amp;$AQ6+9))="","No blocker documented",_xludf.TEXTJOIN("; ",TRUE,INDIRECT("'"&amp;$B6&amp;"'!F"&amp;$AQ6+2&amp;":F"&amp;$AQ6+9))),"No blocker documented"))</f>
        <v>No blocker documented</v>
      </c>
      <c r="AE6" s="350">
        <f t="shared" ca="1" si="10"/>
        <v>0.5</v>
      </c>
      <c r="AF6" s="249" t="str">
        <f t="shared" ca="1" si="11"/>
        <v>Deficiency / Review</v>
      </c>
      <c r="AG6" s="350">
        <f t="shared" ca="1" si="12"/>
        <v>0</v>
      </c>
      <c r="AH6" s="249" t="str">
        <f t="shared" ca="1" si="13"/>
        <v>Critical / Document</v>
      </c>
      <c r="AI6" s="350">
        <f t="shared" ca="1" si="14"/>
        <v>0</v>
      </c>
      <c r="AJ6" s="249" t="str">
        <f t="shared" ca="1" si="15"/>
        <v>Not Ready</v>
      </c>
      <c r="AK6" s="350">
        <f t="shared" ca="1" si="16"/>
        <v>0</v>
      </c>
      <c r="AL6" s="351">
        <f t="shared" ca="1" si="17"/>
        <v>6</v>
      </c>
      <c r="AM6" s="249" t="str">
        <f t="shared" ca="1" si="18"/>
        <v>Resolve OIT Blocker</v>
      </c>
      <c r="AN6" s="249" t="str">
        <f t="shared" ca="1" si="19"/>
        <v>🔴 ATTENTION</v>
      </c>
      <c r="AO6" s="350">
        <f t="shared" ca="1" si="25"/>
        <v>0.1</v>
      </c>
      <c r="AP6" s="353">
        <f t="shared" ca="1" si="20"/>
        <v>98</v>
      </c>
      <c r="AQ6" s="354">
        <f t="shared" ca="1" si="21"/>
        <v>107</v>
      </c>
      <c r="AR6" s="351">
        <f t="shared" ca="1" si="22"/>
        <v>119</v>
      </c>
      <c r="AS6" s="353">
        <f t="shared" ca="1" si="23"/>
        <v>128</v>
      </c>
      <c r="AT6" s="353">
        <f t="shared" ca="1" si="24"/>
        <v>136</v>
      </c>
      <c r="AU6" s="192"/>
      <c r="AV6" s="249"/>
    </row>
    <row r="7" spans="1:48" ht="97.5" customHeight="1">
      <c r="A7" s="106" t="str">
        <f>B05_Assessment!$B$2&amp;""</f>
        <v>05</v>
      </c>
      <c r="B7" s="106" t="str">
        <f>"B05_Assessment"</f>
        <v>B05_Assessment</v>
      </c>
      <c r="C7" s="106" t="str">
        <f>B05_Assessment!$F$2</f>
        <v>Yellow</v>
      </c>
      <c r="D7" s="142">
        <f>B05_Assessment!$H$2</f>
        <v>0.5</v>
      </c>
      <c r="E7" s="142">
        <f>IFERROR(B05_Assessment!$H$2,0)</f>
        <v>0.5</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0">
        <f t="shared" ca="1" si="6"/>
        <v>0</v>
      </c>
      <c r="AA7" s="249" t="str">
        <f t="shared" ca="1" si="7"/>
        <v>Withhold / Review</v>
      </c>
      <c r="AB7" s="350">
        <f t="shared" ca="1" si="8"/>
        <v>0</v>
      </c>
      <c r="AC7" s="249" t="str">
        <f t="shared" ca="1" si="9"/>
        <v>Blocked</v>
      </c>
      <c r="AD7" s="249" t="str">
        <f ca="1">IF($AQ7=0,"Owner controls not mapped",IFERROR(IF(_xludf.TEXTJOIN("; ",TRUE,INDIRECT("'"&amp;$B7&amp;"'!F"&amp;$AQ7+2&amp;":F"&amp;$AQ7+9))="","No blocker documented",_xludf.TEXTJOIN("; ",TRUE,INDIRECT("'"&amp;$B7&amp;"'!F"&amp;$AQ7+2&amp;":F"&amp;$AQ7+9))),"No blocker documented"))</f>
        <v>No blocker documented</v>
      </c>
      <c r="AE7" s="350">
        <f t="shared" ca="1" si="10"/>
        <v>0.5</v>
      </c>
      <c r="AF7" s="249" t="str">
        <f t="shared" ca="1" si="11"/>
        <v>Deficiency / Review</v>
      </c>
      <c r="AG7" s="350">
        <f t="shared" ca="1" si="12"/>
        <v>0</v>
      </c>
      <c r="AH7" s="249" t="str">
        <f t="shared" ca="1" si="13"/>
        <v>Critical / Document</v>
      </c>
      <c r="AI7" s="350">
        <f t="shared" ca="1" si="14"/>
        <v>0</v>
      </c>
      <c r="AJ7" s="249" t="str">
        <f t="shared" ca="1" si="15"/>
        <v>Not Ready</v>
      </c>
      <c r="AK7" s="350">
        <f t="shared" ca="1" si="16"/>
        <v>0</v>
      </c>
      <c r="AL7" s="351">
        <f t="shared" ca="1" si="17"/>
        <v>6</v>
      </c>
      <c r="AM7" s="249" t="str">
        <f t="shared" ca="1" si="18"/>
        <v>Resolve OIT Blocker</v>
      </c>
      <c r="AN7" s="249" t="str">
        <f t="shared" ca="1" si="19"/>
        <v>🔴 ATTENTION</v>
      </c>
      <c r="AO7" s="350">
        <f t="shared" ca="1" si="25"/>
        <v>0.1</v>
      </c>
      <c r="AP7" s="353">
        <f t="shared" ca="1" si="20"/>
        <v>84</v>
      </c>
      <c r="AQ7" s="354">
        <f t="shared" ca="1" si="21"/>
        <v>93</v>
      </c>
      <c r="AR7" s="351">
        <f t="shared" ca="1" si="22"/>
        <v>105</v>
      </c>
      <c r="AS7" s="353">
        <f t="shared" ca="1" si="23"/>
        <v>114</v>
      </c>
      <c r="AT7" s="353">
        <f t="shared" ca="1" si="24"/>
        <v>122</v>
      </c>
      <c r="AU7" s="192"/>
      <c r="AV7" s="249"/>
    </row>
    <row r="8" spans="1:48" ht="97.5" customHeight="1">
      <c r="A8" s="106" t="str">
        <f>B06_Assessment!$B$2&amp;""</f>
        <v>06</v>
      </c>
      <c r="B8" s="106" t="str">
        <f>"B06_Assessment"</f>
        <v>B06_Assessment</v>
      </c>
      <c r="C8" s="106" t="str">
        <f>B06_Assessment!$F$2</f>
        <v>Yellow</v>
      </c>
      <c r="D8" s="142">
        <f>B06_Assessment!$H$2</f>
        <v>0.5</v>
      </c>
      <c r="E8" s="142">
        <f>IFERROR(B06_Assessment!$H$2,0)</f>
        <v>0.5</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0">
        <f t="shared" ca="1" si="6"/>
        <v>0</v>
      </c>
      <c r="AA8" s="249" t="str">
        <f t="shared" ca="1" si="7"/>
        <v>Withhold / Review</v>
      </c>
      <c r="AB8" s="350">
        <f t="shared" ca="1" si="8"/>
        <v>0</v>
      </c>
      <c r="AC8" s="249" t="str">
        <f t="shared" ca="1" si="9"/>
        <v>Blocked</v>
      </c>
      <c r="AD8" s="249" t="str">
        <f ca="1">IF($AQ8=0,"Owner controls not mapped",IFERROR(IF(_xludf.TEXTJOIN("; ",TRUE,INDIRECT("'"&amp;$B8&amp;"'!F"&amp;$AQ8+2&amp;":F"&amp;$AQ8+9))="","No blocker documented",_xludf.TEXTJOIN("; ",TRUE,INDIRECT("'"&amp;$B8&amp;"'!F"&amp;$AQ8+2&amp;":F"&amp;$AQ8+9))),"No blocker documented"))</f>
        <v>No blocker documented</v>
      </c>
      <c r="AE8" s="350">
        <f t="shared" ca="1" si="10"/>
        <v>0.5</v>
      </c>
      <c r="AF8" s="249" t="str">
        <f t="shared" ca="1" si="11"/>
        <v>Deficiency / Review</v>
      </c>
      <c r="AG8" s="350">
        <f t="shared" ca="1" si="12"/>
        <v>0</v>
      </c>
      <c r="AH8" s="249" t="str">
        <f t="shared" ca="1" si="13"/>
        <v>Critical / Document</v>
      </c>
      <c r="AI8" s="350">
        <f t="shared" ca="1" si="14"/>
        <v>0</v>
      </c>
      <c r="AJ8" s="249" t="str">
        <f t="shared" ca="1" si="15"/>
        <v>Not Ready</v>
      </c>
      <c r="AK8" s="350">
        <f t="shared" ca="1" si="16"/>
        <v>0</v>
      </c>
      <c r="AL8" s="351">
        <f t="shared" ca="1" si="17"/>
        <v>6</v>
      </c>
      <c r="AM8" s="249" t="str">
        <f t="shared" ca="1" si="18"/>
        <v>Resolve OIT Blocker</v>
      </c>
      <c r="AN8" s="249" t="str">
        <f t="shared" ca="1" si="19"/>
        <v>🔴 ATTENTION</v>
      </c>
      <c r="AO8" s="350">
        <f t="shared" ca="1" si="25"/>
        <v>0.1</v>
      </c>
      <c r="AP8" s="353">
        <f t="shared" ca="1" si="20"/>
        <v>98</v>
      </c>
      <c r="AQ8" s="354">
        <f t="shared" ca="1" si="21"/>
        <v>107</v>
      </c>
      <c r="AR8" s="351">
        <f t="shared" ca="1" si="22"/>
        <v>119</v>
      </c>
      <c r="AS8" s="353">
        <f t="shared" ca="1" si="23"/>
        <v>128</v>
      </c>
      <c r="AT8" s="353">
        <f t="shared" ca="1" si="24"/>
        <v>136</v>
      </c>
      <c r="AU8" s="192"/>
      <c r="AV8" s="249"/>
    </row>
    <row r="9" spans="1:48" ht="97.5" customHeight="1">
      <c r="A9" s="106" t="str">
        <f>B07_Assessment!$B$2&amp;""</f>
        <v>07</v>
      </c>
      <c r="B9" s="106" t="str">
        <f>"B07_Assessment"</f>
        <v>B07_Assessment</v>
      </c>
      <c r="C9" s="106" t="str">
        <f>B07_Assessment!$F$2</f>
        <v>Yellow</v>
      </c>
      <c r="D9" s="142">
        <f>B07_Assessment!$H$2</f>
        <v>0.5</v>
      </c>
      <c r="E9" s="142">
        <f>IFERROR(B07_Assessment!$H$2,0)</f>
        <v>0.5</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0">
        <f t="shared" ca="1" si="6"/>
        <v>0</v>
      </c>
      <c r="AA9" s="249" t="str">
        <f t="shared" ca="1" si="7"/>
        <v>Withhold / Review</v>
      </c>
      <c r="AB9" s="350">
        <f t="shared" ca="1" si="8"/>
        <v>0</v>
      </c>
      <c r="AC9" s="249" t="str">
        <f t="shared" ca="1" si="9"/>
        <v>Blocked</v>
      </c>
      <c r="AD9" s="249" t="str">
        <f ca="1">IF($AQ9=0,"Owner controls not mapped",IFERROR(IF(_xludf.TEXTJOIN("; ",TRUE,INDIRECT("'"&amp;$B9&amp;"'!F"&amp;$AQ9+2&amp;":F"&amp;$AQ9+9))="","No blocker documented",_xludf.TEXTJOIN("; ",TRUE,INDIRECT("'"&amp;$B9&amp;"'!F"&amp;$AQ9+2&amp;":F"&amp;$AQ9+9))),"No blocker documented"))</f>
        <v>No blocker documented</v>
      </c>
      <c r="AE9" s="350">
        <f t="shared" ca="1" si="10"/>
        <v>0.5</v>
      </c>
      <c r="AF9" s="249" t="str">
        <f t="shared" ca="1" si="11"/>
        <v>Deficiency / Review</v>
      </c>
      <c r="AG9" s="350">
        <f t="shared" ca="1" si="12"/>
        <v>0</v>
      </c>
      <c r="AH9" s="249" t="str">
        <f t="shared" ca="1" si="13"/>
        <v>Critical / Document</v>
      </c>
      <c r="AI9" s="350">
        <f t="shared" ca="1" si="14"/>
        <v>0</v>
      </c>
      <c r="AJ9" s="249" t="str">
        <f t="shared" ca="1" si="15"/>
        <v>Not Ready</v>
      </c>
      <c r="AK9" s="350">
        <f t="shared" ca="1" si="16"/>
        <v>0</v>
      </c>
      <c r="AL9" s="351">
        <f t="shared" ca="1" si="17"/>
        <v>6</v>
      </c>
      <c r="AM9" s="249" t="str">
        <f t="shared" ca="1" si="18"/>
        <v>Resolve OIT Blocker</v>
      </c>
      <c r="AN9" s="249" t="str">
        <f t="shared" ca="1" si="19"/>
        <v>🔴 ATTENTION</v>
      </c>
      <c r="AO9" s="350">
        <f t="shared" ca="1" si="25"/>
        <v>0.1</v>
      </c>
      <c r="AP9" s="353">
        <f t="shared" ca="1" si="20"/>
        <v>89</v>
      </c>
      <c r="AQ9" s="353">
        <f t="shared" ca="1" si="21"/>
        <v>98</v>
      </c>
      <c r="AR9" s="353">
        <f t="shared" ca="1" si="22"/>
        <v>110</v>
      </c>
      <c r="AS9" s="353">
        <f t="shared" ca="1" si="23"/>
        <v>119</v>
      </c>
      <c r="AT9" s="353">
        <f t="shared" ca="1" si="24"/>
        <v>127</v>
      </c>
      <c r="AU9" s="192"/>
      <c r="AV9" s="192"/>
    </row>
    <row r="10" spans="1:48" ht="97.5" customHeight="1">
      <c r="A10" s="106" t="str">
        <f>B08_Assessment!$B$2&amp;""</f>
        <v>08</v>
      </c>
      <c r="B10" s="106" t="str">
        <f>"B08_Assessment"</f>
        <v>B08_Assessment</v>
      </c>
      <c r="C10" s="106" t="str">
        <f>B08_Assessment!$F$2</f>
        <v>Yellow</v>
      </c>
      <c r="D10" s="142">
        <f>B08_Assessment!$H$2</f>
        <v>0.5</v>
      </c>
      <c r="E10" s="142">
        <f>IFERROR(B08_Assessment!$H$2,0)</f>
        <v>0.5</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0">
        <f t="shared" ca="1" si="6"/>
        <v>0</v>
      </c>
      <c r="AA10" s="249" t="str">
        <f t="shared" ca="1" si="7"/>
        <v>Withhold / Review</v>
      </c>
      <c r="AB10" s="350">
        <f t="shared" ca="1" si="8"/>
        <v>0</v>
      </c>
      <c r="AC10" s="249" t="str">
        <f t="shared" ca="1" si="9"/>
        <v>Blocked</v>
      </c>
      <c r="AD10" s="249" t="str">
        <f ca="1">IF($AQ10=0,"Owner controls not mapped",IFERROR(IF(_xludf.TEXTJOIN("; ",TRUE,INDIRECT("'"&amp;$B10&amp;"'!F"&amp;$AQ10+2&amp;":F"&amp;$AQ10+9))="","No blocker documented",_xludf.TEXTJOIN("; ",TRUE,INDIRECT("'"&amp;$B10&amp;"'!F"&amp;$AQ10+2&amp;":F"&amp;$AQ10+9))),"No blocker documented"))</f>
        <v>No blocker documented</v>
      </c>
      <c r="AE10" s="350">
        <f t="shared" ca="1" si="10"/>
        <v>0.5</v>
      </c>
      <c r="AF10" s="249" t="str">
        <f t="shared" ca="1" si="11"/>
        <v>Deficiency / Review</v>
      </c>
      <c r="AG10" s="350">
        <f t="shared" ca="1" si="12"/>
        <v>0</v>
      </c>
      <c r="AH10" s="249" t="str">
        <f t="shared" ca="1" si="13"/>
        <v>Critical / Document</v>
      </c>
      <c r="AI10" s="350">
        <f t="shared" ca="1" si="14"/>
        <v>0</v>
      </c>
      <c r="AJ10" s="249" t="str">
        <f t="shared" ca="1" si="15"/>
        <v>Not Ready</v>
      </c>
      <c r="AK10" s="350">
        <f t="shared" ca="1" si="16"/>
        <v>0</v>
      </c>
      <c r="AL10" s="351">
        <f t="shared" ca="1" si="17"/>
        <v>6</v>
      </c>
      <c r="AM10" s="249" t="str">
        <f t="shared" ca="1" si="18"/>
        <v>Resolve OIT Blocker</v>
      </c>
      <c r="AN10" s="249" t="str">
        <f t="shared" ca="1" si="19"/>
        <v>🔴 ATTENTION</v>
      </c>
      <c r="AO10" s="350">
        <f t="shared" ca="1" si="25"/>
        <v>0.1</v>
      </c>
      <c r="AP10" s="353">
        <f t="shared" ca="1" si="20"/>
        <v>98</v>
      </c>
      <c r="AQ10" s="353">
        <f t="shared" ca="1" si="21"/>
        <v>107</v>
      </c>
      <c r="AR10" s="353">
        <f t="shared" ca="1" si="22"/>
        <v>119</v>
      </c>
      <c r="AS10" s="353">
        <f t="shared" ca="1" si="23"/>
        <v>128</v>
      </c>
      <c r="AT10" s="353">
        <f t="shared" ca="1" si="24"/>
        <v>136</v>
      </c>
      <c r="AU10" s="192"/>
      <c r="AV10" s="192"/>
    </row>
    <row r="11" spans="1:48" ht="97.5" customHeight="1">
      <c r="A11" s="106" t="str">
        <f>B09_Assessment!$B$2&amp;""</f>
        <v>09</v>
      </c>
      <c r="B11" s="106" t="str">
        <f>"B09_Assessment"</f>
        <v>B09_Assessment</v>
      </c>
      <c r="C11" s="106" t="str">
        <f>B09_Assessment!$F$2</f>
        <v>Yellow</v>
      </c>
      <c r="D11" s="142">
        <f>B09_Assessment!$H$2</f>
        <v>0.5</v>
      </c>
      <c r="E11" s="142">
        <f>IFERROR(B09_Assessment!$H$2,0)</f>
        <v>0.5</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0">
        <f t="shared" ca="1" si="6"/>
        <v>0</v>
      </c>
      <c r="AA11" s="249" t="str">
        <f t="shared" ca="1" si="7"/>
        <v>Withhold / Review</v>
      </c>
      <c r="AB11" s="350">
        <f t="shared" ca="1" si="8"/>
        <v>0</v>
      </c>
      <c r="AC11" s="249" t="str">
        <f t="shared" ca="1" si="9"/>
        <v>Blocked</v>
      </c>
      <c r="AD11" s="249" t="str">
        <f ca="1">IF($AQ11=0,"Owner controls not mapped",IFERROR(IF(_xludf.TEXTJOIN("; ",TRUE,INDIRECT("'"&amp;$B11&amp;"'!F"&amp;$AQ11+2&amp;":F"&amp;$AQ11+9))="","No blocker documented",_xludf.TEXTJOIN("; ",TRUE,INDIRECT("'"&amp;$B11&amp;"'!F"&amp;$AQ11+2&amp;":F"&amp;$AQ11+9))),"No blocker documented"))</f>
        <v>No blocker documented</v>
      </c>
      <c r="AE11" s="350">
        <f t="shared" ca="1" si="10"/>
        <v>0.5</v>
      </c>
      <c r="AF11" s="249" t="str">
        <f t="shared" ca="1" si="11"/>
        <v>Deficiency / Review</v>
      </c>
      <c r="AG11" s="350">
        <f t="shared" ca="1" si="12"/>
        <v>0</v>
      </c>
      <c r="AH11" s="249" t="str">
        <f t="shared" ca="1" si="13"/>
        <v>Critical / Document</v>
      </c>
      <c r="AI11" s="350">
        <f t="shared" ca="1" si="14"/>
        <v>0</v>
      </c>
      <c r="AJ11" s="249" t="str">
        <f t="shared" ca="1" si="15"/>
        <v>Not Ready</v>
      </c>
      <c r="AK11" s="350">
        <f t="shared" ca="1" si="16"/>
        <v>0</v>
      </c>
      <c r="AL11" s="351">
        <f t="shared" ca="1" si="17"/>
        <v>6</v>
      </c>
      <c r="AM11" s="249" t="str">
        <f t="shared" ca="1" si="18"/>
        <v>Resolve OIT Blocker</v>
      </c>
      <c r="AN11" s="249" t="str">
        <f t="shared" ca="1" si="19"/>
        <v>🔴 ATTENTION</v>
      </c>
      <c r="AO11" s="350">
        <f t="shared" ca="1" si="25"/>
        <v>0.1</v>
      </c>
      <c r="AP11" s="353">
        <f t="shared" ca="1" si="20"/>
        <v>98</v>
      </c>
      <c r="AQ11" s="353">
        <f t="shared" ca="1" si="21"/>
        <v>107</v>
      </c>
      <c r="AR11" s="353">
        <f t="shared" ca="1" si="22"/>
        <v>119</v>
      </c>
      <c r="AS11" s="353">
        <f t="shared" ca="1" si="23"/>
        <v>128</v>
      </c>
      <c r="AT11" s="353">
        <f t="shared" ca="1" si="24"/>
        <v>136</v>
      </c>
      <c r="AU11" s="192"/>
      <c r="AV11" s="192"/>
    </row>
    <row r="12" spans="1:48" ht="97.5" customHeight="1">
      <c r="A12" s="106" t="str">
        <f>B10_Assessment!$B$2&amp;""</f>
        <v>10</v>
      </c>
      <c r="B12" s="106" t="str">
        <f>"B10_Assessment"</f>
        <v>B10_Assessment</v>
      </c>
      <c r="C12" s="106" t="str">
        <f>B10_Assessment!$F$2</f>
        <v>Yellow</v>
      </c>
      <c r="D12" s="142">
        <f>B10_Assessment!$H$2</f>
        <v>0.5</v>
      </c>
      <c r="E12" s="142">
        <f>IFERROR(B10_Assessment!$H$2,0)</f>
        <v>0.5</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0">
        <f t="shared" ca="1" si="6"/>
        <v>0</v>
      </c>
      <c r="AA12" s="249" t="str">
        <f t="shared" ca="1" si="7"/>
        <v>Withhold / Review</v>
      </c>
      <c r="AB12" s="350">
        <f t="shared" ca="1" si="8"/>
        <v>0</v>
      </c>
      <c r="AC12" s="249" t="str">
        <f t="shared" ca="1" si="9"/>
        <v>Blocked</v>
      </c>
      <c r="AD12" s="249" t="str">
        <f ca="1">IF($AQ12=0,"Owner controls not mapped",IFERROR(IF(_xludf.TEXTJOIN("; ",TRUE,INDIRECT("'"&amp;$B12&amp;"'!F"&amp;$AQ12+2&amp;":F"&amp;$AQ12+9))="","No blocker documented",_xludf.TEXTJOIN("; ",TRUE,INDIRECT("'"&amp;$B12&amp;"'!F"&amp;$AQ12+2&amp;":F"&amp;$AQ12+9))),"No blocker documented"))</f>
        <v>No blocker documented</v>
      </c>
      <c r="AE12" s="350">
        <f t="shared" ca="1" si="10"/>
        <v>0.5</v>
      </c>
      <c r="AF12" s="249" t="str">
        <f t="shared" ca="1" si="11"/>
        <v>Deficiency / Review</v>
      </c>
      <c r="AG12" s="350">
        <f t="shared" ca="1" si="12"/>
        <v>0</v>
      </c>
      <c r="AH12" s="249" t="str">
        <f t="shared" ca="1" si="13"/>
        <v>Critical / Document</v>
      </c>
      <c r="AI12" s="350">
        <f t="shared" ca="1" si="14"/>
        <v>0</v>
      </c>
      <c r="AJ12" s="249" t="str">
        <f t="shared" ca="1" si="15"/>
        <v>Not Ready</v>
      </c>
      <c r="AK12" s="350">
        <f t="shared" ca="1" si="16"/>
        <v>0</v>
      </c>
      <c r="AL12" s="351">
        <f t="shared" ca="1" si="17"/>
        <v>6</v>
      </c>
      <c r="AM12" s="249" t="str">
        <f t="shared" ca="1" si="18"/>
        <v>Resolve OIT Blocker</v>
      </c>
      <c r="AN12" s="249" t="str">
        <f t="shared" ca="1" si="19"/>
        <v>🔴 ATTENTION</v>
      </c>
      <c r="AO12" s="350">
        <f t="shared" ca="1" si="25"/>
        <v>0.1</v>
      </c>
      <c r="AP12" s="353">
        <f t="shared" ca="1" si="20"/>
        <v>98</v>
      </c>
      <c r="AQ12" s="353">
        <f t="shared" ca="1" si="21"/>
        <v>107</v>
      </c>
      <c r="AR12" s="353">
        <f t="shared" ca="1" si="22"/>
        <v>119</v>
      </c>
      <c r="AS12" s="353">
        <f t="shared" ca="1" si="23"/>
        <v>128</v>
      </c>
      <c r="AT12" s="353">
        <f t="shared" ca="1" si="24"/>
        <v>136</v>
      </c>
      <c r="AU12" s="192"/>
      <c r="AV12" s="192"/>
    </row>
    <row r="13" spans="1:48" ht="97.5" customHeight="1">
      <c r="A13" s="106" t="str">
        <f>B12_Assessment!$B$2&amp;""</f>
        <v>12</v>
      </c>
      <c r="B13" s="106" t="str">
        <f>"B12_Assessment"</f>
        <v>B12_Assessment</v>
      </c>
      <c r="C13" s="106" t="str">
        <f>B12_Assessment!$F$2</f>
        <v>Yellow</v>
      </c>
      <c r="D13" s="142">
        <f>B12_Assessment!$H$2</f>
        <v>0.5</v>
      </c>
      <c r="E13" s="142">
        <f>IFERROR(B12_Assessment!$H$2,0)</f>
        <v>0.5</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0">
        <f t="shared" ca="1" si="6"/>
        <v>0</v>
      </c>
      <c r="AA13" s="249" t="str">
        <f t="shared" ca="1" si="7"/>
        <v>Withhold / Review</v>
      </c>
      <c r="AB13" s="350">
        <f t="shared" ca="1" si="8"/>
        <v>0</v>
      </c>
      <c r="AC13" s="249" t="str">
        <f t="shared" ca="1" si="9"/>
        <v>Blocked</v>
      </c>
      <c r="AD13" s="249" t="str">
        <f ca="1">IF($AQ13=0,"Owner controls not mapped",IFERROR(IF(_xludf.TEXTJOIN("; ",TRUE,INDIRECT("'"&amp;$B13&amp;"'!F"&amp;$AQ13+2&amp;":F"&amp;$AQ13+9))="","No blocker documented",_xludf.TEXTJOIN("; ",TRUE,INDIRECT("'"&amp;$B13&amp;"'!F"&amp;$AQ13+2&amp;":F"&amp;$AQ13+9))),"No blocker documented"))</f>
        <v>No blocker documented</v>
      </c>
      <c r="AE13" s="350">
        <f t="shared" ca="1" si="10"/>
        <v>0.5</v>
      </c>
      <c r="AF13" s="249" t="str">
        <f t="shared" ca="1" si="11"/>
        <v>Deficiency / Review</v>
      </c>
      <c r="AG13" s="350">
        <f t="shared" ca="1" si="12"/>
        <v>0</v>
      </c>
      <c r="AH13" s="249" t="str">
        <f t="shared" ca="1" si="13"/>
        <v>Critical / Document</v>
      </c>
      <c r="AI13" s="350">
        <f t="shared" ca="1" si="14"/>
        <v>0</v>
      </c>
      <c r="AJ13" s="249" t="str">
        <f t="shared" ca="1" si="15"/>
        <v>Not Ready</v>
      </c>
      <c r="AK13" s="350">
        <f t="shared" ca="1" si="16"/>
        <v>0</v>
      </c>
      <c r="AL13" s="351">
        <f t="shared" ca="1" si="17"/>
        <v>6</v>
      </c>
      <c r="AM13" s="249" t="str">
        <f t="shared" ca="1" si="18"/>
        <v>Resolve OIT Blocker</v>
      </c>
      <c r="AN13" s="249" t="str">
        <f t="shared" ca="1" si="19"/>
        <v>🔴 ATTENTION</v>
      </c>
      <c r="AO13" s="350">
        <f t="shared" ca="1" si="25"/>
        <v>0.1</v>
      </c>
      <c r="AP13" s="353">
        <f t="shared" ca="1" si="20"/>
        <v>84</v>
      </c>
      <c r="AQ13" s="353">
        <f t="shared" ca="1" si="21"/>
        <v>93</v>
      </c>
      <c r="AR13" s="353">
        <f t="shared" ca="1" si="22"/>
        <v>105</v>
      </c>
      <c r="AS13" s="353">
        <f t="shared" ca="1" si="23"/>
        <v>114</v>
      </c>
      <c r="AT13" s="353">
        <f t="shared" ca="1" si="24"/>
        <v>122</v>
      </c>
      <c r="AU13" s="192"/>
      <c r="AV13" s="192"/>
    </row>
    <row r="14" spans="1:48" ht="97.5" customHeight="1">
      <c r="A14" s="106" t="str">
        <f>B13_Assessment!$B$2&amp;""</f>
        <v>13</v>
      </c>
      <c r="B14" s="106" t="str">
        <f>"B13_Assessment"</f>
        <v>B13_Assessment</v>
      </c>
      <c r="C14" s="106" t="str">
        <f>B13_Assessment!$F$2</f>
        <v>Yellow</v>
      </c>
      <c r="D14" s="142">
        <f>B13_Assessment!$H$2</f>
        <v>0.5</v>
      </c>
      <c r="E14" s="142">
        <f>IFERROR(B13_Assessment!$H$2,0)</f>
        <v>0.5</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0">
        <f t="shared" ca="1" si="6"/>
        <v>0</v>
      </c>
      <c r="AA14" s="249" t="str">
        <f t="shared" ca="1" si="7"/>
        <v>Withhold / Review</v>
      </c>
      <c r="AB14" s="350">
        <f t="shared" ca="1" si="8"/>
        <v>0</v>
      </c>
      <c r="AC14" s="249" t="str">
        <f t="shared" ca="1" si="9"/>
        <v>Blocked</v>
      </c>
      <c r="AD14" s="249" t="str">
        <f ca="1">IF($AQ14=0,"Owner controls not mapped",IFERROR(IF(_xludf.TEXTJOIN("; ",TRUE,INDIRECT("'"&amp;$B14&amp;"'!F"&amp;$AQ14+2&amp;":F"&amp;$AQ14+9))="","No blocker documented",_xludf.TEXTJOIN("; ",TRUE,INDIRECT("'"&amp;$B14&amp;"'!F"&amp;$AQ14+2&amp;":F"&amp;$AQ14+9))),"No blocker documented"))</f>
        <v>No blocker documented</v>
      </c>
      <c r="AE14" s="350">
        <f t="shared" ca="1" si="10"/>
        <v>0.5</v>
      </c>
      <c r="AF14" s="249" t="str">
        <f t="shared" ca="1" si="11"/>
        <v>Deficiency / Review</v>
      </c>
      <c r="AG14" s="350">
        <f t="shared" ca="1" si="12"/>
        <v>0</v>
      </c>
      <c r="AH14" s="249" t="str">
        <f t="shared" ca="1" si="13"/>
        <v>Critical / Document</v>
      </c>
      <c r="AI14" s="350">
        <f t="shared" ca="1" si="14"/>
        <v>0</v>
      </c>
      <c r="AJ14" s="249" t="str">
        <f t="shared" ca="1" si="15"/>
        <v>Not Ready</v>
      </c>
      <c r="AK14" s="350">
        <f t="shared" ca="1" si="16"/>
        <v>0</v>
      </c>
      <c r="AL14" s="351">
        <f t="shared" ca="1" si="17"/>
        <v>6</v>
      </c>
      <c r="AM14" s="249" t="str">
        <f t="shared" ca="1" si="18"/>
        <v>Resolve OIT Blocker</v>
      </c>
      <c r="AN14" s="249" t="str">
        <f t="shared" ca="1" si="19"/>
        <v>🔴 ATTENTION</v>
      </c>
      <c r="AO14" s="350">
        <f t="shared" ca="1" si="25"/>
        <v>0.1</v>
      </c>
      <c r="AP14" s="353">
        <f t="shared" ca="1" si="20"/>
        <v>91</v>
      </c>
      <c r="AQ14" s="353">
        <f t="shared" ca="1" si="21"/>
        <v>100</v>
      </c>
      <c r="AR14" s="353">
        <f t="shared" ca="1" si="22"/>
        <v>112</v>
      </c>
      <c r="AS14" s="353">
        <f t="shared" ca="1" si="23"/>
        <v>121</v>
      </c>
      <c r="AT14" s="353">
        <f t="shared" ca="1" si="24"/>
        <v>129</v>
      </c>
      <c r="AU14" s="192"/>
      <c r="AV14" s="192"/>
    </row>
    <row r="15" spans="1:48" ht="97.5" customHeight="1">
      <c r="A15" s="106" t="str">
        <f>B14_Assessment!$B$2&amp;""</f>
        <v>14</v>
      </c>
      <c r="B15" s="106" t="str">
        <f>"B14_Assessment"</f>
        <v>B14_Assessment</v>
      </c>
      <c r="C15" s="106" t="str">
        <f>B14_Assessment!$F$2</f>
        <v>Yellow</v>
      </c>
      <c r="D15" s="142">
        <f>B14_Assessment!$H$2</f>
        <v>0.5</v>
      </c>
      <c r="E15" s="142">
        <f>IFERROR(B14_Assessment!$H$2,0)</f>
        <v>0.5</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0">
        <f t="shared" ca="1" si="6"/>
        <v>0</v>
      </c>
      <c r="AA15" s="249" t="str">
        <f t="shared" ca="1" si="7"/>
        <v>Withhold / Review</v>
      </c>
      <c r="AB15" s="350">
        <f t="shared" ca="1" si="8"/>
        <v>0</v>
      </c>
      <c r="AC15" s="249" t="str">
        <f t="shared" ca="1" si="9"/>
        <v>Blocked</v>
      </c>
      <c r="AD15" s="249" t="str">
        <f ca="1">IF($AQ15=0,"Owner controls not mapped",IFERROR(IF(_xludf.TEXTJOIN("; ",TRUE,INDIRECT("'"&amp;$B15&amp;"'!F"&amp;$AQ15+2&amp;":F"&amp;$AQ15+9))="","No blocker documented",_xludf.TEXTJOIN("; ",TRUE,INDIRECT("'"&amp;$B15&amp;"'!F"&amp;$AQ15+2&amp;":F"&amp;$AQ15+9))),"No blocker documented"))</f>
        <v>No blocker documented</v>
      </c>
      <c r="AE15" s="350">
        <f t="shared" ca="1" si="10"/>
        <v>0.5</v>
      </c>
      <c r="AF15" s="249" t="str">
        <f t="shared" ca="1" si="11"/>
        <v>Deficiency / Review</v>
      </c>
      <c r="AG15" s="350">
        <f t="shared" ca="1" si="12"/>
        <v>0</v>
      </c>
      <c r="AH15" s="249" t="str">
        <f t="shared" ca="1" si="13"/>
        <v>Critical / Document</v>
      </c>
      <c r="AI15" s="350">
        <f t="shared" ca="1" si="14"/>
        <v>0</v>
      </c>
      <c r="AJ15" s="249" t="str">
        <f t="shared" ca="1" si="15"/>
        <v>Not Ready</v>
      </c>
      <c r="AK15" s="350">
        <f t="shared" ca="1" si="16"/>
        <v>0</v>
      </c>
      <c r="AL15" s="351">
        <f t="shared" ca="1" si="17"/>
        <v>6</v>
      </c>
      <c r="AM15" s="249" t="str">
        <f t="shared" ca="1" si="18"/>
        <v>Resolve OIT Blocker</v>
      </c>
      <c r="AN15" s="249" t="str">
        <f t="shared" ca="1" si="19"/>
        <v>🔴 ATTENTION</v>
      </c>
      <c r="AO15" s="350">
        <f t="shared" ca="1" si="25"/>
        <v>0.1</v>
      </c>
      <c r="AP15" s="353">
        <f t="shared" ca="1" si="20"/>
        <v>99</v>
      </c>
      <c r="AQ15" s="353">
        <f t="shared" ca="1" si="21"/>
        <v>108</v>
      </c>
      <c r="AR15" s="353">
        <f t="shared" ca="1" si="22"/>
        <v>120</v>
      </c>
      <c r="AS15" s="353">
        <f t="shared" ca="1" si="23"/>
        <v>129</v>
      </c>
      <c r="AT15" s="353">
        <f t="shared" ca="1" si="24"/>
        <v>137</v>
      </c>
      <c r="AU15" s="192"/>
      <c r="AV15" s="192"/>
    </row>
    <row r="16" spans="1:48" ht="97.5" customHeight="1">
      <c r="A16" s="106" t="str">
        <f>B15_Assessment!$B$2&amp;""</f>
        <v>15</v>
      </c>
      <c r="B16" s="106" t="str">
        <f>"B15_Assessment"</f>
        <v>B15_Assessment</v>
      </c>
      <c r="C16" s="106" t="str">
        <f>B15_Assessment!$F$2</f>
        <v>Yellow</v>
      </c>
      <c r="D16" s="142">
        <f>B15_Assessment!$H$2</f>
        <v>0.5</v>
      </c>
      <c r="E16" s="142">
        <f>IFERROR(B15_Assessment!$H$2,0)</f>
        <v>0.5</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0">
        <f t="shared" ca="1" si="6"/>
        <v>0</v>
      </c>
      <c r="AA16" s="249" t="str">
        <f t="shared" ca="1" si="7"/>
        <v>Withhold / Review</v>
      </c>
      <c r="AB16" s="350">
        <f t="shared" ca="1" si="8"/>
        <v>0</v>
      </c>
      <c r="AC16" s="249" t="str">
        <f t="shared" ca="1" si="9"/>
        <v>Blocked</v>
      </c>
      <c r="AD16" s="249" t="str">
        <f ca="1">IF($AQ16=0,"Owner controls not mapped",IFERROR(IF(_xludf.TEXTJOIN("; ",TRUE,INDIRECT("'"&amp;$B16&amp;"'!F"&amp;$AQ16+2&amp;":F"&amp;$AQ16+9))="","No blocker documented",_xludf.TEXTJOIN("; ",TRUE,INDIRECT("'"&amp;$B16&amp;"'!F"&amp;$AQ16+2&amp;":F"&amp;$AQ16+9))),"No blocker documented"))</f>
        <v>No blocker documented</v>
      </c>
      <c r="AE16" s="350">
        <f t="shared" ca="1" si="10"/>
        <v>0.5</v>
      </c>
      <c r="AF16" s="249" t="str">
        <f t="shared" ca="1" si="11"/>
        <v>Deficiency / Review</v>
      </c>
      <c r="AG16" s="350">
        <f t="shared" ca="1" si="12"/>
        <v>0</v>
      </c>
      <c r="AH16" s="249" t="str">
        <f t="shared" ca="1" si="13"/>
        <v>Critical / Document</v>
      </c>
      <c r="AI16" s="350">
        <f t="shared" ca="1" si="14"/>
        <v>0</v>
      </c>
      <c r="AJ16" s="249" t="str">
        <f t="shared" ca="1" si="15"/>
        <v>Not Ready</v>
      </c>
      <c r="AK16" s="350">
        <f t="shared" ca="1" si="16"/>
        <v>0</v>
      </c>
      <c r="AL16" s="351">
        <f t="shared" ca="1" si="17"/>
        <v>6</v>
      </c>
      <c r="AM16" s="249" t="str">
        <f t="shared" ca="1" si="18"/>
        <v>Resolve OIT Blocker</v>
      </c>
      <c r="AN16" s="249" t="str">
        <f t="shared" ca="1" si="19"/>
        <v>🔴 ATTENTION</v>
      </c>
      <c r="AO16" s="350">
        <f t="shared" ca="1" si="25"/>
        <v>0.1</v>
      </c>
      <c r="AP16" s="353">
        <f t="shared" ca="1" si="20"/>
        <v>99</v>
      </c>
      <c r="AQ16" s="353">
        <f t="shared" ca="1" si="21"/>
        <v>108</v>
      </c>
      <c r="AR16" s="353">
        <f t="shared" ca="1" si="22"/>
        <v>120</v>
      </c>
      <c r="AS16" s="353">
        <f t="shared" ca="1" si="23"/>
        <v>129</v>
      </c>
      <c r="AT16" s="353">
        <f t="shared" ca="1" si="24"/>
        <v>137</v>
      </c>
      <c r="AU16" s="192"/>
      <c r="AV16" s="192"/>
    </row>
    <row r="17" spans="1:48" ht="97.5" customHeight="1">
      <c r="A17" s="106" t="str">
        <f>B16_Assessment!$B$2&amp;""</f>
        <v>16</v>
      </c>
      <c r="B17" s="106" t="str">
        <f>"B16_Assessment"</f>
        <v>B16_Assessment</v>
      </c>
      <c r="C17" s="106" t="str">
        <f>B16_Assessment!$F$2</f>
        <v>Yellow</v>
      </c>
      <c r="D17" s="142">
        <f>B16_Assessment!$H$2</f>
        <v>0.5</v>
      </c>
      <c r="E17" s="142">
        <f>IFERROR(B16_Assessment!$H$2,0)</f>
        <v>0.5</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0">
        <f t="shared" ca="1" si="6"/>
        <v>0</v>
      </c>
      <c r="AA17" s="249" t="str">
        <f t="shared" ca="1" si="7"/>
        <v>Withhold / Review</v>
      </c>
      <c r="AB17" s="350">
        <f t="shared" ca="1" si="8"/>
        <v>0</v>
      </c>
      <c r="AC17" s="249" t="str">
        <f t="shared" ca="1" si="9"/>
        <v>Blocked</v>
      </c>
      <c r="AD17" s="249" t="str">
        <f ca="1">IF($AQ17=0,"Owner controls not mapped",IFERROR(IF(_xludf.TEXTJOIN("; ",TRUE,INDIRECT("'"&amp;$B17&amp;"'!F"&amp;$AQ17+2&amp;":F"&amp;$AQ17+9))="","No blocker documented",_xludf.TEXTJOIN("; ",TRUE,INDIRECT("'"&amp;$B17&amp;"'!F"&amp;$AQ17+2&amp;":F"&amp;$AQ17+9))),"No blocker documented"))</f>
        <v>No blocker documented</v>
      </c>
      <c r="AE17" s="350">
        <f t="shared" ca="1" si="10"/>
        <v>0.5</v>
      </c>
      <c r="AF17" s="249" t="str">
        <f t="shared" ca="1" si="11"/>
        <v>Deficiency / Review</v>
      </c>
      <c r="AG17" s="350">
        <f t="shared" ca="1" si="12"/>
        <v>0</v>
      </c>
      <c r="AH17" s="249" t="str">
        <f t="shared" ca="1" si="13"/>
        <v>Critical / Document</v>
      </c>
      <c r="AI17" s="350">
        <f t="shared" ca="1" si="14"/>
        <v>0</v>
      </c>
      <c r="AJ17" s="249" t="str">
        <f t="shared" ca="1" si="15"/>
        <v>Not Ready</v>
      </c>
      <c r="AK17" s="350">
        <f t="shared" ca="1" si="16"/>
        <v>0</v>
      </c>
      <c r="AL17" s="351">
        <f t="shared" ca="1" si="17"/>
        <v>6</v>
      </c>
      <c r="AM17" s="249" t="str">
        <f t="shared" ca="1" si="18"/>
        <v>Resolve OIT Blocker</v>
      </c>
      <c r="AN17" s="249" t="str">
        <f t="shared" ca="1" si="19"/>
        <v>🔴 ATTENTION</v>
      </c>
      <c r="AO17" s="350">
        <f t="shared" ca="1" si="25"/>
        <v>0.1</v>
      </c>
      <c r="AP17" s="353">
        <f t="shared" ca="1" si="20"/>
        <v>91</v>
      </c>
      <c r="AQ17" s="353">
        <f t="shared" ca="1" si="21"/>
        <v>100</v>
      </c>
      <c r="AR17" s="353">
        <f t="shared" ca="1" si="22"/>
        <v>112</v>
      </c>
      <c r="AS17" s="353">
        <f t="shared" ca="1" si="23"/>
        <v>121</v>
      </c>
      <c r="AT17" s="353">
        <f t="shared" ca="1" si="24"/>
        <v>129</v>
      </c>
      <c r="AU17" s="192"/>
      <c r="AV17" s="192"/>
    </row>
    <row r="18" spans="1:48" ht="97.5" customHeight="1">
      <c r="A18" s="106" t="str">
        <f>B17_Assessment!$B$2&amp;""</f>
        <v>17</v>
      </c>
      <c r="B18" s="106" t="str">
        <f>"B17_Assessment"</f>
        <v>B17_Assessment</v>
      </c>
      <c r="C18" s="106" t="str">
        <f>B17_Assessment!$F$2</f>
        <v>Yellow</v>
      </c>
      <c r="D18" s="142">
        <f>B17_Assessment!$H$2</f>
        <v>0.5</v>
      </c>
      <c r="E18" s="142">
        <f>IFERROR(B17_Assessment!$H$2,0)</f>
        <v>0.5</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0">
        <f t="shared" ca="1" si="6"/>
        <v>0</v>
      </c>
      <c r="AA18" s="249" t="str">
        <f t="shared" ca="1" si="7"/>
        <v>Withhold / Review</v>
      </c>
      <c r="AB18" s="350">
        <f t="shared" ca="1" si="8"/>
        <v>0</v>
      </c>
      <c r="AC18" s="249" t="str">
        <f t="shared" ca="1" si="9"/>
        <v>Blocked</v>
      </c>
      <c r="AD18" s="249" t="str">
        <f ca="1">IF($AQ18=0,"Owner controls not mapped",IFERROR(IF(_xludf.TEXTJOIN("; ",TRUE,INDIRECT("'"&amp;$B18&amp;"'!F"&amp;$AQ18+2&amp;":F"&amp;$AQ18+9))="","No blocker documented",_xludf.TEXTJOIN("; ",TRUE,INDIRECT("'"&amp;$B18&amp;"'!F"&amp;$AQ18+2&amp;":F"&amp;$AQ18+9))),"No blocker documented"))</f>
        <v>No blocker documented</v>
      </c>
      <c r="AE18" s="350">
        <f t="shared" ca="1" si="10"/>
        <v>0.5</v>
      </c>
      <c r="AF18" s="249" t="str">
        <f t="shared" ca="1" si="11"/>
        <v>Deficiency / Review</v>
      </c>
      <c r="AG18" s="350">
        <f t="shared" ca="1" si="12"/>
        <v>0</v>
      </c>
      <c r="AH18" s="249" t="str">
        <f t="shared" ca="1" si="13"/>
        <v>Critical / Document</v>
      </c>
      <c r="AI18" s="350">
        <f t="shared" ca="1" si="14"/>
        <v>0</v>
      </c>
      <c r="AJ18" s="249" t="str">
        <f t="shared" ca="1" si="15"/>
        <v>Not Ready</v>
      </c>
      <c r="AK18" s="350">
        <f t="shared" ca="1" si="16"/>
        <v>0</v>
      </c>
      <c r="AL18" s="351">
        <f t="shared" ca="1" si="17"/>
        <v>6</v>
      </c>
      <c r="AM18" s="249" t="str">
        <f t="shared" ca="1" si="18"/>
        <v>Resolve OIT Blocker</v>
      </c>
      <c r="AN18" s="249" t="str">
        <f t="shared" ca="1" si="19"/>
        <v>🔴 ATTENTION</v>
      </c>
      <c r="AO18" s="350">
        <f t="shared" ca="1" si="25"/>
        <v>0.1</v>
      </c>
      <c r="AP18" s="353">
        <f t="shared" ca="1" si="20"/>
        <v>99</v>
      </c>
      <c r="AQ18" s="353">
        <f t="shared" ca="1" si="21"/>
        <v>108</v>
      </c>
      <c r="AR18" s="353">
        <f t="shared" ca="1" si="22"/>
        <v>120</v>
      </c>
      <c r="AS18" s="353">
        <f t="shared" ca="1" si="23"/>
        <v>129</v>
      </c>
      <c r="AT18" s="353">
        <f t="shared" ca="1" si="24"/>
        <v>137</v>
      </c>
      <c r="AU18" s="192"/>
      <c r="AV18" s="192"/>
    </row>
    <row r="19" spans="1:48" ht="97.5" customHeight="1">
      <c r="A19" s="106" t="str">
        <f>B18_Assessment!$B$2&amp;""</f>
        <v>18</v>
      </c>
      <c r="B19" s="106" t="str">
        <f>"B18_Assessment"</f>
        <v>B18_Assessment</v>
      </c>
      <c r="C19" s="106" t="str">
        <f>B18_Assessment!$F$2</f>
        <v>Yellow</v>
      </c>
      <c r="D19" s="142">
        <f>B18_Assessment!$H$2</f>
        <v>0.5</v>
      </c>
      <c r="E19" s="142">
        <f>IFERROR(B18_Assessment!$H$2,0)</f>
        <v>0.5</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0">
        <f t="shared" ca="1" si="6"/>
        <v>0</v>
      </c>
      <c r="AA19" s="249" t="str">
        <f t="shared" ca="1" si="7"/>
        <v>Withhold / Review</v>
      </c>
      <c r="AB19" s="350">
        <f t="shared" ca="1" si="8"/>
        <v>0</v>
      </c>
      <c r="AC19" s="249" t="str">
        <f t="shared" ca="1" si="9"/>
        <v>Blocked</v>
      </c>
      <c r="AD19" s="249" t="str">
        <f ca="1">IF($AQ19=0,"Owner controls not mapped",IFERROR(IF(_xludf.TEXTJOIN("; ",TRUE,INDIRECT("'"&amp;$B19&amp;"'!F"&amp;$AQ19+2&amp;":F"&amp;$AQ19+9))="","No blocker documented",_xludf.TEXTJOIN("; ",TRUE,INDIRECT("'"&amp;$B19&amp;"'!F"&amp;$AQ19+2&amp;":F"&amp;$AQ19+9))),"No blocker documented"))</f>
        <v>No blocker documented</v>
      </c>
      <c r="AE19" s="350">
        <f t="shared" ca="1" si="10"/>
        <v>0.5</v>
      </c>
      <c r="AF19" s="249" t="str">
        <f t="shared" ca="1" si="11"/>
        <v>Deficiency / Review</v>
      </c>
      <c r="AG19" s="350">
        <f t="shared" ca="1" si="12"/>
        <v>0</v>
      </c>
      <c r="AH19" s="249" t="str">
        <f t="shared" ca="1" si="13"/>
        <v>Critical / Document</v>
      </c>
      <c r="AI19" s="350">
        <f t="shared" ca="1" si="14"/>
        <v>0</v>
      </c>
      <c r="AJ19" s="249" t="str">
        <f t="shared" ca="1" si="15"/>
        <v>Not Ready</v>
      </c>
      <c r="AK19" s="350">
        <f t="shared" ca="1" si="16"/>
        <v>0</v>
      </c>
      <c r="AL19" s="351">
        <f t="shared" ca="1" si="17"/>
        <v>6</v>
      </c>
      <c r="AM19" s="249" t="str">
        <f t="shared" ca="1" si="18"/>
        <v>Resolve OIT Blocker</v>
      </c>
      <c r="AN19" s="249" t="str">
        <f t="shared" ca="1" si="19"/>
        <v>🔴 ATTENTION</v>
      </c>
      <c r="AO19" s="350">
        <f t="shared" ca="1" si="25"/>
        <v>0.1</v>
      </c>
      <c r="AP19" s="353">
        <f t="shared" ca="1" si="20"/>
        <v>98</v>
      </c>
      <c r="AQ19" s="353">
        <f t="shared" ca="1" si="21"/>
        <v>107</v>
      </c>
      <c r="AR19" s="353">
        <f t="shared" ca="1" si="22"/>
        <v>119</v>
      </c>
      <c r="AS19" s="353">
        <f t="shared" ca="1" si="23"/>
        <v>128</v>
      </c>
      <c r="AT19" s="353">
        <f t="shared" ca="1" si="24"/>
        <v>136</v>
      </c>
      <c r="AU19" s="192"/>
      <c r="AV19" s="192"/>
    </row>
    <row r="20" spans="1:48" ht="97.5" customHeight="1">
      <c r="A20" s="106" t="str">
        <f>B20_Assessment!$B$2&amp;""</f>
        <v>20</v>
      </c>
      <c r="B20" s="106" t="str">
        <f>"B20_Assessment"</f>
        <v>B20_Assessment</v>
      </c>
      <c r="C20" s="106" t="str">
        <f>B20_Assessment!$F$2</f>
        <v>Yellow</v>
      </c>
      <c r="D20" s="142">
        <f>B20_Assessment!$H$2</f>
        <v>0.5</v>
      </c>
      <c r="E20" s="142">
        <f>IFERROR(B20_Assessment!$H$2,0)</f>
        <v>0.5</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0">
        <f t="shared" ca="1" si="6"/>
        <v>0</v>
      </c>
      <c r="AA20" s="249" t="str">
        <f t="shared" ca="1" si="7"/>
        <v>Withhold / Review</v>
      </c>
      <c r="AB20" s="350">
        <f t="shared" ca="1" si="8"/>
        <v>0</v>
      </c>
      <c r="AC20" s="249" t="str">
        <f t="shared" ca="1" si="9"/>
        <v>Blocked</v>
      </c>
      <c r="AD20" s="249" t="str">
        <f ca="1">IF($AQ20=0,"Owner controls not mapped",IFERROR(IF(_xludf.TEXTJOIN("; ",TRUE,INDIRECT("'"&amp;$B20&amp;"'!F"&amp;$AQ20+2&amp;":F"&amp;$AQ20+9))="","No blocker documented",_xludf.TEXTJOIN("; ",TRUE,INDIRECT("'"&amp;$B20&amp;"'!F"&amp;$AQ20+2&amp;":F"&amp;$AQ20+9))),"No blocker documented"))</f>
        <v>No blocker documented</v>
      </c>
      <c r="AE20" s="350">
        <f t="shared" ca="1" si="10"/>
        <v>0.5</v>
      </c>
      <c r="AF20" s="249" t="str">
        <f t="shared" ca="1" si="11"/>
        <v>Deficiency / Review</v>
      </c>
      <c r="AG20" s="350">
        <f t="shared" ca="1" si="12"/>
        <v>0</v>
      </c>
      <c r="AH20" s="249" t="str">
        <f t="shared" ca="1" si="13"/>
        <v>Critical / Document</v>
      </c>
      <c r="AI20" s="350">
        <f t="shared" ca="1" si="14"/>
        <v>0</v>
      </c>
      <c r="AJ20" s="249" t="str">
        <f t="shared" ca="1" si="15"/>
        <v>Not Ready</v>
      </c>
      <c r="AK20" s="350">
        <f t="shared" ca="1" si="16"/>
        <v>0</v>
      </c>
      <c r="AL20" s="351">
        <f t="shared" ca="1" si="17"/>
        <v>6</v>
      </c>
      <c r="AM20" s="249" t="str">
        <f t="shared" ca="1" si="18"/>
        <v>Resolve OIT Blocker</v>
      </c>
      <c r="AN20" s="249" t="str">
        <f t="shared" ca="1" si="19"/>
        <v>🔴 ATTENTION</v>
      </c>
      <c r="AO20" s="350">
        <f t="shared" ca="1" si="25"/>
        <v>0.1</v>
      </c>
      <c r="AP20" s="353">
        <f t="shared" ca="1" si="20"/>
        <v>90</v>
      </c>
      <c r="AQ20" s="353">
        <f t="shared" ca="1" si="21"/>
        <v>99</v>
      </c>
      <c r="AR20" s="353">
        <f t="shared" ca="1" si="22"/>
        <v>111</v>
      </c>
      <c r="AS20" s="353">
        <f t="shared" ca="1" si="23"/>
        <v>120</v>
      </c>
      <c r="AT20" s="353">
        <f t="shared" ca="1" si="24"/>
        <v>128</v>
      </c>
      <c r="AU20" s="192"/>
      <c r="AV20" s="192"/>
    </row>
    <row r="21" spans="1:48" ht="97.5" customHeight="1">
      <c r="A21" s="106" t="str">
        <f>B21_Assessment!$B$2&amp;""</f>
        <v>21</v>
      </c>
      <c r="B21" s="106" t="str">
        <f>"B21_Assessment"</f>
        <v>B21_Assessment</v>
      </c>
      <c r="C21" s="106" t="str">
        <f>B21_Assessment!$F$2</f>
        <v>Yellow</v>
      </c>
      <c r="D21" s="142">
        <f>B21_Assessment!$H$2</f>
        <v>0.5</v>
      </c>
      <c r="E21" s="142">
        <f>IFERROR(B21_Assessment!$H$2,0)</f>
        <v>0.5</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0">
        <f t="shared" ca="1" si="6"/>
        <v>0</v>
      </c>
      <c r="AA21" s="249" t="str">
        <f t="shared" ca="1" si="7"/>
        <v>Withhold / Review</v>
      </c>
      <c r="AB21" s="350">
        <f t="shared" ca="1" si="8"/>
        <v>0</v>
      </c>
      <c r="AC21" s="249" t="str">
        <f t="shared" ca="1" si="9"/>
        <v>Blocked</v>
      </c>
      <c r="AD21" s="249" t="str">
        <f ca="1">IF($AQ21=0,"Owner controls not mapped",IFERROR(IF(_xludf.TEXTJOIN("; ",TRUE,INDIRECT("'"&amp;$B21&amp;"'!F"&amp;$AQ21+2&amp;":F"&amp;$AQ21+9))="","No blocker documented",_xludf.TEXTJOIN("; ",TRUE,INDIRECT("'"&amp;$B21&amp;"'!F"&amp;$AQ21+2&amp;":F"&amp;$AQ21+9))),"No blocker documented"))</f>
        <v>No blocker documented</v>
      </c>
      <c r="AE21" s="350">
        <f t="shared" ca="1" si="10"/>
        <v>0.5</v>
      </c>
      <c r="AF21" s="249" t="str">
        <f t="shared" ca="1" si="11"/>
        <v>Deficiency / Review</v>
      </c>
      <c r="AG21" s="350">
        <f t="shared" ca="1" si="12"/>
        <v>0</v>
      </c>
      <c r="AH21" s="249" t="str">
        <f t="shared" ca="1" si="13"/>
        <v>Critical / Document</v>
      </c>
      <c r="AI21" s="350">
        <f t="shared" ca="1" si="14"/>
        <v>0</v>
      </c>
      <c r="AJ21" s="249" t="str">
        <f t="shared" ca="1" si="15"/>
        <v>Not Ready</v>
      </c>
      <c r="AK21" s="350">
        <f t="shared" ca="1" si="16"/>
        <v>0</v>
      </c>
      <c r="AL21" s="351">
        <f t="shared" ca="1" si="17"/>
        <v>6</v>
      </c>
      <c r="AM21" s="249" t="str">
        <f t="shared" ca="1" si="18"/>
        <v>Resolve OIT Blocker</v>
      </c>
      <c r="AN21" s="249" t="str">
        <f t="shared" ca="1" si="19"/>
        <v>🔴 ATTENTION</v>
      </c>
      <c r="AO21" s="350">
        <f t="shared" ca="1" si="25"/>
        <v>0.1</v>
      </c>
      <c r="AP21" s="353">
        <f t="shared" ca="1" si="20"/>
        <v>98</v>
      </c>
      <c r="AQ21" s="353">
        <f t="shared" ca="1" si="21"/>
        <v>107</v>
      </c>
      <c r="AR21" s="353">
        <f t="shared" ca="1" si="22"/>
        <v>119</v>
      </c>
      <c r="AS21" s="353">
        <f t="shared" ca="1" si="23"/>
        <v>128</v>
      </c>
      <c r="AT21" s="353">
        <f t="shared" ca="1" si="24"/>
        <v>136</v>
      </c>
      <c r="AU21" s="192"/>
      <c r="AV21" s="192"/>
    </row>
    <row r="22" spans="1:48" ht="97.5" customHeight="1">
      <c r="A22" s="106" t="str">
        <f>B22_Assessment!$B$2&amp;""</f>
        <v>22</v>
      </c>
      <c r="B22" s="106" t="str">
        <f>"B22_Assessment"</f>
        <v>B22_Assessment</v>
      </c>
      <c r="C22" s="106" t="str">
        <f>B22_Assessment!$F$2</f>
        <v>Yellow</v>
      </c>
      <c r="D22" s="142">
        <f>B22_Assessment!$H$2</f>
        <v>0.5</v>
      </c>
      <c r="E22" s="142">
        <f>IFERROR(B22_Assessment!$H$2,0)</f>
        <v>0.5</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0">
        <f t="shared" ca="1" si="6"/>
        <v>0</v>
      </c>
      <c r="AA22" s="249" t="str">
        <f t="shared" ca="1" si="7"/>
        <v>Withhold / Review</v>
      </c>
      <c r="AB22" s="350">
        <f t="shared" ca="1" si="8"/>
        <v>0</v>
      </c>
      <c r="AC22" s="249" t="str">
        <f t="shared" ca="1" si="9"/>
        <v>Blocked</v>
      </c>
      <c r="AD22" s="249" t="str">
        <f ca="1">IF($AQ22=0,"Owner controls not mapped",IFERROR(IF(_xludf.TEXTJOIN("; ",TRUE,INDIRECT("'"&amp;$B22&amp;"'!F"&amp;$AQ22+2&amp;":F"&amp;$AQ22+9))="","No blocker documented",_xludf.TEXTJOIN("; ",TRUE,INDIRECT("'"&amp;$B22&amp;"'!F"&amp;$AQ22+2&amp;":F"&amp;$AQ22+9))),"No blocker documented"))</f>
        <v>No blocker documented</v>
      </c>
      <c r="AE22" s="350">
        <f t="shared" ca="1" si="10"/>
        <v>0.5</v>
      </c>
      <c r="AF22" s="249" t="str">
        <f t="shared" ca="1" si="11"/>
        <v>Deficiency / Review</v>
      </c>
      <c r="AG22" s="350">
        <f t="shared" ca="1" si="12"/>
        <v>0</v>
      </c>
      <c r="AH22" s="249" t="str">
        <f t="shared" ca="1" si="13"/>
        <v>Critical / Document</v>
      </c>
      <c r="AI22" s="350">
        <f t="shared" ca="1" si="14"/>
        <v>0</v>
      </c>
      <c r="AJ22" s="249" t="str">
        <f t="shared" ca="1" si="15"/>
        <v>Not Ready</v>
      </c>
      <c r="AK22" s="350">
        <f t="shared" ca="1" si="16"/>
        <v>0</v>
      </c>
      <c r="AL22" s="351">
        <f t="shared" ca="1" si="17"/>
        <v>6</v>
      </c>
      <c r="AM22" s="249" t="str">
        <f t="shared" ca="1" si="18"/>
        <v>Resolve OIT Blocker</v>
      </c>
      <c r="AN22" s="249" t="str">
        <f t="shared" ca="1" si="19"/>
        <v>🔴 ATTENTION</v>
      </c>
      <c r="AO22" s="350">
        <f t="shared" ca="1" si="25"/>
        <v>0.1</v>
      </c>
      <c r="AP22" s="353">
        <f t="shared" ca="1" si="20"/>
        <v>92</v>
      </c>
      <c r="AQ22" s="353">
        <f t="shared" ca="1" si="21"/>
        <v>101</v>
      </c>
      <c r="AR22" s="353">
        <f t="shared" ca="1" si="22"/>
        <v>113</v>
      </c>
      <c r="AS22" s="353">
        <f t="shared" ca="1" si="23"/>
        <v>122</v>
      </c>
      <c r="AT22" s="353">
        <f t="shared" ca="1" si="24"/>
        <v>130</v>
      </c>
      <c r="AU22" s="192"/>
      <c r="AV22" s="192"/>
    </row>
    <row r="23" spans="1:48" ht="97.5" customHeight="1">
      <c r="A23" s="106" t="str">
        <f>B33_Assessment!$B$2&amp;""</f>
        <v>33</v>
      </c>
      <c r="B23" s="106" t="str">
        <f>"B33_Assessment"</f>
        <v>B33_Assessment</v>
      </c>
      <c r="C23" s="106" t="str">
        <f>B33_Assessment!$F$2</f>
        <v>Yellow</v>
      </c>
      <c r="D23" s="142">
        <f>B33_Assessment!$H$2</f>
        <v>0.5</v>
      </c>
      <c r="E23" s="142">
        <f>IFERROR(B33_Assessment!$H$2,0)</f>
        <v>0.5</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0">
        <f t="shared" ca="1" si="6"/>
        <v>0</v>
      </c>
      <c r="AA23" s="249" t="str">
        <f t="shared" ca="1" si="7"/>
        <v>Withhold / Review</v>
      </c>
      <c r="AB23" s="350">
        <f t="shared" ca="1" si="8"/>
        <v>0</v>
      </c>
      <c r="AC23" s="249" t="str">
        <f t="shared" ca="1" si="9"/>
        <v>Blocked</v>
      </c>
      <c r="AD23" s="249" t="str">
        <f ca="1">IF($AQ23=0,"Owner controls not mapped",IFERROR(IF(_xludf.TEXTJOIN("; ",TRUE,INDIRECT("'"&amp;$B23&amp;"'!F"&amp;$AQ23+2&amp;":F"&amp;$AQ23+9))="","No blocker documented",_xludf.TEXTJOIN("; ",TRUE,INDIRECT("'"&amp;$B23&amp;"'!F"&amp;$AQ23+2&amp;":F"&amp;$AQ23+9))),"No blocker documented"))</f>
        <v>No blocker documented</v>
      </c>
      <c r="AE23" s="350">
        <f t="shared" ca="1" si="10"/>
        <v>0.5</v>
      </c>
      <c r="AF23" s="249" t="str">
        <f t="shared" ca="1" si="11"/>
        <v>Deficiency / Review</v>
      </c>
      <c r="AG23" s="350">
        <f t="shared" ca="1" si="12"/>
        <v>0</v>
      </c>
      <c r="AH23" s="249" t="str">
        <f t="shared" ca="1" si="13"/>
        <v>Critical / Document</v>
      </c>
      <c r="AI23" s="350">
        <f t="shared" ca="1" si="14"/>
        <v>0</v>
      </c>
      <c r="AJ23" s="249" t="str">
        <f t="shared" ca="1" si="15"/>
        <v>Not Ready</v>
      </c>
      <c r="AK23" s="350">
        <f t="shared" ca="1" si="16"/>
        <v>0</v>
      </c>
      <c r="AL23" s="351">
        <f t="shared" ca="1" si="17"/>
        <v>6</v>
      </c>
      <c r="AM23" s="249" t="str">
        <f t="shared" ca="1" si="18"/>
        <v>Resolve OIT Blocker</v>
      </c>
      <c r="AN23" s="249" t="str">
        <f t="shared" ca="1" si="19"/>
        <v>🔴 ATTENTION</v>
      </c>
      <c r="AO23" s="350">
        <f t="shared" ca="1" si="25"/>
        <v>0.1</v>
      </c>
      <c r="AP23" s="353">
        <f t="shared" ca="1" si="20"/>
        <v>91</v>
      </c>
      <c r="AQ23" s="353">
        <f t="shared" ca="1" si="21"/>
        <v>100</v>
      </c>
      <c r="AR23" s="353">
        <f t="shared" ca="1" si="22"/>
        <v>112</v>
      </c>
      <c r="AS23" s="353">
        <f t="shared" ca="1" si="23"/>
        <v>121</v>
      </c>
      <c r="AT23" s="353">
        <f t="shared" ca="1" si="24"/>
        <v>129</v>
      </c>
      <c r="AU23" s="192"/>
      <c r="AV23" s="192"/>
    </row>
    <row r="24" spans="1:48" ht="97.5"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0">
        <f t="shared" ca="1" si="6"/>
        <v>0</v>
      </c>
      <c r="AA24" s="249" t="str">
        <f t="shared" ca="1" si="7"/>
        <v>Withhold / Review</v>
      </c>
      <c r="AB24" s="350">
        <f t="shared" ca="1" si="8"/>
        <v>0</v>
      </c>
      <c r="AC24" s="249" t="str">
        <f t="shared" ca="1" si="9"/>
        <v>Blocked</v>
      </c>
      <c r="AD24" s="249" t="str">
        <f ca="1">IF($AQ24=0,"Owner controls not mapped",IFERROR(IF(_xludf.TEXTJOIN("; ",TRUE,INDIRECT("'"&amp;$B24&amp;"'!F"&amp;$AQ24+2&amp;":F"&amp;$AQ24+9))="","No blocker documented",_xludf.TEXTJOIN("; ",TRUE,INDIRECT("'"&amp;$B24&amp;"'!F"&amp;$AQ24+2&amp;":F"&amp;$AQ24+9))),"No blocker documented"))</f>
        <v>No blocker documented</v>
      </c>
      <c r="AE24" s="350">
        <f t="shared" ca="1" si="10"/>
        <v>0</v>
      </c>
      <c r="AF24" s="249" t="str">
        <f t="shared" ca="1" si="11"/>
        <v>Deficiency / Review</v>
      </c>
      <c r="AG24" s="350">
        <f t="shared" ca="1" si="12"/>
        <v>0</v>
      </c>
      <c r="AH24" s="249" t="str">
        <f t="shared" ca="1" si="13"/>
        <v>Critical / Document</v>
      </c>
      <c r="AI24" s="350">
        <f t="shared" ca="1" si="14"/>
        <v>0</v>
      </c>
      <c r="AJ24" s="249" t="str">
        <f t="shared" ca="1" si="15"/>
        <v>Not Ready</v>
      </c>
      <c r="AK24" s="350">
        <f t="shared" ca="1" si="16"/>
        <v>0</v>
      </c>
      <c r="AL24" s="351">
        <f t="shared" ca="1" si="17"/>
        <v>0</v>
      </c>
      <c r="AM24" s="249" t="str">
        <f t="shared" ca="1" si="18"/>
        <v>Resolve OIT Blocker</v>
      </c>
      <c r="AN24" s="249" t="str">
        <f t="shared" ca="1" si="19"/>
        <v>🔴 ATTENTION</v>
      </c>
      <c r="AO24" s="350">
        <f t="shared" ca="1" si="25"/>
        <v>0</v>
      </c>
      <c r="AP24" s="353">
        <f t="shared" ca="1" si="20"/>
        <v>97</v>
      </c>
      <c r="AQ24" s="353">
        <f t="shared" ca="1" si="21"/>
        <v>106</v>
      </c>
      <c r="AR24" s="353">
        <f t="shared" ca="1" si="22"/>
        <v>118</v>
      </c>
      <c r="AS24" s="353">
        <f t="shared" ca="1" si="23"/>
        <v>127</v>
      </c>
      <c r="AT24" s="353">
        <f t="shared" ca="1" si="24"/>
        <v>135</v>
      </c>
      <c r="AU24" s="192"/>
      <c r="AV24" s="192"/>
    </row>
    <row r="25" spans="1:48" ht="97.5" customHeight="1">
      <c r="A25" s="106" t="str">
        <f>B62_TR_Assessment!$B$2&amp;""</f>
        <v>62</v>
      </c>
      <c r="B25" s="106" t="str">
        <f>"B62_TR_Assessment"</f>
        <v>B62_TR_Assessment</v>
      </c>
      <c r="C25" s="106" t="str">
        <f>B62_TR_Assessment!$F$2</f>
        <v>Yellow</v>
      </c>
      <c r="D25" s="142">
        <f>B62_TR_Assessment!$H$2</f>
        <v>0.5</v>
      </c>
      <c r="E25" s="142">
        <f>IFERROR(B62_TR_Assessment!$H$2,0)</f>
        <v>0.5</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0">
        <f t="shared" ca="1" si="6"/>
        <v>0</v>
      </c>
      <c r="AA25" s="249" t="str">
        <f t="shared" ca="1" si="7"/>
        <v>Withhold / Review</v>
      </c>
      <c r="AB25" s="350">
        <f t="shared" ca="1" si="8"/>
        <v>0</v>
      </c>
      <c r="AC25" s="249" t="str">
        <f t="shared" ca="1" si="9"/>
        <v>Blocked</v>
      </c>
      <c r="AD25" s="249" t="str">
        <f ca="1">IF($AQ25=0,"Owner controls not mapped",IFERROR(IF(_xludf.TEXTJOIN("; ",TRUE,INDIRECT("'"&amp;$B25&amp;"'!F"&amp;$AQ25+2&amp;":F"&amp;$AQ25+9))="","No blocker documented",_xludf.TEXTJOIN("; ",TRUE,INDIRECT("'"&amp;$B25&amp;"'!F"&amp;$AQ25+2&amp;":F"&amp;$AQ25+9))),"No blocker documented"))</f>
        <v>No blocker documented</v>
      </c>
      <c r="AE25" s="350">
        <f t="shared" ca="1" si="10"/>
        <v>0.5</v>
      </c>
      <c r="AF25" s="249" t="str">
        <f t="shared" ca="1" si="11"/>
        <v>Deficiency / Review</v>
      </c>
      <c r="AG25" s="350">
        <f t="shared" ca="1" si="12"/>
        <v>0</v>
      </c>
      <c r="AH25" s="249" t="str">
        <f t="shared" ca="1" si="13"/>
        <v>Critical / Document</v>
      </c>
      <c r="AI25" s="350">
        <f t="shared" ca="1" si="14"/>
        <v>0</v>
      </c>
      <c r="AJ25" s="249" t="str">
        <f t="shared" ca="1" si="15"/>
        <v>Not Ready</v>
      </c>
      <c r="AK25" s="350">
        <f t="shared" ca="1" si="16"/>
        <v>0</v>
      </c>
      <c r="AL25" s="351">
        <f t="shared" ca="1" si="17"/>
        <v>6</v>
      </c>
      <c r="AM25" s="249" t="str">
        <f t="shared" ca="1" si="18"/>
        <v>Resolve OIT Blocker</v>
      </c>
      <c r="AN25" s="249" t="str">
        <f t="shared" ca="1" si="19"/>
        <v>🔴 ATTENTION</v>
      </c>
      <c r="AO25" s="350">
        <f t="shared" ca="1" si="25"/>
        <v>0.1</v>
      </c>
      <c r="AP25" s="353">
        <f t="shared" ca="1" si="20"/>
        <v>80</v>
      </c>
      <c r="AQ25" s="353">
        <f t="shared" ca="1" si="21"/>
        <v>89</v>
      </c>
      <c r="AR25" s="353">
        <f t="shared" ca="1" si="22"/>
        <v>101</v>
      </c>
      <c r="AS25" s="353">
        <f t="shared" ca="1" si="23"/>
        <v>110</v>
      </c>
      <c r="AT25" s="353">
        <f t="shared" ca="1" si="24"/>
        <v>118</v>
      </c>
      <c r="AU25" s="192"/>
      <c r="AV25" s="192"/>
    </row>
    <row r="26" spans="1:48" ht="97.5" customHeight="1">
      <c r="A26" s="106" t="str">
        <f>B70_TR_Assessment!$B$2&amp;""</f>
        <v>70</v>
      </c>
      <c r="B26" s="106" t="str">
        <f>"B70_TR_Assessment"</f>
        <v>B70_TR_Assessment</v>
      </c>
      <c r="C26" s="106" t="str">
        <f>B70_TR_Assessment!$F$2</f>
        <v>Yellow</v>
      </c>
      <c r="D26" s="142">
        <f>B70_TR_Assessment!$H$2</f>
        <v>0.5</v>
      </c>
      <c r="E26" s="142">
        <f>IFERROR(B70_TR_Assessment!$H$2,0)</f>
        <v>0.5</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0">
        <f t="shared" ca="1" si="6"/>
        <v>0</v>
      </c>
      <c r="AA26" s="249" t="str">
        <f t="shared" ca="1" si="7"/>
        <v>Withhold / Review</v>
      </c>
      <c r="AB26" s="350">
        <f t="shared" ca="1" si="8"/>
        <v>0</v>
      </c>
      <c r="AC26" s="249" t="str">
        <f t="shared" ca="1" si="9"/>
        <v>Blocked</v>
      </c>
      <c r="AD26" s="249" t="str">
        <f ca="1">IF($AQ26=0,"Owner controls not mapped",IFERROR(IF(_xludf.TEXTJOIN("; ",TRUE,INDIRECT("'"&amp;$B26&amp;"'!F"&amp;$AQ26+2&amp;":F"&amp;$AQ26+9))="","No blocker documented",_xludf.TEXTJOIN("; ",TRUE,INDIRECT("'"&amp;$B26&amp;"'!F"&amp;$AQ26+2&amp;":F"&amp;$AQ26+9))),"No blocker documented"))</f>
        <v>No blocker documented</v>
      </c>
      <c r="AE26" s="350">
        <f t="shared" ca="1" si="10"/>
        <v>0.5</v>
      </c>
      <c r="AF26" s="249" t="str">
        <f t="shared" ca="1" si="11"/>
        <v>Deficiency / Review</v>
      </c>
      <c r="AG26" s="350">
        <f t="shared" ca="1" si="12"/>
        <v>0</v>
      </c>
      <c r="AH26" s="249" t="str">
        <f t="shared" ca="1" si="13"/>
        <v>Critical / Document</v>
      </c>
      <c r="AI26" s="350">
        <f t="shared" ca="1" si="14"/>
        <v>0</v>
      </c>
      <c r="AJ26" s="249" t="str">
        <f t="shared" ca="1" si="15"/>
        <v>Not Ready</v>
      </c>
      <c r="AK26" s="350">
        <f t="shared" ca="1" si="16"/>
        <v>0</v>
      </c>
      <c r="AL26" s="351">
        <f t="shared" ca="1" si="17"/>
        <v>6</v>
      </c>
      <c r="AM26" s="249" t="str">
        <f t="shared" ca="1" si="18"/>
        <v>Resolve OIT Blocker</v>
      </c>
      <c r="AN26" s="249" t="str">
        <f t="shared" ca="1" si="19"/>
        <v>🔴 ATTENTION</v>
      </c>
      <c r="AO26" s="350">
        <f t="shared" ca="1" si="25"/>
        <v>0.1</v>
      </c>
      <c r="AP26" s="353">
        <f t="shared" ca="1" si="20"/>
        <v>84</v>
      </c>
      <c r="AQ26" s="353">
        <f t="shared" ca="1" si="21"/>
        <v>93</v>
      </c>
      <c r="AR26" s="353">
        <f t="shared" ca="1" si="22"/>
        <v>105</v>
      </c>
      <c r="AS26" s="353">
        <f t="shared" ca="1" si="23"/>
        <v>114</v>
      </c>
      <c r="AT26" s="353">
        <f t="shared" ca="1" si="24"/>
        <v>122</v>
      </c>
      <c r="AU26" s="192"/>
      <c r="AV26" s="192"/>
    </row>
    <row r="27" spans="1:48" ht="97.5" customHeight="1">
      <c r="A27" s="106" t="str">
        <f>B78_Assessment!$B$2&amp;""</f>
        <v>78</v>
      </c>
      <c r="B27" s="106" t="str">
        <f>"B78_Assessment"</f>
        <v>B78_Assessment</v>
      </c>
      <c r="C27" s="106" t="str">
        <f>B78_Assessment!$F$2</f>
        <v>Yellow</v>
      </c>
      <c r="D27" s="142">
        <f>B78_Assessment!$H$2</f>
        <v>0.5</v>
      </c>
      <c r="E27" s="142">
        <f>IFERROR(B78_Assessment!$H$2,0)</f>
        <v>0.5</v>
      </c>
      <c r="F27" s="106" t="str">
        <f>B78_Assessment!$J$2</f>
        <v>No</v>
      </c>
      <c r="G27" s="106">
        <f>MAX(0,COUNTA(B78_Assessment!$A$10:$A$49)-COUNTIF(B78_Assessment!$A$10:$A$49,"*. *"))</f>
        <v>32</v>
      </c>
      <c r="H27" s="106">
        <f>IFERROR(B78_Assessment!$B$4,0)</f>
        <v>0</v>
      </c>
      <c r="I27" s="106">
        <f>IFERROR(B78_Assessment!$D$4,0)</f>
        <v>0</v>
      </c>
      <c r="J27" s="106">
        <f>SUMPRODUCT(--(ISNUMBER(SEARCH("-P",B78_Assessment!$A$1:$A$300&amp;""))),--((B78_Assessment!$I$1:$I$300="Open")+(B78_Assessment!$I$1:$I$300="In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0">
        <f t="shared" ca="1" si="6"/>
        <v>0</v>
      </c>
      <c r="AA27" s="249" t="str">
        <f t="shared" ca="1" si="7"/>
        <v>Withhold / Review</v>
      </c>
      <c r="AB27" s="350">
        <f t="shared" ca="1" si="8"/>
        <v>0</v>
      </c>
      <c r="AC27" s="249" t="str">
        <f t="shared" ca="1" si="9"/>
        <v>Blocked</v>
      </c>
      <c r="AD27" s="249" t="str">
        <f ca="1">IF($AQ27=0,"Owner controls not mapped",IFERROR(IF(_xludf.TEXTJOIN("; ",TRUE,INDIRECT("'"&amp;$B27&amp;"'!F"&amp;$AQ27+2&amp;":F"&amp;$AQ27+9))="","No blocker documented",_xludf.TEXTJOIN("; ",TRUE,INDIRECT("'"&amp;$B27&amp;"'!F"&amp;$AQ27+2&amp;":F"&amp;$AQ27+9))),"No blocker documented"))</f>
        <v>No blocker documented</v>
      </c>
      <c r="AE27" s="350">
        <f t="shared" ca="1" si="10"/>
        <v>0.5</v>
      </c>
      <c r="AF27" s="249" t="str">
        <f t="shared" ca="1" si="11"/>
        <v>Deficiency / Review</v>
      </c>
      <c r="AG27" s="350">
        <f t="shared" ca="1" si="12"/>
        <v>0</v>
      </c>
      <c r="AH27" s="249" t="str">
        <f t="shared" ca="1" si="13"/>
        <v>Critical / Document</v>
      </c>
      <c r="AI27" s="350">
        <f t="shared" ca="1" si="14"/>
        <v>0</v>
      </c>
      <c r="AJ27" s="249" t="str">
        <f t="shared" ca="1" si="15"/>
        <v>Not Ready</v>
      </c>
      <c r="AK27" s="350">
        <f t="shared" ca="1" si="16"/>
        <v>0</v>
      </c>
      <c r="AL27" s="351">
        <f t="shared" ca="1" si="17"/>
        <v>6</v>
      </c>
      <c r="AM27" s="249" t="str">
        <f t="shared" ca="1" si="18"/>
        <v>Resolve OIT Blocker</v>
      </c>
      <c r="AN27" s="249" t="str">
        <f t="shared" ca="1" si="19"/>
        <v>🔴 ATTENTION</v>
      </c>
      <c r="AO27" s="350">
        <f t="shared" ca="1" si="25"/>
        <v>0.1</v>
      </c>
      <c r="AP27" s="353">
        <f t="shared" ca="1" si="20"/>
        <v>132</v>
      </c>
      <c r="AQ27" s="353">
        <f t="shared" ca="1" si="21"/>
        <v>141</v>
      </c>
      <c r="AR27" s="353">
        <f t="shared" ca="1" si="22"/>
        <v>153</v>
      </c>
      <c r="AS27" s="353">
        <f t="shared" ca="1" si="23"/>
        <v>162</v>
      </c>
      <c r="AT27" s="353">
        <f t="shared" ca="1" si="24"/>
        <v>170</v>
      </c>
      <c r="AU27" s="192"/>
      <c r="AV27" s="192"/>
    </row>
    <row r="28" spans="1:48" ht="97.5" customHeight="1">
      <c r="A28" s="106" t="str">
        <f>B80_Assessment!$B$2&amp;""</f>
        <v>80</v>
      </c>
      <c r="B28" s="106" t="str">
        <f>"B80_Assessment"</f>
        <v>B80_Assessment</v>
      </c>
      <c r="C28" s="106" t="str">
        <f>B80_Assessment!$F$2</f>
        <v>Yellow</v>
      </c>
      <c r="D28" s="142">
        <f>B80_Assessment!$H$2</f>
        <v>0.5</v>
      </c>
      <c r="E28" s="142">
        <f>IFERROR(B80_Assessment!$H$2,0)</f>
        <v>0.5</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0">
        <f t="shared" ca="1" si="6"/>
        <v>0</v>
      </c>
      <c r="AA28" s="249" t="str">
        <f t="shared" ca="1" si="7"/>
        <v>Withhold / Review</v>
      </c>
      <c r="AB28" s="350">
        <f t="shared" ca="1" si="8"/>
        <v>0</v>
      </c>
      <c r="AC28" s="249" t="str">
        <f t="shared" ca="1" si="9"/>
        <v>Blocked</v>
      </c>
      <c r="AD28" s="249" t="str">
        <f ca="1">IF($AQ28=0,"Owner controls not mapped",IFERROR(IF(_xludf.TEXTJOIN("; ",TRUE,INDIRECT("'"&amp;$B28&amp;"'!F"&amp;$AQ28+2&amp;":F"&amp;$AQ28+9))="","No blocker documented",_xludf.TEXTJOIN("; ",TRUE,INDIRECT("'"&amp;$B28&amp;"'!F"&amp;$AQ28+2&amp;":F"&amp;$AQ28+9))),"No blocker documented"))</f>
        <v>No blocker documented</v>
      </c>
      <c r="AE28" s="350">
        <f t="shared" ca="1" si="10"/>
        <v>0.5</v>
      </c>
      <c r="AF28" s="249" t="str">
        <f t="shared" ca="1" si="11"/>
        <v>Deficiency / Review</v>
      </c>
      <c r="AG28" s="350">
        <f t="shared" ca="1" si="12"/>
        <v>0</v>
      </c>
      <c r="AH28" s="249" t="str">
        <f t="shared" ca="1" si="13"/>
        <v>Critical / Document</v>
      </c>
      <c r="AI28" s="350">
        <f t="shared" ca="1" si="14"/>
        <v>0</v>
      </c>
      <c r="AJ28" s="249" t="str">
        <f t="shared" ca="1" si="15"/>
        <v>Not Ready</v>
      </c>
      <c r="AK28" s="350">
        <f t="shared" ca="1" si="16"/>
        <v>0</v>
      </c>
      <c r="AL28" s="351">
        <f t="shared" ca="1" si="17"/>
        <v>6</v>
      </c>
      <c r="AM28" s="249" t="str">
        <f t="shared" ca="1" si="18"/>
        <v>Resolve OIT Blocker</v>
      </c>
      <c r="AN28" s="249" t="str">
        <f t="shared" ca="1" si="19"/>
        <v>🔴 ATTENTION</v>
      </c>
      <c r="AO28" s="350">
        <f t="shared" ca="1" si="25"/>
        <v>0.1</v>
      </c>
      <c r="AP28" s="353">
        <f t="shared" ca="1" si="20"/>
        <v>91</v>
      </c>
      <c r="AQ28" s="353">
        <f t="shared" ca="1" si="21"/>
        <v>100</v>
      </c>
      <c r="AR28" s="353">
        <f t="shared" ca="1" si="22"/>
        <v>112</v>
      </c>
      <c r="AS28" s="353">
        <f t="shared" ca="1" si="23"/>
        <v>121</v>
      </c>
      <c r="AT28" s="353">
        <f t="shared" ca="1" si="24"/>
        <v>129</v>
      </c>
      <c r="AU28" s="192"/>
      <c r="AV28" s="192"/>
    </row>
    <row r="29" spans="1:48" ht="97.5" customHeight="1">
      <c r="A29" s="106" t="str">
        <f>B82_Assessment!$B$2&amp;""</f>
        <v>82</v>
      </c>
      <c r="B29" s="106" t="str">
        <f>"B82_Assessment"</f>
        <v>B82_Assessment</v>
      </c>
      <c r="C29" s="106" t="str">
        <f>B82_Assessment!$F$2</f>
        <v>Yellow</v>
      </c>
      <c r="D29" s="142">
        <f>B82_Assessment!$H$2</f>
        <v>0.5</v>
      </c>
      <c r="E29" s="142">
        <f>IFERROR(B82_Assessment!$H$2,0)</f>
        <v>0.5</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0">
        <f t="shared" ca="1" si="6"/>
        <v>0</v>
      </c>
      <c r="AA29" s="249" t="str">
        <f t="shared" ca="1" si="7"/>
        <v>Withhold / Review</v>
      </c>
      <c r="AB29" s="350">
        <f t="shared" ca="1" si="8"/>
        <v>0</v>
      </c>
      <c r="AC29" s="249" t="str">
        <f t="shared" ca="1" si="9"/>
        <v>Blocked</v>
      </c>
      <c r="AD29" s="249" t="str">
        <f ca="1">IF($AQ29=0,"Owner controls not mapped",IFERROR(IF(_xludf.TEXTJOIN("; ",TRUE,INDIRECT("'"&amp;$B29&amp;"'!F"&amp;$AQ29+2&amp;":F"&amp;$AQ29+9))="","No blocker documented",_xludf.TEXTJOIN("; ",TRUE,INDIRECT("'"&amp;$B29&amp;"'!F"&amp;$AQ29+2&amp;":F"&amp;$AQ29+9))),"No blocker documented"))</f>
        <v>No blocker documented</v>
      </c>
      <c r="AE29" s="350">
        <f t="shared" ca="1" si="10"/>
        <v>0.5</v>
      </c>
      <c r="AF29" s="249" t="str">
        <f t="shared" ca="1" si="11"/>
        <v>Deficiency / Review</v>
      </c>
      <c r="AG29" s="350">
        <f t="shared" ca="1" si="12"/>
        <v>0</v>
      </c>
      <c r="AH29" s="249" t="str">
        <f t="shared" ca="1" si="13"/>
        <v>Critical / Document</v>
      </c>
      <c r="AI29" s="350">
        <f t="shared" ca="1" si="14"/>
        <v>0</v>
      </c>
      <c r="AJ29" s="249" t="str">
        <f t="shared" ca="1" si="15"/>
        <v>Not Ready</v>
      </c>
      <c r="AK29" s="350">
        <f t="shared" ca="1" si="16"/>
        <v>0</v>
      </c>
      <c r="AL29" s="351">
        <f t="shared" ca="1" si="17"/>
        <v>6</v>
      </c>
      <c r="AM29" s="249" t="str">
        <f t="shared" ca="1" si="18"/>
        <v>Resolve OIT Blocker</v>
      </c>
      <c r="AN29" s="249" t="str">
        <f t="shared" ca="1" si="19"/>
        <v>🔴 ATTENTION</v>
      </c>
      <c r="AO29" s="350">
        <f t="shared" ca="1" si="25"/>
        <v>0.1</v>
      </c>
      <c r="AP29" s="353">
        <f t="shared" ca="1" si="20"/>
        <v>91</v>
      </c>
      <c r="AQ29" s="353">
        <f t="shared" ca="1" si="21"/>
        <v>100</v>
      </c>
      <c r="AR29" s="353">
        <f t="shared" ca="1" si="22"/>
        <v>112</v>
      </c>
      <c r="AS29" s="353">
        <f t="shared" ca="1" si="23"/>
        <v>121</v>
      </c>
      <c r="AT29" s="353">
        <f t="shared" ca="1" si="24"/>
        <v>129</v>
      </c>
      <c r="AU29" s="192"/>
      <c r="AV29" s="192"/>
    </row>
    <row r="30" spans="1:48" ht="97.5" customHeight="1">
      <c r="A30" s="106" t="str">
        <f>BCH_Assessment!$B$2&amp;""</f>
        <v>BCH</v>
      </c>
      <c r="B30" s="106" t="str">
        <f>"BCH_Assessment"</f>
        <v>BCH_Assessment</v>
      </c>
      <c r="C30" s="106" t="str">
        <f>BCH_Assessment!$F$2</f>
        <v>Yellow</v>
      </c>
      <c r="D30" s="142">
        <f>BCH_Assessment!$H$2</f>
        <v>0.5</v>
      </c>
      <c r="E30" s="142">
        <f>IFERROR(BCH_Assessment!$H$2,0)</f>
        <v>0.5</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0">
        <f t="shared" ca="1" si="6"/>
        <v>0</v>
      </c>
      <c r="AA30" s="249" t="str">
        <f t="shared" ca="1" si="7"/>
        <v>Withhold / Review</v>
      </c>
      <c r="AB30" s="350">
        <f t="shared" ca="1" si="8"/>
        <v>0</v>
      </c>
      <c r="AC30" s="249" t="str">
        <f t="shared" ca="1" si="9"/>
        <v>Blocked</v>
      </c>
      <c r="AD30" s="249" t="str">
        <f ca="1">IF($AQ30=0,"Owner controls not mapped",IFERROR(IF(_xludf.TEXTJOIN("; ",TRUE,INDIRECT("'"&amp;$B30&amp;"'!F"&amp;$AQ30+2&amp;":F"&amp;$AQ30+9))="","No blocker documented",_xludf.TEXTJOIN("; ",TRUE,INDIRECT("'"&amp;$B30&amp;"'!F"&amp;$AQ30+2&amp;":F"&amp;$AQ30+9))),"No blocker documented"))</f>
        <v>No blocker documented</v>
      </c>
      <c r="AE30" s="350">
        <f t="shared" ca="1" si="10"/>
        <v>0.5</v>
      </c>
      <c r="AF30" s="249" t="str">
        <f t="shared" ca="1" si="11"/>
        <v>Deficiency / Review</v>
      </c>
      <c r="AG30" s="350">
        <f t="shared" ca="1" si="12"/>
        <v>0</v>
      </c>
      <c r="AH30" s="249" t="str">
        <f t="shared" ca="1" si="13"/>
        <v>Critical / Document</v>
      </c>
      <c r="AI30" s="350">
        <f t="shared" ca="1" si="14"/>
        <v>0</v>
      </c>
      <c r="AJ30" s="249" t="str">
        <f t="shared" ca="1" si="15"/>
        <v>Not Ready</v>
      </c>
      <c r="AK30" s="350">
        <f t="shared" ca="1" si="16"/>
        <v>0</v>
      </c>
      <c r="AL30" s="351">
        <f t="shared" ca="1" si="17"/>
        <v>6</v>
      </c>
      <c r="AM30" s="249" t="str">
        <f t="shared" ca="1" si="18"/>
        <v>Resolve OIT Blocker</v>
      </c>
      <c r="AN30" s="249" t="str">
        <f t="shared" ca="1" si="19"/>
        <v>🔴 ATTENTION</v>
      </c>
      <c r="AO30" s="350">
        <f t="shared" ca="1" si="25"/>
        <v>0.1</v>
      </c>
      <c r="AP30" s="353">
        <f t="shared" ca="1" si="20"/>
        <v>92</v>
      </c>
      <c r="AQ30" s="353">
        <f t="shared" ca="1" si="21"/>
        <v>101</v>
      </c>
      <c r="AR30" s="353">
        <f t="shared" ca="1" si="22"/>
        <v>113</v>
      </c>
      <c r="AS30" s="353">
        <f t="shared" ca="1" si="23"/>
        <v>122</v>
      </c>
      <c r="AT30" s="353">
        <f t="shared" ca="1" si="24"/>
        <v>130</v>
      </c>
      <c r="AU30" s="192"/>
      <c r="AV30" s="192"/>
    </row>
    <row r="31" spans="1:48" ht="97.5" customHeight="1">
      <c r="A31" s="106" t="str">
        <f>MCR_Assessment!$B$2&amp;""</f>
        <v>MCR</v>
      </c>
      <c r="B31" s="106" t="str">
        <f>"MCR_Assessment"</f>
        <v>MCR_Assessment</v>
      </c>
      <c r="C31" s="106" t="str">
        <f>MCR_Assessment!$F$2</f>
        <v>Yellow</v>
      </c>
      <c r="D31" s="142">
        <f>MCR_Assessment!$H$2</f>
        <v>0.5</v>
      </c>
      <c r="E31" s="142">
        <f>IFERROR(MCR_Assessment!$H$2,0)</f>
        <v>0.5</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0">
        <f t="shared" ca="1" si="6"/>
        <v>0</v>
      </c>
      <c r="AA31" s="249" t="str">
        <f t="shared" ca="1" si="7"/>
        <v>Withhold / Review</v>
      </c>
      <c r="AB31" s="350">
        <f t="shared" ca="1" si="8"/>
        <v>0</v>
      </c>
      <c r="AC31" s="249" t="str">
        <f t="shared" ca="1" si="9"/>
        <v>Blocked</v>
      </c>
      <c r="AD31" s="249" t="str">
        <f ca="1">IF($AQ31=0,"Owner controls not mapped",IFERROR(IF(_xludf.TEXTJOIN("; ",TRUE,INDIRECT("'"&amp;$B31&amp;"'!F"&amp;$AQ31+2&amp;":F"&amp;$AQ31+9))="","No blocker documented",_xludf.TEXTJOIN("; ",TRUE,INDIRECT("'"&amp;$B31&amp;"'!F"&amp;$AQ31+2&amp;":F"&amp;$AQ31+9))),"No blocker documented"))</f>
        <v>No blocker documented</v>
      </c>
      <c r="AE31" s="350">
        <f t="shared" ca="1" si="10"/>
        <v>0.5</v>
      </c>
      <c r="AF31" s="249" t="str">
        <f t="shared" ca="1" si="11"/>
        <v>Deficiency / Review</v>
      </c>
      <c r="AG31" s="350">
        <f t="shared" ca="1" si="12"/>
        <v>0</v>
      </c>
      <c r="AH31" s="249" t="str">
        <f t="shared" ca="1" si="13"/>
        <v>Critical / Document</v>
      </c>
      <c r="AI31" s="350">
        <f t="shared" ca="1" si="14"/>
        <v>0</v>
      </c>
      <c r="AJ31" s="249" t="str">
        <f t="shared" ca="1" si="15"/>
        <v>Not Ready</v>
      </c>
      <c r="AK31" s="350">
        <f t="shared" ca="1" si="16"/>
        <v>0</v>
      </c>
      <c r="AL31" s="351">
        <f t="shared" ca="1" si="17"/>
        <v>6</v>
      </c>
      <c r="AM31" s="249" t="str">
        <f t="shared" ca="1" si="18"/>
        <v>Resolve OIT Blocker</v>
      </c>
      <c r="AN31" s="249" t="str">
        <f t="shared" ca="1" si="19"/>
        <v>🔴 ATTENTION</v>
      </c>
      <c r="AO31" s="350">
        <f t="shared" ca="1" si="25"/>
        <v>0.1</v>
      </c>
      <c r="AP31" s="353">
        <f t="shared" ca="1" si="20"/>
        <v>118</v>
      </c>
      <c r="AQ31" s="353">
        <f t="shared" ca="1" si="21"/>
        <v>127</v>
      </c>
      <c r="AR31" s="353">
        <f t="shared" ca="1" si="22"/>
        <v>139</v>
      </c>
      <c r="AS31" s="353">
        <f t="shared" ca="1" si="23"/>
        <v>148</v>
      </c>
      <c r="AT31" s="353">
        <f t="shared" ca="1" si="24"/>
        <v>156</v>
      </c>
      <c r="AU31" s="192"/>
      <c r="AV31" s="192"/>
    </row>
    <row r="32" spans="1:48" ht="97.5" customHeight="1">
      <c r="A32" s="106" t="str">
        <f>SITE_Assesment!$B$2&amp;""</f>
        <v>SITE</v>
      </c>
      <c r="B32" s="106" t="str">
        <f>"SITE_Assesment"</f>
        <v>SITE_Assesment</v>
      </c>
      <c r="C32" s="106" t="str">
        <f>SITE_Assesment!$F$2</f>
        <v>Yellow</v>
      </c>
      <c r="D32" s="142">
        <f>SITE_Assesment!$H$2</f>
        <v>0.5</v>
      </c>
      <c r="E32" s="142">
        <f>IFERROR(SITE_Assesment!$H$2,0)</f>
        <v>0.5</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0">
        <f t="shared" ca="1" si="6"/>
        <v>0</v>
      </c>
      <c r="AA32" s="249" t="str">
        <f t="shared" ca="1" si="7"/>
        <v>Withhold / Review</v>
      </c>
      <c r="AB32" s="350">
        <f t="shared" ca="1" si="8"/>
        <v>0</v>
      </c>
      <c r="AC32" s="249" t="str">
        <f t="shared" ca="1" si="9"/>
        <v>Blocked</v>
      </c>
      <c r="AD32" s="249" t="str">
        <f ca="1">IF($AQ32=0,"Owner controls not mapped",IFERROR(IF(_xludf.TEXTJOIN("; ",TRUE,INDIRECT("'"&amp;$B32&amp;"'!F"&amp;$AQ32+2&amp;":F"&amp;$AQ32+9))="","No blocker documented",_xludf.TEXTJOIN("; ",TRUE,INDIRECT("'"&amp;$B32&amp;"'!F"&amp;$AQ32+2&amp;":F"&amp;$AQ32+9))),"No blocker documented"))</f>
        <v>No blocker documented</v>
      </c>
      <c r="AE32" s="350">
        <f t="shared" ca="1" si="10"/>
        <v>0.5</v>
      </c>
      <c r="AF32" s="249" t="str">
        <f t="shared" ca="1" si="11"/>
        <v>Deficiency / Review</v>
      </c>
      <c r="AG32" s="350">
        <f t="shared" ca="1" si="12"/>
        <v>0</v>
      </c>
      <c r="AH32" s="249" t="str">
        <f t="shared" ca="1" si="13"/>
        <v>Critical / Document</v>
      </c>
      <c r="AI32" s="350">
        <f t="shared" ca="1" si="14"/>
        <v>0</v>
      </c>
      <c r="AJ32" s="249" t="str">
        <f t="shared" ca="1" si="15"/>
        <v>Not Ready</v>
      </c>
      <c r="AK32" s="350">
        <f t="shared" ca="1" si="16"/>
        <v>0</v>
      </c>
      <c r="AL32" s="351">
        <f t="shared" ca="1" si="17"/>
        <v>6</v>
      </c>
      <c r="AM32" s="249" t="str">
        <f t="shared" ca="1" si="18"/>
        <v>Resolve OIT Blocker</v>
      </c>
      <c r="AN32" s="249" t="str">
        <f t="shared" ca="1" si="19"/>
        <v>🔴 ATTENTION</v>
      </c>
      <c r="AO32" s="350">
        <f t="shared" ca="1" si="25"/>
        <v>0.1</v>
      </c>
      <c r="AP32" s="353">
        <f t="shared" ca="1" si="20"/>
        <v>116</v>
      </c>
      <c r="AQ32" s="353">
        <f t="shared" ca="1" si="21"/>
        <v>125</v>
      </c>
      <c r="AR32" s="353">
        <f t="shared" ca="1" si="22"/>
        <v>137</v>
      </c>
      <c r="AS32" s="353">
        <f t="shared" ca="1" si="23"/>
        <v>146</v>
      </c>
      <c r="AT32" s="353">
        <f t="shared" ca="1" si="24"/>
        <v>154</v>
      </c>
      <c r="AU32" s="192"/>
      <c r="AV32" s="192"/>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6">"B33_Assessment"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6"/>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Open</v>
      </c>
      <c r="L196" s="106" t="str">
        <f>B61_Assessment!$J$59</f>
        <v>Large multi-room scope with active demarc/server equipment.</v>
      </c>
    </row>
    <row r="197" spans="1:12" ht="97.5" customHeight="1">
      <c r="A197" s="106" t="str">
        <f>B61_Assessment!$B$2</f>
        <v>61</v>
      </c>
      <c r="B197" s="106" t="str">
        <f t="shared" si="26"/>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Open</v>
      </c>
      <c r="L197" s="106" t="str">
        <f>B61_Assessment!$J$60</f>
        <v>Drawing index includes 61H-101 and 61H-102 hazardous material abatement plans.</v>
      </c>
    </row>
    <row r="198" spans="1:12" ht="97.5" customHeight="1">
      <c r="A198" s="106" t="str">
        <f>B61_Assessment!$B$2</f>
        <v>61</v>
      </c>
      <c r="B198" s="106" t="str">
        <f t="shared" si="26"/>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Open</v>
      </c>
      <c r="L198" s="106" t="str">
        <f>B61_Assessment!$J$61</f>
        <v>Existing APC/Fujitsu/rack/patch equipment shown in Room 137 inventory/rack elevations.</v>
      </c>
    </row>
    <row r="199" spans="1:12" ht="97.5" customHeight="1">
      <c r="A199" s="106" t="str">
        <f>B61_Assessment!$B$2</f>
        <v>61</v>
      </c>
      <c r="B199" s="106" t="str">
        <f t="shared" si="26"/>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Open</v>
      </c>
      <c r="L199" s="106" t="str">
        <f>B61_Assessment!$J$62</f>
        <v>Cooling is central to TR/server readiness.</v>
      </c>
    </row>
    <row r="200" spans="1:12" ht="97.5" customHeight="1">
      <c r="A200" s="106" t="str">
        <f>B61_Assessment!$B$2</f>
        <v>61</v>
      </c>
      <c r="B200" s="106" t="str">
        <f t="shared" si="26"/>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Open</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Open</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Open</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Open</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7">"B70_TR_Assessment"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7"/>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7"/>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7"/>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7"/>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7"/>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7"/>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7"/>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7"/>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7"/>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8">"B78_Assessment"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8"/>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8"/>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8"/>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8"/>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8"/>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8"/>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8"/>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9">"B80_Assessment"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9"/>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9"/>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9"/>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9"/>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9"/>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9"/>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9"/>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30">"B82_Assessment"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30"/>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30"/>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30"/>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30"/>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30"/>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30"/>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30"/>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31">"BCH_Assessment"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31"/>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31"/>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31"/>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31"/>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31"/>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31"/>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31"/>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32">"MCR_Assessment"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32"/>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32"/>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32"/>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32"/>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32"/>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32"/>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32"/>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33">"B01_Assessment"</f>
        <v>B01_Assessment</v>
      </c>
      <c r="C263" s="106"/>
      <c r="D263" s="142"/>
      <c r="E263" s="142"/>
      <c r="F263" s="106"/>
      <c r="G263" s="106"/>
      <c r="H263" s="106"/>
      <c r="I263" s="106"/>
      <c r="J263" s="106"/>
      <c r="K263" s="106"/>
      <c r="L263" s="106"/>
    </row>
    <row r="264" spans="1:12" ht="97.5" customHeight="1">
      <c r="A264" s="19" t="s">
        <v>877</v>
      </c>
      <c r="B264" s="19" t="str">
        <f t="shared" si="33"/>
        <v>B01_Assessment</v>
      </c>
      <c r="C264" s="19"/>
      <c r="D264" s="144"/>
      <c r="E264" s="144"/>
      <c r="F264" s="19"/>
      <c r="G264" s="19"/>
      <c r="H264" s="19"/>
      <c r="I264" s="19"/>
      <c r="J264" s="19"/>
      <c r="K264" s="19"/>
      <c r="L264" s="19"/>
    </row>
    <row r="265" spans="1:12" ht="97.5" customHeight="1">
      <c r="A265" s="146" t="s">
        <v>142</v>
      </c>
      <c r="B265" s="146" t="str">
        <f t="shared" si="33"/>
        <v>B01_Assessment</v>
      </c>
      <c r="C265" s="146" t="s">
        <v>221</v>
      </c>
      <c r="D265" s="147" t="s">
        <v>222</v>
      </c>
      <c r="E265" s="147" t="s">
        <v>265</v>
      </c>
      <c r="F265" s="146" t="s">
        <v>77</v>
      </c>
      <c r="G265" s="146" t="s">
        <v>878</v>
      </c>
      <c r="H265" s="146" t="s">
        <v>879</v>
      </c>
      <c r="I265" s="146" t="s">
        <v>880</v>
      </c>
      <c r="J265" s="146" t="s">
        <v>494</v>
      </c>
      <c r="K265" s="146" t="s">
        <v>881</v>
      </c>
      <c r="L265" s="146" t="s">
        <v>11</v>
      </c>
    </row>
    <row r="266" spans="1:12" ht="97.5" customHeight="1">
      <c r="A266" s="106" t="str">
        <f>B01_Assessment!$B$2</f>
        <v>01</v>
      </c>
      <c r="B266" s="106" t="str">
        <f t="shared" si="33"/>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33"/>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33"/>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33"/>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33"/>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33"/>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33"/>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33"/>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33"/>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33"/>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33"/>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33"/>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33"/>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34">"B02_Assessment"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34"/>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34"/>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34"/>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34"/>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34"/>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34"/>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34"/>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5">"B03_Assessment"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5"/>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5"/>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5"/>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5"/>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5"/>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5"/>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5"/>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6">"B04_Assessment"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6"/>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6"/>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6"/>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6"/>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6"/>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6"/>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7">"B05_Assessment"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7"/>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7"/>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7"/>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7"/>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7"/>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7"/>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7"/>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8">"B06_Assessment"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8"/>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8"/>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8"/>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8"/>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8"/>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8"/>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8"/>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9">"B07_Assessment"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9"/>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9"/>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9"/>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9"/>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9"/>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9"/>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9"/>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40">"B08_Assessment"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40"/>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40"/>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40"/>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40"/>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40"/>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40"/>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40"/>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41">"B09_Assessment"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41"/>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41"/>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41"/>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41"/>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41"/>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41"/>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41"/>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42">"B10_Assessment"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42"/>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42"/>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42"/>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42"/>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42"/>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42"/>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43">"B12_Assessment"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43"/>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43"/>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43"/>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43"/>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43"/>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43"/>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43"/>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44">"B13_Assessment"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44"/>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44"/>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44"/>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44"/>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44"/>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44"/>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44"/>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5">"B14_Assessment"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5"/>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5"/>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5"/>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5"/>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5"/>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5"/>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5"/>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6">"B15_Assessment"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6"/>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6"/>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6"/>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6"/>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6"/>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6"/>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6"/>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7">"B16_Assessment"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7"/>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7"/>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7"/>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7"/>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7"/>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7"/>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7"/>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8">"B17_Assessment"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8"/>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8"/>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8"/>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8"/>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8"/>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8"/>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8"/>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9">"B18_Assessment"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9"/>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9"/>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9"/>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9"/>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9"/>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9"/>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9"/>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50">"B20_Assessment"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50"/>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50"/>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50"/>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50"/>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50"/>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50"/>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50"/>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51">"B21_Assessment"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51"/>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51"/>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51"/>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51"/>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51"/>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51"/>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51"/>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52">"B22_Assessment"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52"/>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52"/>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52"/>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52"/>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52"/>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52"/>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52"/>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53">"B33_Assessment"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53"/>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53"/>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53"/>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Open</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53"/>
        <v>B33_Assessment</v>
      </c>
      <c r="C433" s="106" t="str">
        <f>B61_Assessment!$A$71</f>
        <v>B61-Q2</v>
      </c>
      <c r="D433" s="142" t="str">
        <f>B61_Assessment!$B$71</f>
        <v>What active services and circuits are currently housed in Room 137/137A?</v>
      </c>
      <c r="E433" s="142" t="str">
        <f>B61_Assessment!$C$71</f>
        <v>OIT / Contractor</v>
      </c>
      <c r="F433" s="106" t="str">
        <f>B61_Assessment!$D$71</f>
        <v>Open</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53"/>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Open</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53"/>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Open</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53"/>
        <v>B33_Assessment</v>
      </c>
      <c r="C436" s="106" t="str">
        <f>B61_Assessment!$A$74</f>
        <v>B61-Q5</v>
      </c>
      <c r="D436" s="142" t="str">
        <f>B61_Assessment!$B$74</f>
        <v>Where are clean-agent/CO2 FEC cabinets located within 75 ft of each new TR?</v>
      </c>
      <c r="E436" s="142" t="str">
        <f>B61_Assessment!$C$74</f>
        <v>GC / COR</v>
      </c>
      <c r="F436" s="106" t="str">
        <f>B61_Assessment!$D$74</f>
        <v>Open</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Open</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Open</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Open</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54">"B70_TR_Assessment"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54"/>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54"/>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54"/>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54"/>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54"/>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54"/>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54"/>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54"/>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54"/>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5">"B78_Assessment"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5"/>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5"/>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5"/>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5"/>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5"/>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5"/>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5"/>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6">"B80_Assessment"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6"/>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6"/>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6"/>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6"/>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6"/>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6"/>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6"/>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7">"B82_Assessment"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7"/>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7"/>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7"/>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7"/>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7"/>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7"/>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7"/>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8">"BCH_Assessment"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8"/>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8"/>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8"/>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8"/>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8"/>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8"/>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8"/>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9">"MCR_Assessment"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9"/>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9"/>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9"/>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9"/>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9"/>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9"/>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9"/>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882</v>
      </c>
      <c r="B500" s="19"/>
      <c r="C500" s="19"/>
      <c r="D500" s="144"/>
      <c r="E500" s="144"/>
      <c r="F500" s="19"/>
      <c r="G500" s="19"/>
      <c r="H500" s="19"/>
      <c r="I500" s="19"/>
      <c r="J500" s="19"/>
      <c r="K500" s="19"/>
      <c r="L500" s="19"/>
    </row>
    <row r="501" spans="1:12" ht="97.5" customHeight="1">
      <c r="A501" s="146" t="s">
        <v>142</v>
      </c>
      <c r="B501" s="146" t="s">
        <v>173</v>
      </c>
      <c r="C501" s="146" t="s">
        <v>883</v>
      </c>
      <c r="D501" s="147" t="s">
        <v>275</v>
      </c>
      <c r="E501" s="147" t="s">
        <v>884</v>
      </c>
      <c r="F501" s="146" t="s">
        <v>885</v>
      </c>
      <c r="G501" s="146" t="s">
        <v>886</v>
      </c>
      <c r="H501" s="146" t="s">
        <v>887</v>
      </c>
      <c r="I501" s="146" t="s">
        <v>888</v>
      </c>
      <c r="J501" s="146" t="s">
        <v>77</v>
      </c>
      <c r="K501" s="146" t="s">
        <v>889</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60">"B70_TR_Assessment"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60"/>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60"/>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60"/>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60"/>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60"/>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60"/>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61">"B82_Assessment"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61"/>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61"/>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61"/>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61"/>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61"/>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61"/>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61"/>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62">"B01_Assessment"</f>
        <v>B01_Assessment</v>
      </c>
      <c r="C593" s="106"/>
      <c r="D593" s="142"/>
      <c r="E593" s="142"/>
      <c r="F593" s="106"/>
      <c r="G593" s="106"/>
      <c r="H593" s="106"/>
      <c r="I593" s="106"/>
      <c r="J593" s="106"/>
      <c r="K593" s="106"/>
      <c r="L593" s="106"/>
    </row>
    <row r="594" spans="1:12" ht="97.5" customHeight="1">
      <c r="A594" s="19" t="s">
        <v>890</v>
      </c>
      <c r="B594" s="19" t="str">
        <f t="shared" si="62"/>
        <v>B01_Assessment</v>
      </c>
      <c r="C594" s="19"/>
      <c r="D594" s="144"/>
      <c r="E594" s="144"/>
      <c r="F594" s="19"/>
      <c r="G594" s="19"/>
      <c r="H594" s="19"/>
      <c r="I594" s="19"/>
      <c r="J594" s="19"/>
      <c r="K594" s="19"/>
      <c r="L594" s="19"/>
    </row>
    <row r="595" spans="1:12" ht="97.5" customHeight="1">
      <c r="A595" s="146" t="s">
        <v>142</v>
      </c>
      <c r="B595" s="146" t="str">
        <f t="shared" si="62"/>
        <v>B01_Assessment</v>
      </c>
      <c r="C595" s="146" t="s">
        <v>291</v>
      </c>
      <c r="D595" s="147" t="s">
        <v>275</v>
      </c>
      <c r="E595" s="147" t="s">
        <v>493</v>
      </c>
      <c r="F595" s="146" t="s">
        <v>214</v>
      </c>
      <c r="G595" s="146" t="s">
        <v>263</v>
      </c>
      <c r="H595" s="146" t="s">
        <v>891</v>
      </c>
      <c r="I595" s="146" t="s">
        <v>892</v>
      </c>
      <c r="J595" s="146" t="s">
        <v>893</v>
      </c>
      <c r="K595" s="146" t="s">
        <v>77</v>
      </c>
      <c r="L595" s="146" t="s">
        <v>11</v>
      </c>
    </row>
    <row r="596" spans="1:12" ht="97.5" customHeight="1">
      <c r="A596" s="106" t="str">
        <f>B01_Assessment!$B$2</f>
        <v>01</v>
      </c>
      <c r="B596" s="106" t="str">
        <f t="shared" si="62"/>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62"/>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62"/>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62"/>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62"/>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62"/>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62"/>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62"/>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62"/>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62"/>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62"/>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62"/>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62"/>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63">"B02_Assessment"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63"/>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63"/>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63"/>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63"/>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63"/>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63"/>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63"/>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64">"B03_Assessment"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64"/>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64"/>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64"/>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64"/>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64"/>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64"/>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64"/>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5">"B04_Assessment"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5"/>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5"/>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5"/>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5"/>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5"/>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6">"B05_Assessment"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6"/>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6"/>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6"/>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6"/>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6"/>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6"/>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6"/>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7">"B06_Assessment"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7"/>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7"/>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7"/>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7"/>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7"/>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7"/>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8">"B07_Assessment"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8"/>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8"/>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8"/>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8"/>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8"/>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8"/>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8"/>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9">"B08_Assessment"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9"/>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9"/>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9"/>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9"/>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9"/>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9"/>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9"/>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70">"B09_Assessment"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70"/>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70"/>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70"/>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70"/>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70"/>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70"/>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70"/>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71">"B12_Assessment"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71"/>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71"/>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71"/>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71"/>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71"/>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71"/>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71"/>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71"/>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71"/>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72">"B13_Assessment"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72"/>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72"/>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72"/>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72"/>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72"/>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72"/>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72"/>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73">"B14_Assessment"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73"/>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73"/>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73"/>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73"/>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73"/>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73"/>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73"/>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74">"B15_Assessment"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74"/>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74"/>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74"/>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74"/>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74"/>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74"/>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74"/>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5">"B16_Assessment"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5"/>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5"/>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5"/>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5"/>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5"/>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5"/>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5"/>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6">"B17_Assessment"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6"/>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6"/>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6"/>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6"/>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6"/>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6"/>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6"/>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7">"B18_Assessment"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7"/>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7"/>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7"/>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7"/>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7"/>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7"/>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7"/>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8">"B20_Assessment"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8"/>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8"/>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8"/>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8"/>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8"/>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8"/>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8"/>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9">"B21_Assessment"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9"/>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9"/>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9"/>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9"/>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9"/>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9"/>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9"/>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80">"B22_Assessment"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80"/>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80"/>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80"/>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80"/>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80"/>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80"/>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80"/>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81">"B33_Assessment"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81"/>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81"/>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81"/>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81"/>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81"/>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81"/>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81"/>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82">"B70_TR_Assessment"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82"/>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82"/>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82"/>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82"/>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82"/>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82"/>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82"/>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82"/>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82"/>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83">"B78_Assessment"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83"/>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83"/>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83"/>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83"/>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83"/>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83"/>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83"/>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84">"B80_Assessment"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84"/>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84"/>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84"/>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84"/>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84"/>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84"/>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84"/>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5">"B82_Assessment"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5"/>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5"/>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5"/>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5"/>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5"/>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5"/>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5"/>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6">"BCH_Assessment"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6"/>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6"/>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6"/>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6"/>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6"/>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6"/>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6"/>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7">"MCR_Assessment"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7"/>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7"/>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7"/>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7"/>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7"/>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7"/>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7"/>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894</v>
      </c>
      <c r="B826" s="19"/>
      <c r="C826" s="19"/>
      <c r="D826" s="144"/>
      <c r="E826" s="144"/>
      <c r="F826" s="19"/>
      <c r="G826" s="19"/>
      <c r="H826" s="19"/>
      <c r="I826" s="19"/>
      <c r="J826" s="19"/>
      <c r="K826" s="19"/>
      <c r="L826" s="19"/>
    </row>
    <row r="827" spans="1:12" ht="97.5" customHeight="1">
      <c r="A827" s="146" t="s">
        <v>142</v>
      </c>
      <c r="B827" s="146" t="s">
        <v>173</v>
      </c>
      <c r="C827" s="146" t="s">
        <v>275</v>
      </c>
      <c r="D827" s="147" t="s">
        <v>895</v>
      </c>
      <c r="E827" s="147" t="s">
        <v>896</v>
      </c>
      <c r="F827" s="146" t="s">
        <v>148</v>
      </c>
      <c r="G827" s="146" t="s">
        <v>153</v>
      </c>
      <c r="H827" s="146" t="s">
        <v>155</v>
      </c>
      <c r="I827" s="146" t="s">
        <v>491</v>
      </c>
      <c r="J827" s="146" t="s">
        <v>897</v>
      </c>
      <c r="K827" s="146" t="s">
        <v>174</v>
      </c>
      <c r="L827" s="146" t="s">
        <v>11</v>
      </c>
    </row>
    <row r="828" spans="1:12" ht="97.5" customHeight="1">
      <c r="A828" s="106" t="str">
        <f>B01_Assessment!$B$2</f>
        <v>01</v>
      </c>
      <c r="B828" s="106" t="str">
        <f>"B01_Assessment"</f>
        <v>B01_Assessment</v>
      </c>
      <c r="C828" s="106" t="str">
        <f>B01_Assessment!$A$92</f>
        <v>107</v>
      </c>
      <c r="D828" s="142">
        <f>B01_Assessment!$B$92</f>
        <v>0.5</v>
      </c>
      <c r="E828" s="142">
        <f>B01_Assessment!$C$92</f>
        <v>0.5</v>
      </c>
      <c r="F828" s="106">
        <f>B01_Assessment!$D$92</f>
        <v>0.5</v>
      </c>
      <c r="G828" s="106">
        <f>B01_Assessment!$E$92</f>
        <v>0.5</v>
      </c>
      <c r="H828" s="106">
        <f>B01_Assessment!$F$92</f>
        <v>0.5</v>
      </c>
      <c r="I828" s="106" t="str">
        <f>B01_Assessment!$G$92</f>
        <v>Verify</v>
      </c>
      <c r="J828" s="106">
        <f>B01_Assessment!$H$92</f>
        <v>0.5</v>
      </c>
      <c r="K828" s="106" t="str">
        <f>B01_Assessment!$I$92</f>
        <v>Partial / Green</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0.5</v>
      </c>
      <c r="E829" s="142">
        <f>B01_Assessment!$C$93</f>
        <v>0.5</v>
      </c>
      <c r="F829" s="106">
        <f>B01_Assessment!$D$93</f>
        <v>0.5</v>
      </c>
      <c r="G829" s="106">
        <f>B01_Assessment!$E$93</f>
        <v>0.5</v>
      </c>
      <c r="H829" s="106">
        <f>B01_Assessment!$F$93</f>
        <v>0.5</v>
      </c>
      <c r="I829" s="106" t="str">
        <f>B01_Assessment!$G$93</f>
        <v>Verify</v>
      </c>
      <c r="J829" s="106">
        <f>B01_Assessment!$H$93</f>
        <v>0.5</v>
      </c>
      <c r="K829" s="106" t="str">
        <f>B01_Assessment!$I$93</f>
        <v>Partial / Green</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0.5</v>
      </c>
      <c r="E830" s="142">
        <f>B01_Assessment!$C$94</f>
        <v>0.5</v>
      </c>
      <c r="F830" s="106">
        <f>B01_Assessment!$D$94</f>
        <v>0.5</v>
      </c>
      <c r="G830" s="106">
        <f>B01_Assessment!$E$94</f>
        <v>0.5</v>
      </c>
      <c r="H830" s="106">
        <f>B01_Assessment!$F$94</f>
        <v>0.5</v>
      </c>
      <c r="I830" s="106" t="str">
        <f>B01_Assessment!$G$94</f>
        <v>Verify</v>
      </c>
      <c r="J830" s="106">
        <f>B01_Assessment!$H$94</f>
        <v>0.5</v>
      </c>
      <c r="K830" s="106" t="str">
        <f>B01_Assessment!$I$94</f>
        <v>Partial / Green</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0.5</v>
      </c>
      <c r="E831" s="142">
        <f>B01_Assessment!$C$95</f>
        <v>0.5</v>
      </c>
      <c r="F831" s="106">
        <f>B01_Assessment!$D$95</f>
        <v>0.5</v>
      </c>
      <c r="G831" s="106">
        <f>B01_Assessment!$E$95</f>
        <v>0.5</v>
      </c>
      <c r="H831" s="106">
        <f>B01_Assessment!$F$95</f>
        <v>0.5</v>
      </c>
      <c r="I831" s="106" t="str">
        <f>B01_Assessment!$G$95</f>
        <v>Verify</v>
      </c>
      <c r="J831" s="106">
        <f>B01_Assessment!$H$95</f>
        <v>0.5</v>
      </c>
      <c r="K831" s="106" t="str">
        <f>B01_Assessment!$I$95</f>
        <v>Partial / Green</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0.5</v>
      </c>
      <c r="E832" s="142">
        <f>B02_Assessment!$C$93</f>
        <v>0.5</v>
      </c>
      <c r="F832" s="106">
        <f>B02_Assessment!$D$93</f>
        <v>0.5</v>
      </c>
      <c r="G832" s="106">
        <f>B02_Assessment!$E$93</f>
        <v>0.5</v>
      </c>
      <c r="H832" s="106">
        <f>B02_Assessment!$F$93</f>
        <v>0.5</v>
      </c>
      <c r="I832" s="106" t="str">
        <f>B02_Assessment!$G$93</f>
        <v>Verify</v>
      </c>
      <c r="J832" s="106">
        <f>B02_Assessment!$H$93</f>
        <v>0.5</v>
      </c>
      <c r="K832" s="106" t="str">
        <f>B02_Assessment!$I$93</f>
        <v>Partial / Yellow</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0.5</v>
      </c>
      <c r="E833" s="142">
        <f>B02_Assessment!$C$94</f>
        <v>0.5</v>
      </c>
      <c r="F833" s="106">
        <f>B02_Assessment!$D$94</f>
        <v>0.5</v>
      </c>
      <c r="G833" s="106">
        <f>B02_Assessment!$E$94</f>
        <v>0.5</v>
      </c>
      <c r="H833" s="106">
        <f>B02_Assessment!$F$94</f>
        <v>0.5</v>
      </c>
      <c r="I833" s="106" t="str">
        <f>B02_Assessment!$G$94</f>
        <v>Verify</v>
      </c>
      <c r="J833" s="106">
        <f>B02_Assessment!$H$94</f>
        <v>0.5</v>
      </c>
      <c r="K833" s="106" t="str">
        <f>B02_Assessment!$I$94</f>
        <v>Partial / Yellow</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0.5</v>
      </c>
      <c r="E834" s="142">
        <f>B02_Assessment!$C$95</f>
        <v>0.5</v>
      </c>
      <c r="F834" s="106">
        <f>B02_Assessment!$D$95</f>
        <v>0.5</v>
      </c>
      <c r="G834" s="106">
        <f>B02_Assessment!$E$95</f>
        <v>0.5</v>
      </c>
      <c r="H834" s="106">
        <f>B02_Assessment!$F$95</f>
        <v>0.5</v>
      </c>
      <c r="I834" s="106" t="str">
        <f>B02_Assessment!$G$95</f>
        <v>Verify</v>
      </c>
      <c r="J834" s="106">
        <f>B02_Assessment!$H$95</f>
        <v>0.5</v>
      </c>
      <c r="K834" s="106" t="str">
        <f>B02_Assessment!$I$95</f>
        <v>Partial / Yellow</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0.5</v>
      </c>
      <c r="E835" s="142">
        <f>B02_Assessment!$C$96</f>
        <v>0.5</v>
      </c>
      <c r="F835" s="106">
        <f>B02_Assessment!$D$96</f>
        <v>0.5</v>
      </c>
      <c r="G835" s="106">
        <f>B02_Assessment!$E$96</f>
        <v>0.5</v>
      </c>
      <c r="H835" s="106">
        <f>B02_Assessment!$F$96</f>
        <v>0.5</v>
      </c>
      <c r="I835" s="106" t="str">
        <f>B02_Assessment!$G$96</f>
        <v>Verify</v>
      </c>
      <c r="J835" s="106">
        <f>B02_Assessment!$H$96</f>
        <v>0.5</v>
      </c>
      <c r="K835" s="106" t="str">
        <f>B02_Assessment!$I$96</f>
        <v>Partial / Yellow</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0.5</v>
      </c>
      <c r="E836" s="142">
        <f>B03_Assessment!$C$92</f>
        <v>0.5</v>
      </c>
      <c r="F836" s="106">
        <f>B03_Assessment!$D$92</f>
        <v>0.5</v>
      </c>
      <c r="G836" s="106">
        <f>B03_Assessment!$E$92</f>
        <v>0.5</v>
      </c>
      <c r="H836" s="106">
        <f>B03_Assessment!$F$92</f>
        <v>0.5</v>
      </c>
      <c r="I836" s="106" t="str">
        <f>B03_Assessment!$G$92</f>
        <v>Verify</v>
      </c>
      <c r="J836" s="106">
        <f>B03_Assessment!$H$92</f>
        <v>0.5</v>
      </c>
      <c r="K836" s="106" t="str">
        <f>B03_Assessment!$I$92</f>
        <v>Partial / Yellow</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0.5</v>
      </c>
      <c r="E837" s="142">
        <f>B03_Assessment!$C$93</f>
        <v>0.5</v>
      </c>
      <c r="F837" s="106">
        <f>B03_Assessment!$D$93</f>
        <v>0.5</v>
      </c>
      <c r="G837" s="106">
        <f>B03_Assessment!$E$93</f>
        <v>0.5</v>
      </c>
      <c r="H837" s="106">
        <f>B03_Assessment!$F$93</f>
        <v>0.5</v>
      </c>
      <c r="I837" s="106" t="str">
        <f>B03_Assessment!$G$93</f>
        <v>Verify</v>
      </c>
      <c r="J837" s="106">
        <f>B03_Assessment!$H$93</f>
        <v>0.5</v>
      </c>
      <c r="K837" s="106" t="str">
        <f>B03_Assessment!$I$93</f>
        <v>Partial / Yellow</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0.5</v>
      </c>
      <c r="E838" s="142">
        <f>B03_Assessment!$C$94</f>
        <v>0.5</v>
      </c>
      <c r="F838" s="106">
        <f>B03_Assessment!$D$94</f>
        <v>0.5</v>
      </c>
      <c r="G838" s="106">
        <f>B03_Assessment!$E$94</f>
        <v>0.5</v>
      </c>
      <c r="H838" s="106">
        <f>B03_Assessment!$F$94</f>
        <v>0.5</v>
      </c>
      <c r="I838" s="106" t="str">
        <f>B03_Assessment!$G$94</f>
        <v>Verify</v>
      </c>
      <c r="J838" s="106">
        <f>B03_Assessment!$H$94</f>
        <v>0.5</v>
      </c>
      <c r="K838" s="106" t="str">
        <f>B03_Assessment!$I$94</f>
        <v>Partial / Yellow</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0.5</v>
      </c>
      <c r="E839" s="142">
        <f>B03_Assessment!$C$95</f>
        <v>0.5</v>
      </c>
      <c r="F839" s="106" t="str">
        <f>B03_Assessment!$D$95</f>
        <v>N/A</v>
      </c>
      <c r="G839" s="106">
        <f>B03_Assessment!$E$95</f>
        <v>0.5</v>
      </c>
      <c r="H839" s="106">
        <f>B03_Assessment!$F$95</f>
        <v>0.5</v>
      </c>
      <c r="I839" s="106" t="str">
        <f>B03_Assessment!$G$95</f>
        <v>Verify</v>
      </c>
      <c r="J839" s="106">
        <f>B03_Assessment!$H$95</f>
        <v>0.5</v>
      </c>
      <c r="K839" s="106" t="str">
        <f>B03_Assessment!$I$95</f>
        <v>Partial / Yellow</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0.5</v>
      </c>
      <c r="E840" s="142">
        <f>B04_Assessment!$C$85</f>
        <v>0.5</v>
      </c>
      <c r="F840" s="106">
        <f>B04_Assessment!$D$85</f>
        <v>0.5</v>
      </c>
      <c r="G840" s="106">
        <f>B04_Assessment!$E$85</f>
        <v>0.5</v>
      </c>
      <c r="H840" s="106">
        <f>B04_Assessment!$F$85</f>
        <v>0.5</v>
      </c>
      <c r="I840" s="106" t="str">
        <f>B04_Assessment!$G$85</f>
        <v>Verify</v>
      </c>
      <c r="J840" s="106">
        <f>B04_Assessment!$H$85</f>
        <v>0.5</v>
      </c>
      <c r="K840" s="106" t="str">
        <f>B04_Assessment!$I$85</f>
        <v>Partial / Yellow</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0.5</v>
      </c>
      <c r="E841" s="142">
        <f>B04_Assessment!$C$86</f>
        <v>0.5</v>
      </c>
      <c r="F841" s="106">
        <f>B04_Assessment!$D$86</f>
        <v>0.5</v>
      </c>
      <c r="G841" s="106">
        <f>B04_Assessment!$E$86</f>
        <v>0.5</v>
      </c>
      <c r="H841" s="106">
        <f>B04_Assessment!$F$86</f>
        <v>0.5</v>
      </c>
      <c r="I841" s="106" t="str">
        <f>B04_Assessment!$G$86</f>
        <v>Verify</v>
      </c>
      <c r="J841" s="106">
        <f>B04_Assessment!$H$86</f>
        <v>0.5</v>
      </c>
      <c r="K841" s="106" t="str">
        <f>B04_Assessment!$I$86</f>
        <v>Partial / Yellow</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0.5</v>
      </c>
      <c r="E842" s="142">
        <f>B04_Assessment!$C$87</f>
        <v>0.5</v>
      </c>
      <c r="F842" s="106">
        <f>B04_Assessment!$D$87</f>
        <v>0.5</v>
      </c>
      <c r="G842" s="106">
        <f>B04_Assessment!$E$87</f>
        <v>0.5</v>
      </c>
      <c r="H842" s="106">
        <f>B04_Assessment!$F$87</f>
        <v>0.5</v>
      </c>
      <c r="I842" s="106" t="str">
        <f>B04_Assessment!$G$87</f>
        <v>Verify</v>
      </c>
      <c r="J842" s="106">
        <f>B04_Assessment!$H$87</f>
        <v>0.5</v>
      </c>
      <c r="K842" s="106" t="str">
        <f>B04_Assessment!$I$87</f>
        <v>Partial / Yellow</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0.5</v>
      </c>
      <c r="E843" s="142">
        <f>B05_Assessment!$C$73</f>
        <v>0.5</v>
      </c>
      <c r="F843" s="106" t="str">
        <f>B05_Assessment!$D$73</f>
        <v>N/A</v>
      </c>
      <c r="G843" s="106">
        <f>B05_Assessment!$E$73</f>
        <v>0.5</v>
      </c>
      <c r="H843" s="106">
        <f>B05_Assessment!$F$73</f>
        <v>0.5</v>
      </c>
      <c r="I843" s="106" t="str">
        <f>B05_Assessment!$G$73</f>
        <v>Verify</v>
      </c>
      <c r="J843" s="106">
        <f>B05_Assessment!$H$73</f>
        <v>0.5</v>
      </c>
      <c r="K843" s="106" t="str">
        <f>B05_Assessment!$I$73</f>
        <v>Partial / Yellow</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0.5</v>
      </c>
      <c r="E844" s="142">
        <f>B05_Assessment!$C$74</f>
        <v>0.5</v>
      </c>
      <c r="F844" s="106" t="str">
        <f>B05_Assessment!$D$74</f>
        <v>N/A</v>
      </c>
      <c r="G844" s="106">
        <f>B05_Assessment!$E$74</f>
        <v>0.5</v>
      </c>
      <c r="H844" s="106">
        <f>B05_Assessment!$F$74</f>
        <v>0.5</v>
      </c>
      <c r="I844" s="106" t="str">
        <f>B05_Assessment!$G$74</f>
        <v>Verify</v>
      </c>
      <c r="J844" s="106">
        <f>B05_Assessment!$H$74</f>
        <v>0.5</v>
      </c>
      <c r="K844" s="106" t="str">
        <f>B05_Assessment!$I$74</f>
        <v>Partial / Yellow</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0.5</v>
      </c>
      <c r="E845" s="142">
        <f>B06_Assessment!$C$85</f>
        <v>0.5</v>
      </c>
      <c r="F845" s="106">
        <f>B06_Assessment!$D$85</f>
        <v>0.5</v>
      </c>
      <c r="G845" s="106">
        <f>B06_Assessment!$E$85</f>
        <v>0.5</v>
      </c>
      <c r="H845" s="106">
        <f>B06_Assessment!$F$85</f>
        <v>0.5</v>
      </c>
      <c r="I845" s="106" t="str">
        <f>B06_Assessment!$G$85</f>
        <v>Verify</v>
      </c>
      <c r="J845" s="106">
        <f>B06_Assessment!$H$85</f>
        <v>0.5</v>
      </c>
      <c r="K845" s="106" t="str">
        <f>B06_Assessment!$I$85</f>
        <v>Partial / Yellow</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0.5</v>
      </c>
      <c r="E846" s="142">
        <f>B06_Assessment!$C$86</f>
        <v>0.5</v>
      </c>
      <c r="F846" s="106">
        <f>B06_Assessment!$D$86</f>
        <v>0.5</v>
      </c>
      <c r="G846" s="106">
        <f>B06_Assessment!$E$86</f>
        <v>0.5</v>
      </c>
      <c r="H846" s="106">
        <f>B06_Assessment!$F$86</f>
        <v>0.5</v>
      </c>
      <c r="I846" s="106" t="str">
        <f>B06_Assessment!$G$86</f>
        <v>Verify</v>
      </c>
      <c r="J846" s="106">
        <f>B06_Assessment!$H$86</f>
        <v>0.5</v>
      </c>
      <c r="K846" s="106" t="str">
        <f>B06_Assessment!$I$86</f>
        <v>Partial / Yellow</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0.5</v>
      </c>
      <c r="E847" s="142">
        <f>B06_Assessment!$C$87</f>
        <v>0.5</v>
      </c>
      <c r="F847" s="106">
        <f>B06_Assessment!$D$87</f>
        <v>0.5</v>
      </c>
      <c r="G847" s="106">
        <f>B06_Assessment!$E$87</f>
        <v>0.5</v>
      </c>
      <c r="H847" s="106">
        <f>B06_Assessment!$F$87</f>
        <v>0.5</v>
      </c>
      <c r="I847" s="106" t="str">
        <f>B06_Assessment!$G$87</f>
        <v>Verify</v>
      </c>
      <c r="J847" s="106">
        <f>B06_Assessment!$H$87</f>
        <v>0.5</v>
      </c>
      <c r="K847" s="106" t="str">
        <f>B06_Assessment!$I$87</f>
        <v>Partial / Yellow</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0.5</v>
      </c>
      <c r="E848" s="142">
        <f>B07_Assessment!$C$77</f>
        <v>0.5</v>
      </c>
      <c r="F848" s="106">
        <f>B07_Assessment!$D$77</f>
        <v>0.5</v>
      </c>
      <c r="G848" s="106">
        <f>B07_Assessment!$E$77</f>
        <v>0.5</v>
      </c>
      <c r="H848" s="106">
        <f>B07_Assessment!$F$77</f>
        <v>0.5</v>
      </c>
      <c r="I848" s="106" t="str">
        <f>B07_Assessment!$G$77</f>
        <v>Verify</v>
      </c>
      <c r="J848" s="106">
        <f>B07_Assessment!$H$77</f>
        <v>0.5</v>
      </c>
      <c r="K848" s="106" t="str">
        <f>B07_Assessment!$I$77</f>
        <v>Partial / Yellow</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0.5</v>
      </c>
      <c r="E849" s="142">
        <f>B07_Assessment!$C$78</f>
        <v>0.5</v>
      </c>
      <c r="F849" s="106">
        <f>B07_Assessment!$D$78</f>
        <v>0.5</v>
      </c>
      <c r="G849" s="106">
        <f>B07_Assessment!$E$78</f>
        <v>0.5</v>
      </c>
      <c r="H849" s="106">
        <f>B07_Assessment!$F$78</f>
        <v>0.5</v>
      </c>
      <c r="I849" s="106" t="str">
        <f>B07_Assessment!$G$78</f>
        <v>Verify</v>
      </c>
      <c r="J849" s="106">
        <f>B07_Assessment!$H$78</f>
        <v>0.5</v>
      </c>
      <c r="K849" s="106" t="str">
        <f>B07_Assessment!$I$78</f>
        <v>Partial / Yellow</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0.5</v>
      </c>
      <c r="E850" s="142">
        <f>B08_Assessment!$C$85</f>
        <v>0.5</v>
      </c>
      <c r="F850" s="106">
        <f>B08_Assessment!$D$85</f>
        <v>0.5</v>
      </c>
      <c r="G850" s="106">
        <f>B08_Assessment!$E$85</f>
        <v>0.5</v>
      </c>
      <c r="H850" s="106">
        <f>B08_Assessment!$F$85</f>
        <v>0.5</v>
      </c>
      <c r="I850" s="106" t="str">
        <f>B08_Assessment!$G$85</f>
        <v>Verify</v>
      </c>
      <c r="J850" s="106">
        <f>B08_Assessment!$H$85</f>
        <v>0.5</v>
      </c>
      <c r="K850" s="106" t="str">
        <f>B08_Assessment!$I$85</f>
        <v>Partial / Yellow</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0.5</v>
      </c>
      <c r="E851" s="142">
        <f>B08_Assessment!$C$86</f>
        <v>0.5</v>
      </c>
      <c r="F851" s="106">
        <f>B08_Assessment!$D$86</f>
        <v>0.5</v>
      </c>
      <c r="G851" s="106">
        <f>B08_Assessment!$E$86</f>
        <v>0.5</v>
      </c>
      <c r="H851" s="106">
        <f>B08_Assessment!$F$86</f>
        <v>0.5</v>
      </c>
      <c r="I851" s="106" t="str">
        <f>B08_Assessment!$G$86</f>
        <v>Verify</v>
      </c>
      <c r="J851" s="106">
        <f>B08_Assessment!$H$86</f>
        <v>0.5</v>
      </c>
      <c r="K851" s="106" t="str">
        <f>B08_Assessment!$I$86</f>
        <v>Partial / Yellow</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0.5</v>
      </c>
      <c r="E852" s="142">
        <f>B08_Assessment!$C$87</f>
        <v>0.5</v>
      </c>
      <c r="F852" s="106">
        <f>B08_Assessment!$D$87</f>
        <v>0.5</v>
      </c>
      <c r="G852" s="106">
        <f>B08_Assessment!$E$87</f>
        <v>0.5</v>
      </c>
      <c r="H852" s="106">
        <f>B08_Assessment!$F$87</f>
        <v>0.5</v>
      </c>
      <c r="I852" s="106" t="str">
        <f>B08_Assessment!$G$87</f>
        <v>Verify</v>
      </c>
      <c r="J852" s="106">
        <f>B08_Assessment!$H$87</f>
        <v>0.5</v>
      </c>
      <c r="K852" s="106" t="str">
        <f>B08_Assessment!$I$87</f>
        <v>Partial / Yellow</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0.5</v>
      </c>
      <c r="E853" s="142">
        <f>B09_Assessment!$C$85</f>
        <v>0.5</v>
      </c>
      <c r="F853" s="106">
        <f>B09_Assessment!$D$85</f>
        <v>0.5</v>
      </c>
      <c r="G853" s="106">
        <f>B09_Assessment!$E$85</f>
        <v>0.5</v>
      </c>
      <c r="H853" s="106">
        <f>B09_Assessment!$F$85</f>
        <v>0.5</v>
      </c>
      <c r="I853" s="106" t="str">
        <f>B09_Assessment!$G$85</f>
        <v>Verify</v>
      </c>
      <c r="J853" s="106">
        <f>B09_Assessment!$H$85</f>
        <v>0.5</v>
      </c>
      <c r="K853" s="106" t="str">
        <f>B09_Assessment!$I$85</f>
        <v>Partial / Yellow</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0.5</v>
      </c>
      <c r="E854" s="142">
        <f>B09_Assessment!$C$86</f>
        <v>0.5</v>
      </c>
      <c r="F854" s="106">
        <f>B09_Assessment!$D$86</f>
        <v>0.5</v>
      </c>
      <c r="G854" s="106">
        <f>B09_Assessment!$E$86</f>
        <v>0.5</v>
      </c>
      <c r="H854" s="106">
        <f>B09_Assessment!$F$86</f>
        <v>0.5</v>
      </c>
      <c r="I854" s="106" t="str">
        <f>B09_Assessment!$G$86</f>
        <v>Verify</v>
      </c>
      <c r="J854" s="106">
        <f>B09_Assessment!$H$86</f>
        <v>0.5</v>
      </c>
      <c r="K854" s="106" t="str">
        <f>B09_Assessment!$I$86</f>
        <v>Partial / Yellow</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0.5</v>
      </c>
      <c r="E855" s="142">
        <f>B09_Assessment!$C$87</f>
        <v>0.5</v>
      </c>
      <c r="F855" s="106">
        <f>B09_Assessment!$D$87</f>
        <v>0.5</v>
      </c>
      <c r="G855" s="106">
        <f>B09_Assessment!$E$87</f>
        <v>0.5</v>
      </c>
      <c r="H855" s="106">
        <f>B09_Assessment!$F$87</f>
        <v>0.5</v>
      </c>
      <c r="I855" s="106" t="str">
        <f>B09_Assessment!$G$87</f>
        <v>Verify</v>
      </c>
      <c r="J855" s="106">
        <f>B09_Assessment!$H$87</f>
        <v>0.5</v>
      </c>
      <c r="K855" s="106" t="str">
        <f>B09_Assessment!$I$87</f>
        <v>Partial / Yellow</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0.5</v>
      </c>
      <c r="E856" s="142">
        <f>B10_Assessment!$C$85</f>
        <v>0.5</v>
      </c>
      <c r="F856" s="106">
        <f>B10_Assessment!$D$85</f>
        <v>0.5</v>
      </c>
      <c r="G856" s="106">
        <f>B10_Assessment!$E$85</f>
        <v>0.5</v>
      </c>
      <c r="H856" s="106">
        <f>B10_Assessment!$F$85</f>
        <v>0.5</v>
      </c>
      <c r="I856" s="106" t="str">
        <f>B10_Assessment!$G$85</f>
        <v>Verify</v>
      </c>
      <c r="J856" s="106">
        <f>B10_Assessment!$H$85</f>
        <v>0.5</v>
      </c>
      <c r="K856" s="106" t="str">
        <f>B10_Assessment!$I$85</f>
        <v>Partial / Yellow</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0.5</v>
      </c>
      <c r="E857" s="142">
        <f>B10_Assessment!$C$86</f>
        <v>0.5</v>
      </c>
      <c r="F857" s="106" t="str">
        <f>B10_Assessment!$D$86</f>
        <v>N/A</v>
      </c>
      <c r="G857" s="106">
        <f>B10_Assessment!$E$86</f>
        <v>0.5</v>
      </c>
      <c r="H857" s="106" t="str">
        <f>B10_Assessment!$F$86</f>
        <v>N/A</v>
      </c>
      <c r="I857" s="106" t="str">
        <f>B10_Assessment!$G$86</f>
        <v>Verify</v>
      </c>
      <c r="J857" s="106">
        <f>B10_Assessment!$H$86</f>
        <v>0.5</v>
      </c>
      <c r="K857" s="106" t="str">
        <f>B10_Assessment!$I$86</f>
        <v>Partial / Yellow</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0.5</v>
      </c>
      <c r="E858" s="142">
        <f>B10_Assessment!$C$87</f>
        <v>0.5</v>
      </c>
      <c r="F858" s="106" t="str">
        <f>B10_Assessment!$D$87</f>
        <v>N/A</v>
      </c>
      <c r="G858" s="106">
        <f>B10_Assessment!$E$87</f>
        <v>0.5</v>
      </c>
      <c r="H858" s="106" t="str">
        <f>B10_Assessment!$F$87</f>
        <v>N/A</v>
      </c>
      <c r="I858" s="106" t="str">
        <f>B10_Assessment!$G$87</f>
        <v>Verify</v>
      </c>
      <c r="J858" s="106">
        <f>B10_Assessment!$H$87</f>
        <v>0.5</v>
      </c>
      <c r="K858" s="106" t="str">
        <f>B10_Assessment!$I$87</f>
        <v>Partial / Yellow</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0.5</v>
      </c>
      <c r="E861" s="142">
        <f>B13_Assessment!$C$78</f>
        <v>0.5</v>
      </c>
      <c r="F861" s="106">
        <f>B13_Assessment!$D$78</f>
        <v>0.5</v>
      </c>
      <c r="G861" s="106">
        <f>B13_Assessment!$E$78</f>
        <v>0.5</v>
      </c>
      <c r="H861" s="106">
        <f>B13_Assessment!$F$78</f>
        <v>0.5</v>
      </c>
      <c r="I861" s="106" t="str">
        <f>B13_Assessment!$G$78</f>
        <v>Verify</v>
      </c>
      <c r="J861" s="106">
        <f>B13_Assessment!$H$78</f>
        <v>0.5</v>
      </c>
      <c r="K861" s="106" t="str">
        <f>B13_Assessment!$I$78</f>
        <v>Partial / Yellow</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0.5</v>
      </c>
      <c r="E862" s="142">
        <f>B13_Assessment!$C$79</f>
        <v>0.5</v>
      </c>
      <c r="F862" s="106">
        <f>B13_Assessment!$D$79</f>
        <v>0.5</v>
      </c>
      <c r="G862" s="106">
        <f>B13_Assessment!$E$79</f>
        <v>0.5</v>
      </c>
      <c r="H862" s="106">
        <f>B13_Assessment!$F$79</f>
        <v>0.5</v>
      </c>
      <c r="I862" s="106" t="str">
        <f>B13_Assessment!$G$79</f>
        <v>Verify</v>
      </c>
      <c r="J862" s="106">
        <f>B13_Assessment!$H$79</f>
        <v>0.5</v>
      </c>
      <c r="K862" s="106" t="str">
        <f>B13_Assessment!$I$79</f>
        <v>Partial / Yellow</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0.5</v>
      </c>
      <c r="E863" s="142">
        <f>B14_Assessment!$C$85</f>
        <v>0.5</v>
      </c>
      <c r="F863" s="106">
        <f>B14_Assessment!$D$85</f>
        <v>0.5</v>
      </c>
      <c r="G863" s="106">
        <f>B14_Assessment!$E$85</f>
        <v>0.5</v>
      </c>
      <c r="H863" s="106">
        <f>B14_Assessment!$F$85</f>
        <v>0.5</v>
      </c>
      <c r="I863" s="106" t="str">
        <f>B14_Assessment!$G$85</f>
        <v>Verify</v>
      </c>
      <c r="J863" s="106">
        <f>B14_Assessment!$H$85</f>
        <v>0.5</v>
      </c>
      <c r="K863" s="106" t="str">
        <f>B14_Assessment!$I$85</f>
        <v>Partial / Yellow</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0.5</v>
      </c>
      <c r="E864" s="142">
        <f>B14_Assessment!$C$86</f>
        <v>0.5</v>
      </c>
      <c r="F864" s="106">
        <f>B14_Assessment!$D$86</f>
        <v>0.5</v>
      </c>
      <c r="G864" s="106">
        <f>B14_Assessment!$E$86</f>
        <v>0.5</v>
      </c>
      <c r="H864" s="106">
        <f>B14_Assessment!$F$86</f>
        <v>0.5</v>
      </c>
      <c r="I864" s="106" t="str">
        <f>B14_Assessment!$G$86</f>
        <v>Verify</v>
      </c>
      <c r="J864" s="106">
        <f>B14_Assessment!$H$86</f>
        <v>0.5</v>
      </c>
      <c r="K864" s="106" t="str">
        <f>B14_Assessment!$I$86</f>
        <v>Partial / Yellow</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0.5</v>
      </c>
      <c r="E865" s="142">
        <f>B14_Assessment!$C$87</f>
        <v>0.5</v>
      </c>
      <c r="F865" s="106">
        <f>B14_Assessment!$D$87</f>
        <v>0.5</v>
      </c>
      <c r="G865" s="106">
        <f>B14_Assessment!$E$87</f>
        <v>0.5</v>
      </c>
      <c r="H865" s="106">
        <f>B14_Assessment!$F$87</f>
        <v>0.5</v>
      </c>
      <c r="I865" s="106" t="str">
        <f>B14_Assessment!$G$87</f>
        <v>Verify</v>
      </c>
      <c r="J865" s="106">
        <f>B14_Assessment!$H$87</f>
        <v>0.5</v>
      </c>
      <c r="K865" s="106" t="str">
        <f>B14_Assessment!$I$87</f>
        <v>Partial / Yellow</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0.5</v>
      </c>
      <c r="E866" s="142">
        <f>B15_Assessment!$C$85</f>
        <v>0.5</v>
      </c>
      <c r="F866" s="106">
        <f>B15_Assessment!$D$85</f>
        <v>0.5</v>
      </c>
      <c r="G866" s="106">
        <f>B15_Assessment!$E$85</f>
        <v>0.5</v>
      </c>
      <c r="H866" s="106">
        <f>B15_Assessment!$F$85</f>
        <v>0.5</v>
      </c>
      <c r="I866" s="106" t="str">
        <f>B15_Assessment!$G$85</f>
        <v>Verify</v>
      </c>
      <c r="J866" s="106">
        <f>B15_Assessment!$H$85</f>
        <v>0.5</v>
      </c>
      <c r="K866" s="106" t="str">
        <f>B15_Assessment!$I$85</f>
        <v>Partial / Yellow</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0.5</v>
      </c>
      <c r="E867" s="142">
        <f>B15_Assessment!$C$86</f>
        <v>0.5</v>
      </c>
      <c r="F867" s="106">
        <f>B15_Assessment!$D$86</f>
        <v>0.5</v>
      </c>
      <c r="G867" s="106">
        <f>B15_Assessment!$E$86</f>
        <v>0.5</v>
      </c>
      <c r="H867" s="106">
        <f>B15_Assessment!$F$86</f>
        <v>0.5</v>
      </c>
      <c r="I867" s="106" t="str">
        <f>B15_Assessment!$G$86</f>
        <v>Verify</v>
      </c>
      <c r="J867" s="106">
        <f>B15_Assessment!$H$86</f>
        <v>0.5</v>
      </c>
      <c r="K867" s="106" t="str">
        <f>B15_Assessment!$I$86</f>
        <v>Partial / Yellow</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0.5</v>
      </c>
      <c r="E868" s="142">
        <f>B15_Assessment!$C$87</f>
        <v>0.5</v>
      </c>
      <c r="F868" s="106">
        <f>B15_Assessment!$D$87</f>
        <v>0.5</v>
      </c>
      <c r="G868" s="106">
        <f>B15_Assessment!$E$87</f>
        <v>0.5</v>
      </c>
      <c r="H868" s="106">
        <f>B15_Assessment!$F$87</f>
        <v>0.5</v>
      </c>
      <c r="I868" s="106" t="str">
        <f>B15_Assessment!$G$87</f>
        <v>Verify</v>
      </c>
      <c r="J868" s="106">
        <f>B15_Assessment!$H$87</f>
        <v>0.5</v>
      </c>
      <c r="K868" s="106" t="str">
        <f>B15_Assessment!$I$87</f>
        <v>Partial / Yellow</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0.5</v>
      </c>
      <c r="E869" s="142">
        <f>B16_Assessment!$C$78</f>
        <v>0.5</v>
      </c>
      <c r="F869" s="106">
        <f>B16_Assessment!$D$78</f>
        <v>0.5</v>
      </c>
      <c r="G869" s="106">
        <f>B16_Assessment!$E$78</f>
        <v>0.5</v>
      </c>
      <c r="H869" s="106">
        <f>B16_Assessment!$F$78</f>
        <v>0.5</v>
      </c>
      <c r="I869" s="106" t="str">
        <f>B16_Assessment!$G$78</f>
        <v>Verify</v>
      </c>
      <c r="J869" s="106">
        <f>B16_Assessment!$H$78</f>
        <v>0.5</v>
      </c>
      <c r="K869" s="106" t="str">
        <f>B16_Assessment!$I$78</f>
        <v>Partial / Yellow</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0.5</v>
      </c>
      <c r="E870" s="142">
        <f>B16_Assessment!$C$79</f>
        <v>0.5</v>
      </c>
      <c r="F870" s="106">
        <f>B16_Assessment!$D$79</f>
        <v>0.5</v>
      </c>
      <c r="G870" s="106">
        <f>B16_Assessment!$E$79</f>
        <v>0.5</v>
      </c>
      <c r="H870" s="106">
        <f>B16_Assessment!$F$79</f>
        <v>0.5</v>
      </c>
      <c r="I870" s="106" t="str">
        <f>B16_Assessment!$G$79</f>
        <v>Verify</v>
      </c>
      <c r="J870" s="106">
        <f>B16_Assessment!$H$79</f>
        <v>0.5</v>
      </c>
      <c r="K870" s="106" t="str">
        <f>B16_Assessment!$I$79</f>
        <v>Partial / Yellow</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0.5</v>
      </c>
      <c r="E871" s="142">
        <f>B17_Assessment!$C$85</f>
        <v>0.5</v>
      </c>
      <c r="F871" s="106">
        <f>B17_Assessment!$D$85</f>
        <v>0.5</v>
      </c>
      <c r="G871" s="106">
        <f>B17_Assessment!$E$85</f>
        <v>0.5</v>
      </c>
      <c r="H871" s="106">
        <f>B17_Assessment!$F$85</f>
        <v>0.5</v>
      </c>
      <c r="I871" s="106" t="str">
        <f>B17_Assessment!$G$85</f>
        <v>Verify</v>
      </c>
      <c r="J871" s="106">
        <f>B17_Assessment!$H$85</f>
        <v>0.5</v>
      </c>
      <c r="K871" s="106" t="str">
        <f>B17_Assessment!$I$85</f>
        <v>Partial / Yellow</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0.5</v>
      </c>
      <c r="E872" s="142">
        <f>B17_Assessment!$C$86</f>
        <v>0.5</v>
      </c>
      <c r="F872" s="106">
        <f>B17_Assessment!$D$86</f>
        <v>0.5</v>
      </c>
      <c r="G872" s="106">
        <f>B17_Assessment!$E$86</f>
        <v>0.5</v>
      </c>
      <c r="H872" s="106">
        <f>B17_Assessment!$F$86</f>
        <v>0.5</v>
      </c>
      <c r="I872" s="106" t="str">
        <f>B17_Assessment!$G$86</f>
        <v>Verify</v>
      </c>
      <c r="J872" s="106">
        <f>B17_Assessment!$H$86</f>
        <v>0.5</v>
      </c>
      <c r="K872" s="106" t="str">
        <f>B17_Assessment!$I$86</f>
        <v>Partial / Yellow</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0.5</v>
      </c>
      <c r="E873" s="142">
        <f>B17_Assessment!$C$87</f>
        <v>0.5</v>
      </c>
      <c r="F873" s="106" t="str">
        <f>B17_Assessment!$D$87</f>
        <v>N/A</v>
      </c>
      <c r="G873" s="106">
        <f>B17_Assessment!$E$87</f>
        <v>0.5</v>
      </c>
      <c r="H873" s="106">
        <f>B17_Assessment!$F$87</f>
        <v>0.5</v>
      </c>
      <c r="I873" s="106" t="str">
        <f>B17_Assessment!$G$87</f>
        <v>Verify</v>
      </c>
      <c r="J873" s="106">
        <f>B17_Assessment!$H$87</f>
        <v>0.5</v>
      </c>
      <c r="K873" s="106" t="str">
        <f>B17_Assessment!$I$87</f>
        <v>Partial / Yellow</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0.5</v>
      </c>
      <c r="E874" s="142">
        <f>B18_Assessment!$C$85</f>
        <v>0.5</v>
      </c>
      <c r="F874" s="106">
        <f>B18_Assessment!$D$85</f>
        <v>0.5</v>
      </c>
      <c r="G874" s="106">
        <f>B18_Assessment!$E$85</f>
        <v>0.5</v>
      </c>
      <c r="H874" s="106">
        <f>B18_Assessment!$F$85</f>
        <v>0.5</v>
      </c>
      <c r="I874" s="106" t="str">
        <f>B18_Assessment!$G$85</f>
        <v>Verify</v>
      </c>
      <c r="J874" s="106">
        <f>B18_Assessment!$H$85</f>
        <v>0.5</v>
      </c>
      <c r="K874" s="106" t="str">
        <f>B18_Assessment!$I$85</f>
        <v>Partial / Yellow</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0.5</v>
      </c>
      <c r="E875" s="142">
        <f>B18_Assessment!$C$86</f>
        <v>0.5</v>
      </c>
      <c r="F875" s="106">
        <f>B18_Assessment!$D$86</f>
        <v>0.5</v>
      </c>
      <c r="G875" s="106">
        <f>B18_Assessment!$E$86</f>
        <v>0.5</v>
      </c>
      <c r="H875" s="106">
        <f>B18_Assessment!$F$86</f>
        <v>0.5</v>
      </c>
      <c r="I875" s="106" t="str">
        <f>B18_Assessment!$G$86</f>
        <v>Verify</v>
      </c>
      <c r="J875" s="106">
        <f>B18_Assessment!$H$86</f>
        <v>0.5</v>
      </c>
      <c r="K875" s="106" t="str">
        <f>B18_Assessment!$I$86</f>
        <v>Partial / Yellow</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0.5</v>
      </c>
      <c r="E876" s="142">
        <f>B18_Assessment!$C$87</f>
        <v>0.5</v>
      </c>
      <c r="F876" s="106">
        <f>B18_Assessment!$D$87</f>
        <v>0.5</v>
      </c>
      <c r="G876" s="106">
        <f>B18_Assessment!$E$87</f>
        <v>0.5</v>
      </c>
      <c r="H876" s="106">
        <f>B18_Assessment!$F$87</f>
        <v>0.5</v>
      </c>
      <c r="I876" s="106" t="str">
        <f>B18_Assessment!$G$87</f>
        <v>Verify</v>
      </c>
      <c r="J876" s="106">
        <f>B18_Assessment!$H$87</f>
        <v>0.5</v>
      </c>
      <c r="K876" s="106" t="str">
        <f>B18_Assessment!$I$87</f>
        <v>Partial / Yellow</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0.5</v>
      </c>
      <c r="E877" s="142">
        <f>B20_Assessment!$C$78</f>
        <v>0.5</v>
      </c>
      <c r="F877" s="106" t="str">
        <f>B20_Assessment!$D$78</f>
        <v>N/A / Verify</v>
      </c>
      <c r="G877" s="106">
        <f>B20_Assessment!$E$78</f>
        <v>0.5</v>
      </c>
      <c r="H877" s="106">
        <f>B20_Assessment!$F$78</f>
        <v>0.5</v>
      </c>
      <c r="I877" s="106" t="str">
        <f>B20_Assessment!$G$78</f>
        <v>Verify</v>
      </c>
      <c r="J877" s="106">
        <f>B20_Assessment!$H$78</f>
        <v>0.5</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0.5</v>
      </c>
      <c r="E878" s="142">
        <f>B20_Assessment!$C$79</f>
        <v>0.5</v>
      </c>
      <c r="F878" s="106">
        <f>B20_Assessment!$D$79</f>
        <v>0.5</v>
      </c>
      <c r="G878" s="106">
        <f>B20_Assessment!$E$79</f>
        <v>0.5</v>
      </c>
      <c r="H878" s="106">
        <f>B20_Assessment!$F$79</f>
        <v>0.5</v>
      </c>
      <c r="I878" s="106" t="str">
        <f>B20_Assessment!$G$79</f>
        <v>Verify</v>
      </c>
      <c r="J878" s="106">
        <f>B20_Assessment!$H$79</f>
        <v>0.5</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0.5</v>
      </c>
      <c r="E879" s="142">
        <f>B21_Assessment!$C$85</f>
        <v>0.5</v>
      </c>
      <c r="F879" s="106">
        <f>B21_Assessment!$D$85</f>
        <v>0.5</v>
      </c>
      <c r="G879" s="106">
        <f>B21_Assessment!$E$85</f>
        <v>0.5</v>
      </c>
      <c r="H879" s="106">
        <f>B21_Assessment!$F$85</f>
        <v>0.5</v>
      </c>
      <c r="I879" s="106" t="str">
        <f>B21_Assessment!$G$85</f>
        <v>Verify</v>
      </c>
      <c r="J879" s="106">
        <f>B21_Assessment!$H$85</f>
        <v>0.5</v>
      </c>
      <c r="K879" s="106" t="str">
        <f>B21_Assessment!$I$85</f>
        <v>Partial / Yellow</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0.5</v>
      </c>
      <c r="E880" s="142">
        <f>B21_Assessment!$C$86</f>
        <v>0.5</v>
      </c>
      <c r="F880" s="106">
        <f>B21_Assessment!$D$86</f>
        <v>0.5</v>
      </c>
      <c r="G880" s="106">
        <f>B21_Assessment!$E$86</f>
        <v>0.5</v>
      </c>
      <c r="H880" s="106">
        <f>B21_Assessment!$F$86</f>
        <v>0.5</v>
      </c>
      <c r="I880" s="106" t="str">
        <f>B21_Assessment!$G$86</f>
        <v>Verify</v>
      </c>
      <c r="J880" s="106">
        <f>B21_Assessment!$H$86</f>
        <v>0.5</v>
      </c>
      <c r="K880" s="106" t="str">
        <f>B21_Assessment!$I$86</f>
        <v>Partial / Yellow</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0.5</v>
      </c>
      <c r="E881" s="142">
        <f>B21_Assessment!$C$87</f>
        <v>0.5</v>
      </c>
      <c r="F881" s="106">
        <f>B21_Assessment!$D$87</f>
        <v>0.5</v>
      </c>
      <c r="G881" s="106">
        <f>B21_Assessment!$E$87</f>
        <v>0.5</v>
      </c>
      <c r="H881" s="106">
        <f>B21_Assessment!$F$87</f>
        <v>0.5</v>
      </c>
      <c r="I881" s="106" t="str">
        <f>B21_Assessment!$G$87</f>
        <v>Verify</v>
      </c>
      <c r="J881" s="106">
        <f>B21_Assessment!$H$87</f>
        <v>0.5</v>
      </c>
      <c r="K881" s="106" t="str">
        <f>B21_Assessment!$I$87</f>
        <v>Partial / Yellow</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0.5</v>
      </c>
      <c r="E882" s="142">
        <f>B22_Assessment!$C$78</f>
        <v>0.5</v>
      </c>
      <c r="F882" s="106" t="str">
        <f>B22_Assessment!$D$78</f>
        <v>N/A / Verify</v>
      </c>
      <c r="G882" s="106">
        <f>B22_Assessment!$E$78</f>
        <v>0.5</v>
      </c>
      <c r="H882" s="106">
        <f>B22_Assessment!$F$78</f>
        <v>0.5</v>
      </c>
      <c r="I882" s="106" t="str">
        <f>B22_Assessment!$G$78</f>
        <v>Verify</v>
      </c>
      <c r="J882" s="106">
        <f>B22_Assessment!$H$78</f>
        <v>0.5</v>
      </c>
      <c r="K882" s="106" t="str">
        <f>B22_Assessment!$I$78</f>
        <v>Partial / Yellow</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0.5</v>
      </c>
      <c r="E883" s="142">
        <f>B22_Assessment!$C$79</f>
        <v>0.5</v>
      </c>
      <c r="F883" s="106">
        <f>B22_Assessment!$D$79</f>
        <v>0.5</v>
      </c>
      <c r="G883" s="106">
        <f>B22_Assessment!$E$79</f>
        <v>0.5</v>
      </c>
      <c r="H883" s="106">
        <f>B22_Assessment!$F$79</f>
        <v>0.5</v>
      </c>
      <c r="I883" s="106" t="str">
        <f>B22_Assessment!$G$79</f>
        <v>Verify</v>
      </c>
      <c r="J883" s="106">
        <f>B22_Assessment!$H$79</f>
        <v>0.5</v>
      </c>
      <c r="K883" s="106" t="str">
        <f>B22_Assessment!$I$79</f>
        <v>Partial / Yellow</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0.5</v>
      </c>
      <c r="E884" s="142">
        <f>B33_Assessment!$C$78</f>
        <v>0.5</v>
      </c>
      <c r="F884" s="106" t="str">
        <f>B33_Assessment!$D$78</f>
        <v>N/A / Verify</v>
      </c>
      <c r="G884" s="106">
        <f>B33_Assessment!$E$78</f>
        <v>0.5</v>
      </c>
      <c r="H884" s="106">
        <f>B33_Assessment!$F$78</f>
        <v>0.5</v>
      </c>
      <c r="I884" s="106" t="str">
        <f>B33_Assessment!$G$78</f>
        <v>Verify</v>
      </c>
      <c r="J884" s="106">
        <f>B33_Assessment!$H$78</f>
        <v>0.5</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0.5</v>
      </c>
      <c r="E885" s="142">
        <f>B33_Assessment!$C$79</f>
        <v>0.5</v>
      </c>
      <c r="F885" s="106">
        <f>B33_Assessment!$D$79</f>
        <v>0.5</v>
      </c>
      <c r="G885" s="106">
        <f>B33_Assessment!$E$79</f>
        <v>0.5</v>
      </c>
      <c r="H885" s="106">
        <f>B33_Assessment!$F$79</f>
        <v>0.5</v>
      </c>
      <c r="I885" s="106" t="str">
        <f>B33_Assessment!$G$79</f>
        <v>Verify</v>
      </c>
      <c r="J885" s="106">
        <f>B33_Assessment!$H$79</f>
        <v>0.5</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v>
      </c>
      <c r="E886" s="142">
        <f>B61_Assessment!$C$92</f>
        <v>0</v>
      </c>
      <c r="F886" s="106">
        <f>B61_Assessment!$D$92</f>
        <v>0</v>
      </c>
      <c r="G886" s="106">
        <f>B61_Assessment!$E$92</f>
        <v>0</v>
      </c>
      <c r="H886" s="106">
        <f>B61_Assessment!$F$92</f>
        <v>0</v>
      </c>
      <c r="I886" s="106" t="str">
        <f>B61_Assessment!$G$92</f>
        <v>Verify</v>
      </c>
      <c r="J886" s="106">
        <f>B61_Assessment!$H$92</f>
        <v>0</v>
      </c>
      <c r="K886" s="106" t="str">
        <f>B61_Assessment!$I$92</f>
        <v>Verify</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v>
      </c>
      <c r="E887" s="142">
        <f>B61_Assessment!$C$93</f>
        <v>0</v>
      </c>
      <c r="F887" s="106">
        <f>B61_Assessment!$D$93</f>
        <v>0</v>
      </c>
      <c r="G887" s="106">
        <f>B61_Assessment!$E$93</f>
        <v>0</v>
      </c>
      <c r="H887" s="106">
        <f>B61_Assessment!$F$93</f>
        <v>0</v>
      </c>
      <c r="I887" s="106" t="str">
        <f>B61_Assessment!$G$93</f>
        <v>Verify</v>
      </c>
      <c r="J887" s="106">
        <f>B61_Assessment!$H$93</f>
        <v>0</v>
      </c>
      <c r="K887" s="106" t="str">
        <f>B61_Assessment!$I$93</f>
        <v>Verify</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v>
      </c>
      <c r="E888" s="142">
        <f>B61_Assessment!$C$94</f>
        <v>0</v>
      </c>
      <c r="F888" s="106">
        <f>B61_Assessment!$D$94</f>
        <v>0</v>
      </c>
      <c r="G888" s="106">
        <f>B61_Assessment!$E$94</f>
        <v>0</v>
      </c>
      <c r="H888" s="106">
        <f>B61_Assessment!$F$94</f>
        <v>0</v>
      </c>
      <c r="I888" s="106" t="str">
        <f>B61_Assessment!$G$94</f>
        <v>Verify</v>
      </c>
      <c r="J888" s="106">
        <f>B61_Assessment!$H$94</f>
        <v>0</v>
      </c>
      <c r="K888" s="106" t="str">
        <f>B61_Assessment!$I$94</f>
        <v>Verify</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v>
      </c>
      <c r="E889" s="142">
        <f>B61_Assessment!$C$95</f>
        <v>0</v>
      </c>
      <c r="F889" s="106">
        <f>B61_Assessment!$D$95</f>
        <v>0</v>
      </c>
      <c r="G889" s="106">
        <f>B61_Assessment!$E$95</f>
        <v>0</v>
      </c>
      <c r="H889" s="106">
        <f>B61_Assessment!$F$95</f>
        <v>0</v>
      </c>
      <c r="I889" s="106" t="str">
        <f>B61_Assessment!$G$95</f>
        <v>Verify</v>
      </c>
      <c r="J889" s="106">
        <f>B61_Assessment!$H$95</f>
        <v>0</v>
      </c>
      <c r="K889" s="106" t="str">
        <f>B61_Assessment!$I$95</f>
        <v>Verify</v>
      </c>
      <c r="L889" s="106" t="str">
        <f>B61_Assessment!$J$95</f>
        <v>Existing demarc/server room inventory; protect active services until cutover and acceptance complete.</v>
      </c>
    </row>
    <row r="890" spans="1:12" ht="97.5" customHeight="1">
      <c r="A890" s="106">
        <f>B62_TR_Assessment!$B$2</f>
        <v>62</v>
      </c>
      <c r="B890" s="106" t="str">
        <f t="shared" ref="B890:B921" si="88">"B62_TR_Assessment"</f>
        <v>B62_TR_Assessment</v>
      </c>
      <c r="C890" s="106" t="str">
        <f>B62_TR_Assessment!$A$76</f>
        <v>B24A</v>
      </c>
      <c r="D890" s="142">
        <f>B62_TR_Assessment!$B$76</f>
        <v>0.5</v>
      </c>
      <c r="E890" s="142">
        <f>B62_TR_Assessment!$C$76</f>
        <v>0.5</v>
      </c>
      <c r="F890" s="142">
        <f>B62_TR_Assessment!$D$76</f>
        <v>0.5</v>
      </c>
      <c r="G890" s="142">
        <f>B62_TR_Assessment!$E$76</f>
        <v>0.5</v>
      </c>
      <c r="H890" s="142">
        <f>B62_TR_Assessment!$F$76</f>
        <v>0.5</v>
      </c>
      <c r="I890" s="106" t="str">
        <f>B62_TR_Assessment!$G$76</f>
        <v>Verify</v>
      </c>
      <c r="J890" s="142">
        <f>B62_TR_Assessment!$H$76</f>
        <v>0.5</v>
      </c>
      <c r="K890" s="106" t="str">
        <f>B62_TR_Assessment!$I$76</f>
        <v>Partial / Yellow</v>
      </c>
      <c r="L890" s="106">
        <f>B62_TR_Assessment!$J$76</f>
        <v>0</v>
      </c>
    </row>
    <row r="891" spans="1:12" ht="97.5" customHeight="1">
      <c r="A891" s="106">
        <f>B62_TR_Assessment!$B$2</f>
        <v>62</v>
      </c>
      <c r="B891" s="106" t="str">
        <f t="shared" si="88"/>
        <v>B62_TR_Assessment</v>
      </c>
      <c r="C891" s="106" t="str">
        <f>B62_TR_Assessment!$A$77</f>
        <v>125</v>
      </c>
      <c r="D891" s="142">
        <f>B62_TR_Assessment!$B$77</f>
        <v>0.5</v>
      </c>
      <c r="E891" s="142">
        <f>B62_TR_Assessment!$C$77</f>
        <v>0.5</v>
      </c>
      <c r="F891" s="142">
        <f>B62_TR_Assessment!$D$77</f>
        <v>0.5</v>
      </c>
      <c r="G891" s="142">
        <f>B62_TR_Assessment!$E$77</f>
        <v>0.5</v>
      </c>
      <c r="H891" s="142">
        <f>B62_TR_Assessment!$F$77</f>
        <v>0.5</v>
      </c>
      <c r="I891" s="106" t="str">
        <f>B62_TR_Assessment!$G$77</f>
        <v>Verify</v>
      </c>
      <c r="J891" s="142">
        <f>B62_TR_Assessment!$H$77</f>
        <v>0.5</v>
      </c>
      <c r="K891" s="106" t="str">
        <f>B62_TR_Assessment!$I$77</f>
        <v>Partial / Yellow</v>
      </c>
      <c r="L891" s="106">
        <f>B62_TR_Assessment!$J$77</f>
        <v>0</v>
      </c>
    </row>
    <row r="892" spans="1:12" ht="97.5" customHeight="1">
      <c r="A892" s="106">
        <f>B62_TR_Assessment!$B$2</f>
        <v>62</v>
      </c>
      <c r="B892" s="106" t="str">
        <f t="shared" si="88"/>
        <v>B62_TR_Assessment</v>
      </c>
      <c r="C892" s="106" t="str">
        <f>B62_TR_Assessment!$A$78</f>
        <v>225</v>
      </c>
      <c r="D892" s="142">
        <f>B62_TR_Assessment!$B$78</f>
        <v>0.5</v>
      </c>
      <c r="E892" s="142">
        <f>B62_TR_Assessment!$C$78</f>
        <v>0.5</v>
      </c>
      <c r="F892" s="142">
        <f>B62_TR_Assessment!$D$78</f>
        <v>0.5</v>
      </c>
      <c r="G892" s="142">
        <f>B62_TR_Assessment!$E$78</f>
        <v>0.5</v>
      </c>
      <c r="H892" s="142">
        <f>B62_TR_Assessment!$F$78</f>
        <v>0.5</v>
      </c>
      <c r="I892" s="106" t="str">
        <f>B62_TR_Assessment!$G$78</f>
        <v>Verify</v>
      </c>
      <c r="J892" s="142">
        <f>B62_TR_Assessment!$H$78</f>
        <v>0.5</v>
      </c>
      <c r="K892" s="106" t="str">
        <f>B62_TR_Assessment!$I$78</f>
        <v>Partial / Yellow</v>
      </c>
      <c r="L892" s="106">
        <f>B62_TR_Assessment!$J$78</f>
        <v>0</v>
      </c>
    </row>
    <row r="893" spans="1:12" ht="97.5" customHeight="1">
      <c r="A893" s="106">
        <f>B70_TR_Assessment!$B$2</f>
        <v>70</v>
      </c>
      <c r="B893" s="106" t="str">
        <f t="shared" si="88"/>
        <v>B62_TR_Assessment</v>
      </c>
      <c r="C893" s="106" t="str">
        <f>B70_TR_Assessment!$A$79</f>
        <v>B27</v>
      </c>
      <c r="D893" s="142">
        <f>B70_TR_Assessment!$B$79</f>
        <v>0.5</v>
      </c>
      <c r="E893" s="142">
        <f>B70_TR_Assessment!$C$79</f>
        <v>0.5</v>
      </c>
      <c r="F893" s="142">
        <f>B70_TR_Assessment!$D$79</f>
        <v>0.5</v>
      </c>
      <c r="G893" s="142">
        <f>B70_TR_Assessment!$E$79</f>
        <v>0.5</v>
      </c>
      <c r="H893" s="142">
        <f>B70_TR_Assessment!$F$79</f>
        <v>0.5</v>
      </c>
      <c r="I893" s="106" t="str">
        <f>B70_TR_Assessment!$G$79</f>
        <v>Verify</v>
      </c>
      <c r="J893" s="142">
        <f>B70_TR_Assessment!$H$79</f>
        <v>0.5</v>
      </c>
      <c r="K893" s="106" t="str">
        <f>B70_TR_Assessment!$I$79</f>
        <v>Partial / Yellow</v>
      </c>
      <c r="L893" s="106">
        <f>B70_TR_Assessment!$J$79</f>
        <v>0</v>
      </c>
    </row>
    <row r="894" spans="1:12" ht="97.5" customHeight="1">
      <c r="A894" s="106">
        <f>B70_TR_Assessment!$B$2</f>
        <v>70</v>
      </c>
      <c r="B894" s="106" t="str">
        <f t="shared" si="88"/>
        <v>B62_TR_Assessment</v>
      </c>
      <c r="C894" s="106" t="str">
        <f>B70_TR_Assessment!$A$80</f>
        <v>125A</v>
      </c>
      <c r="D894" s="142">
        <f>B70_TR_Assessment!$B$80</f>
        <v>0.5</v>
      </c>
      <c r="E894" s="142">
        <f>B70_TR_Assessment!$C$80</f>
        <v>0.5</v>
      </c>
      <c r="F894" s="142">
        <f>B70_TR_Assessment!$D$80</f>
        <v>0.5</v>
      </c>
      <c r="G894" s="142">
        <f>B70_TR_Assessment!$E$80</f>
        <v>0.5</v>
      </c>
      <c r="H894" s="142">
        <f>B70_TR_Assessment!$F$80</f>
        <v>0.5</v>
      </c>
      <c r="I894" s="106" t="str">
        <f>B70_TR_Assessment!$G$80</f>
        <v>Verify</v>
      </c>
      <c r="J894" s="142">
        <f>B70_TR_Assessment!$H$80</f>
        <v>0.5</v>
      </c>
      <c r="K894" s="106" t="str">
        <f>B70_TR_Assessment!$I$80</f>
        <v>Partial / Yellow</v>
      </c>
      <c r="L894" s="106">
        <f>B70_TR_Assessment!$J$80</f>
        <v>0</v>
      </c>
    </row>
    <row r="895" spans="1:12" ht="97.5" customHeight="1">
      <c r="A895" s="106">
        <f>B70_TR_Assessment!$B$2</f>
        <v>70</v>
      </c>
      <c r="B895" s="106" t="str">
        <f t="shared" si="88"/>
        <v>B62_TR_Assessment</v>
      </c>
      <c r="C895" s="106" t="str">
        <f>B70_TR_Assessment!$A$81</f>
        <v>262A</v>
      </c>
      <c r="D895" s="142">
        <f>B70_TR_Assessment!$B$81</f>
        <v>0.5</v>
      </c>
      <c r="E895" s="142">
        <f>B70_TR_Assessment!$C$81</f>
        <v>0.5</v>
      </c>
      <c r="F895" s="142">
        <f>B70_TR_Assessment!$D$81</f>
        <v>0.5</v>
      </c>
      <c r="G895" s="142">
        <f>B70_TR_Assessment!$E$81</f>
        <v>0.5</v>
      </c>
      <c r="H895" s="142">
        <f>B70_TR_Assessment!$F$81</f>
        <v>0.5</v>
      </c>
      <c r="I895" s="106" t="str">
        <f>B70_TR_Assessment!$G$81</f>
        <v>Verify</v>
      </c>
      <c r="J895" s="142">
        <f>B70_TR_Assessment!$H$81</f>
        <v>0.5</v>
      </c>
      <c r="K895" s="106" t="str">
        <f>B70_TR_Assessment!$I$81</f>
        <v>Partial / Yellow</v>
      </c>
      <c r="L895" s="106">
        <f>B70_TR_Assessment!$J$81</f>
        <v>0</v>
      </c>
    </row>
    <row r="896" spans="1:12" ht="97.5" customHeight="1">
      <c r="A896" s="106">
        <f>B70_TR_Assessment!$B$2</f>
        <v>70</v>
      </c>
      <c r="B896" s="106" t="str">
        <f t="shared" si="88"/>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8"/>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8"/>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8"/>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8"/>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8"/>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8"/>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8"/>
        <v>B62_TR_Assessment</v>
      </c>
      <c r="C903" s="106" t="str">
        <f>B70_TR_Assessment!$A$237</f>
        <v>Building 70 – Telecom Room Infrastructure Scope</v>
      </c>
      <c r="D903" s="142" t="str">
        <f>B70_TR_Assessment!$A$88</f>
        <v>UPS Installation</v>
      </c>
      <c r="E903" s="142" t="str">
        <f>B70_TR_Assessment!$B$88</f>
        <v>Not Started</v>
      </c>
      <c r="F903" s="106">
        <f>B70_TR_Assessment!$C$88</f>
        <v>1</v>
      </c>
      <c r="G903" s="106">
        <f>B70_TR_Assessment!$D$88</f>
        <v>0</v>
      </c>
      <c r="H903" s="106" t="str">
        <f>B70_TR_Assessment!$E$88</f>
        <v>🟢</v>
      </c>
      <c r="I903" s="106">
        <f>B70_TR_Assessment!$F$88</f>
        <v>-1</v>
      </c>
      <c r="J903" s="106">
        <f>B70_TR_Assessment!$G$88</f>
        <v>0</v>
      </c>
      <c r="K903" s="106">
        <f>B70_TR_Assessment!$H$88</f>
        <v>0</v>
      </c>
      <c r="L903" s="106">
        <f>B70_TR_Assessment!$I$88</f>
        <v>0</v>
      </c>
    </row>
    <row r="904" spans="1:12" ht="97.5" customHeight="1">
      <c r="A904" s="106">
        <f>B70_TR_Assessment!$B$2</f>
        <v>70</v>
      </c>
      <c r="B904" s="106" t="str">
        <f t="shared" si="88"/>
        <v>B62_TR_Assessment</v>
      </c>
      <c r="C904" s="106" t="str">
        <f>B70_TR_Assessment!$A$239</f>
        <v>Existing Conditions Survey</v>
      </c>
      <c r="D904" s="142" t="str">
        <f>B70_TR_Assessment!$A$90</f>
        <v>Firestopping</v>
      </c>
      <c r="E904" s="142" t="str">
        <f>B70_TR_Assessment!$B$90</f>
        <v>Not Started</v>
      </c>
      <c r="F904" s="106">
        <f>B70_TR_Assessment!$C$90</f>
        <v>1</v>
      </c>
      <c r="G904" s="106">
        <f>B70_TR_Assessment!$D$90</f>
        <v>0</v>
      </c>
      <c r="H904" s="106" t="str">
        <f>B70_TR_Assessment!$E$90</f>
        <v>🟢</v>
      </c>
      <c r="I904" s="106">
        <f>B70_TR_Assessment!$F$90</f>
        <v>-1</v>
      </c>
      <c r="J904" s="106">
        <f>B70_TR_Assessment!$G$90</f>
        <v>0</v>
      </c>
      <c r="K904" s="106">
        <f>B70_TR_Assessment!$H$90</f>
        <v>0</v>
      </c>
      <c r="L904" s="106">
        <f>B70_TR_Assessment!$I$90</f>
        <v>0</v>
      </c>
    </row>
    <row r="905" spans="1:12" ht="97.5" customHeight="1">
      <c r="A905" s="106">
        <f>B70_TR_Assessment!$B$2</f>
        <v>70</v>
      </c>
      <c r="B905" s="106" t="str">
        <f t="shared" si="88"/>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8"/>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8"/>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8"/>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8"/>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8"/>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8"/>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8"/>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8"/>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8"/>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8"/>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8"/>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8"/>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8"/>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8"/>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8"/>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8"/>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9">"B62_TR_Assessment"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9"/>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9"/>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9"/>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9"/>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9"/>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9"/>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9"/>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9"/>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9"/>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9"/>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9"/>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9"/>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9"/>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9"/>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9"/>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9"/>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9"/>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9"/>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9"/>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9"/>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9"/>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9"/>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9"/>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9"/>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9"/>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9"/>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9"/>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9"/>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9"/>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9"/>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9"/>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90">"B70_TR_Assessment"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90"/>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90"/>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90"/>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90"/>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90"/>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90"/>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90"/>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90"/>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90"/>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90"/>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90"/>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90"/>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90"/>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90"/>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90"/>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90"/>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90"/>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90"/>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90"/>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90"/>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90"/>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90"/>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90"/>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90"/>
        <v>B70_TR_Assessment</v>
      </c>
      <c r="C978" s="106" t="str">
        <f>B78_Assessment!$A$113</f>
        <v>B30</v>
      </c>
      <c r="D978" s="142">
        <f>B78_Assessment!$B$113</f>
        <v>0.5</v>
      </c>
      <c r="E978" s="142">
        <f>B78_Assessment!$C$113</f>
        <v>0.5</v>
      </c>
      <c r="F978" s="106">
        <f>B78_Assessment!$D$113</f>
        <v>0.5</v>
      </c>
      <c r="G978" s="106">
        <f>B78_Assessment!$E$113</f>
        <v>0.5</v>
      </c>
      <c r="H978" s="106">
        <f>B78_Assessment!$F$113</f>
        <v>0.5</v>
      </c>
      <c r="I978" s="106" t="str">
        <f>B78_Assessment!$G$113</f>
        <v>Verify</v>
      </c>
      <c r="J978" s="106">
        <f>B78_Assessment!$H$113</f>
        <v>0.5</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90"/>
        <v>B70_TR_Assessment</v>
      </c>
      <c r="C979" s="106" t="str">
        <f>B78_Assessment!$A$114</f>
        <v>B35</v>
      </c>
      <c r="D979" s="142">
        <f>B78_Assessment!$B$114</f>
        <v>0.5</v>
      </c>
      <c r="E979" s="142">
        <f>B78_Assessment!$C$114</f>
        <v>0.5</v>
      </c>
      <c r="F979" s="106">
        <f>B78_Assessment!$D$114</f>
        <v>0.5</v>
      </c>
      <c r="G979" s="106">
        <f>B78_Assessment!$E$114</f>
        <v>0.5</v>
      </c>
      <c r="H979" s="106">
        <f>B78_Assessment!$F$114</f>
        <v>0.5</v>
      </c>
      <c r="I979" s="106" t="str">
        <f>B78_Assessment!$G$114</f>
        <v>Verify</v>
      </c>
      <c r="J979" s="106">
        <f>B78_Assessment!$H$114</f>
        <v>0.5</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90"/>
        <v>B70_TR_Assessment</v>
      </c>
      <c r="C980" s="106" t="str">
        <f>B78_Assessment!$A$115</f>
        <v>1232</v>
      </c>
      <c r="D980" s="142">
        <f>B78_Assessment!$B$115</f>
        <v>0.5</v>
      </c>
      <c r="E980" s="142">
        <f>B78_Assessment!$C$115</f>
        <v>0.5</v>
      </c>
      <c r="F980" s="106">
        <f>B78_Assessment!$D$115</f>
        <v>0.5</v>
      </c>
      <c r="G980" s="106">
        <f>B78_Assessment!$E$115</f>
        <v>0.5</v>
      </c>
      <c r="H980" s="106">
        <f>B78_Assessment!$F$115</f>
        <v>0.5</v>
      </c>
      <c r="I980" s="106" t="str">
        <f>B78_Assessment!$G$115</f>
        <v>Verify</v>
      </c>
      <c r="J980" s="106">
        <f>B78_Assessment!$H$115</f>
        <v>0.5</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90"/>
        <v>B70_TR_Assessment</v>
      </c>
      <c r="C981" s="106" t="str">
        <f>B78_Assessment!$A$116</f>
        <v>227A</v>
      </c>
      <c r="D981" s="142">
        <f>B78_Assessment!$B$116</f>
        <v>0.5</v>
      </c>
      <c r="E981" s="142">
        <f>B78_Assessment!$C$116</f>
        <v>0.5</v>
      </c>
      <c r="F981" s="106">
        <f>B78_Assessment!$D$116</f>
        <v>0.5</v>
      </c>
      <c r="G981" s="106">
        <f>B78_Assessment!$E$116</f>
        <v>0.5</v>
      </c>
      <c r="H981" s="106">
        <f>B78_Assessment!$F$116</f>
        <v>0.5</v>
      </c>
      <c r="I981" s="106" t="str">
        <f>B78_Assessment!$G$116</f>
        <v>Verify</v>
      </c>
      <c r="J981" s="106">
        <f>B78_Assessment!$H$116</f>
        <v>0.5</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0.5</v>
      </c>
      <c r="E982" s="142">
        <f>B78_Assessment!$C$117</f>
        <v>0.5</v>
      </c>
      <c r="F982" s="106">
        <f>B78_Assessment!$D$117</f>
        <v>0.5</v>
      </c>
      <c r="G982" s="106">
        <f>B78_Assessment!$E$117</f>
        <v>0.5</v>
      </c>
      <c r="H982" s="106">
        <f>B78_Assessment!$F$117</f>
        <v>0.5</v>
      </c>
      <c r="I982" s="106" t="str">
        <f>B78_Assessment!$G$117</f>
        <v>Verify</v>
      </c>
      <c r="J982" s="106">
        <f>B78_Assessment!$H$117</f>
        <v>0.5</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0.5</v>
      </c>
      <c r="E983" s="142">
        <f>B78_Assessment!$C$118</f>
        <v>0.5</v>
      </c>
      <c r="F983" s="106">
        <f>B78_Assessment!$D$118</f>
        <v>0.5</v>
      </c>
      <c r="G983" s="106">
        <f>B78_Assessment!$E$118</f>
        <v>0.5</v>
      </c>
      <c r="H983" s="106">
        <f>B78_Assessment!$F$118</f>
        <v>0.5</v>
      </c>
      <c r="I983" s="106" t="str">
        <f>B78_Assessment!$G$118</f>
        <v>Verify</v>
      </c>
      <c r="J983" s="106">
        <f>B78_Assessment!$H$118</f>
        <v>0.5</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0.5</v>
      </c>
      <c r="E984" s="142">
        <f>B78_Assessment!$C$119</f>
        <v>0.5</v>
      </c>
      <c r="F984" s="106">
        <f>B78_Assessment!$D$119</f>
        <v>0.5</v>
      </c>
      <c r="G984" s="106">
        <f>B78_Assessment!$E$119</f>
        <v>0.5</v>
      </c>
      <c r="H984" s="106">
        <f>B78_Assessment!$F$119</f>
        <v>0.5</v>
      </c>
      <c r="I984" s="106" t="str">
        <f>B78_Assessment!$G$119</f>
        <v>Verify</v>
      </c>
      <c r="J984" s="106">
        <f>B78_Assessment!$H$119</f>
        <v>0.5</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0.5</v>
      </c>
      <c r="E985" s="142">
        <f>B80_Assessment!$C$78</f>
        <v>0.5</v>
      </c>
      <c r="F985" s="106">
        <f>B80_Assessment!$D$78</f>
        <v>0.5</v>
      </c>
      <c r="G985" s="106">
        <f>B80_Assessment!$E$78</f>
        <v>0.5</v>
      </c>
      <c r="H985" s="106">
        <f>B80_Assessment!$F$78</f>
        <v>0.5</v>
      </c>
      <c r="I985" s="106" t="str">
        <f>B80_Assessment!$G$78</f>
        <v>Verify</v>
      </c>
      <c r="J985" s="106">
        <f>B80_Assessment!$H$78</f>
        <v>0.5</v>
      </c>
      <c r="K985" s="106" t="str">
        <f>B80_Assessment!$I$78</f>
        <v>Partial / Yellow</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0.5</v>
      </c>
      <c r="E986" s="142">
        <f>B80_Assessment!$C$79</f>
        <v>0.5</v>
      </c>
      <c r="F986" s="106">
        <f>B80_Assessment!$D$79</f>
        <v>0.5</v>
      </c>
      <c r="G986" s="106">
        <f>B80_Assessment!$E$79</f>
        <v>0.5</v>
      </c>
      <c r="H986" s="106">
        <f>B80_Assessment!$F$79</f>
        <v>0.5</v>
      </c>
      <c r="I986" s="106" t="str">
        <f>B80_Assessment!$G$79</f>
        <v>Verify</v>
      </c>
      <c r="J986" s="106">
        <f>B80_Assessment!$H$79</f>
        <v>0.5</v>
      </c>
      <c r="K986" s="106" t="str">
        <f>B80_Assessment!$I$79</f>
        <v>Partial / Yellow</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0.5</v>
      </c>
      <c r="E987" s="142">
        <f>B82_Assessment!$C$78</f>
        <v>0.5</v>
      </c>
      <c r="F987" s="106">
        <f>B82_Assessment!$D$78</f>
        <v>0.5</v>
      </c>
      <c r="G987" s="106">
        <f>B82_Assessment!$E$78</f>
        <v>0.5</v>
      </c>
      <c r="H987" s="106">
        <f>B82_Assessment!$F$78</f>
        <v>0.5</v>
      </c>
      <c r="I987" s="106" t="str">
        <f>B82_Assessment!$G$78</f>
        <v>Verify</v>
      </c>
      <c r="J987" s="106">
        <f>B82_Assessment!$H$78</f>
        <v>0.5</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0.5</v>
      </c>
      <c r="E988" s="142">
        <f>B82_Assessment!$C$79</f>
        <v>0.5</v>
      </c>
      <c r="F988" s="106">
        <f>B82_Assessment!$D$79</f>
        <v>0.5</v>
      </c>
      <c r="G988" s="106">
        <f>B82_Assessment!$E$79</f>
        <v>0.5</v>
      </c>
      <c r="H988" s="106">
        <f>B82_Assessment!$F$79</f>
        <v>0.5</v>
      </c>
      <c r="I988" s="106" t="str">
        <f>B82_Assessment!$G$79</f>
        <v>Verify</v>
      </c>
      <c r="J988" s="106">
        <f>B82_Assessment!$H$79</f>
        <v>0.5</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0.5</v>
      </c>
      <c r="E989" s="142">
        <f>BCH_Assessment!$C$78</f>
        <v>0.5</v>
      </c>
      <c r="F989" s="106" t="str">
        <f>BCH_Assessment!$D$78</f>
        <v>N/A / Verify</v>
      </c>
      <c r="G989" s="106">
        <f>BCH_Assessment!$E$78</f>
        <v>0.5</v>
      </c>
      <c r="H989" s="106">
        <f>BCH_Assessment!$F$78</f>
        <v>0.5</v>
      </c>
      <c r="I989" s="106" t="str">
        <f>BCH_Assessment!$G$78</f>
        <v>Verify</v>
      </c>
      <c r="J989" s="106">
        <f>BCH_Assessment!$H$78</f>
        <v>0.5</v>
      </c>
      <c r="K989" s="106" t="str">
        <f>BCH_Assessment!$I$78</f>
        <v>Partial / Yellow</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0.5</v>
      </c>
      <c r="E990" s="142">
        <f>BCH_Assessment!$C$79</f>
        <v>0.5</v>
      </c>
      <c r="F990" s="106" t="str">
        <f>BCH_Assessment!$D$79</f>
        <v>N/A / Verify</v>
      </c>
      <c r="G990" s="106">
        <f>BCH_Assessment!$E$79</f>
        <v>0.5</v>
      </c>
      <c r="H990" s="106">
        <f>BCH_Assessment!$F$79</f>
        <v>0.5</v>
      </c>
      <c r="I990" s="106" t="str">
        <f>BCH_Assessment!$G$79</f>
        <v>Verify</v>
      </c>
      <c r="J990" s="106">
        <f>BCH_Assessment!$H$79</f>
        <v>0.5</v>
      </c>
      <c r="K990" s="106" t="str">
        <f>BCH_Assessment!$I$79</f>
        <v>Partial / Yellow</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0.5</v>
      </c>
      <c r="E991" s="142">
        <f>MCR_Assessment!$C$101</f>
        <v>0.5</v>
      </c>
      <c r="F991" s="106">
        <f>MCR_Assessment!$D$101</f>
        <v>0.5</v>
      </c>
      <c r="G991" s="106">
        <f>MCR_Assessment!$E$101</f>
        <v>0.5</v>
      </c>
      <c r="H991" s="106">
        <f>MCR_Assessment!$F$101</f>
        <v>0.5</v>
      </c>
      <c r="I991" s="106" t="str">
        <f>MCR_Assessment!$G$101</f>
        <v>Verify</v>
      </c>
      <c r="J991" s="106">
        <f>MCR_Assessment!$H$101</f>
        <v>0.5</v>
      </c>
      <c r="K991" s="106" t="str">
        <f>MCR_Assessment!$I$101</f>
        <v>Partial / Yellow</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0.5</v>
      </c>
      <c r="E992" s="142">
        <f>MCR_Assessment!$C$102</f>
        <v>0.5</v>
      </c>
      <c r="F992" s="106">
        <f>MCR_Assessment!$D$102</f>
        <v>0.5</v>
      </c>
      <c r="G992" s="106">
        <f>MCR_Assessment!$E$102</f>
        <v>0.5</v>
      </c>
      <c r="H992" s="106">
        <f>MCR_Assessment!$F$102</f>
        <v>0.5</v>
      </c>
      <c r="I992" s="106" t="str">
        <f>MCR_Assessment!$G$102</f>
        <v>Verify</v>
      </c>
      <c r="J992" s="106">
        <f>MCR_Assessment!$H$102</f>
        <v>0.5</v>
      </c>
      <c r="K992" s="106" t="str">
        <f>MCR_Assessment!$I$102</f>
        <v>Partial / Yellow</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0.5</v>
      </c>
      <c r="E993" s="142">
        <f>MCR_Assessment!$C$103</f>
        <v>0.5</v>
      </c>
      <c r="F993" s="106">
        <f>MCR_Assessment!$D$103</f>
        <v>0.5</v>
      </c>
      <c r="G993" s="106">
        <f>MCR_Assessment!$E$103</f>
        <v>0.5</v>
      </c>
      <c r="H993" s="106">
        <f>MCR_Assessment!$F$103</f>
        <v>0.5</v>
      </c>
      <c r="I993" s="106" t="str">
        <f>MCR_Assessment!$G$103</f>
        <v>Verify</v>
      </c>
      <c r="J993" s="106">
        <f>MCR_Assessment!$H$103</f>
        <v>0.5</v>
      </c>
      <c r="K993" s="106" t="str">
        <f>MCR_Assessment!$I$103</f>
        <v>Partial / Yellow</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0.5</v>
      </c>
      <c r="E994" s="142">
        <f>MCR_Assessment!$C$104</f>
        <v>0.5</v>
      </c>
      <c r="F994" s="106">
        <f>MCR_Assessment!$D$104</f>
        <v>0.5</v>
      </c>
      <c r="G994" s="106">
        <f>MCR_Assessment!$E$104</f>
        <v>0.5</v>
      </c>
      <c r="H994" s="106">
        <f>MCR_Assessment!$F$104</f>
        <v>0.5</v>
      </c>
      <c r="I994" s="106" t="str">
        <f>MCR_Assessment!$G$104</f>
        <v>Verify</v>
      </c>
      <c r="J994" s="106">
        <f>MCR_Assessment!$H$104</f>
        <v>0.5</v>
      </c>
      <c r="K994" s="106" t="str">
        <f>MCR_Assessment!$I$104</f>
        <v>Partial / Yellow</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0.5</v>
      </c>
      <c r="E995" s="142">
        <f>MCR_Assessment!$C$105</f>
        <v>0.5</v>
      </c>
      <c r="F995" s="106">
        <f>MCR_Assessment!$D$105</f>
        <v>0.5</v>
      </c>
      <c r="G995" s="106">
        <f>MCR_Assessment!$E$105</f>
        <v>0.5</v>
      </c>
      <c r="H995" s="106">
        <f>MCR_Assessment!$F$105</f>
        <v>0.5</v>
      </c>
      <c r="I995" s="106" t="str">
        <f>MCR_Assessment!$G$105</f>
        <v>Verify</v>
      </c>
      <c r="J995" s="106">
        <f>MCR_Assessment!$H$105</f>
        <v>0.5</v>
      </c>
      <c r="K995" s="106" t="str">
        <f>MCR_Assessment!$I$105</f>
        <v>Partial / Yellow</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0.5</v>
      </c>
      <c r="E996" s="142">
        <f>SITE_Assesment!$C$99</f>
        <v>0.5</v>
      </c>
      <c r="F996" s="106">
        <f>SITE_Assesment!$D$99</f>
        <v>0.5</v>
      </c>
      <c r="G996" s="106">
        <f>SITE_Assesment!$E$99</f>
        <v>0.5</v>
      </c>
      <c r="H996" s="106">
        <f>SITE_Assesment!$F$99</f>
        <v>0.5</v>
      </c>
      <c r="I996" s="106" t="str">
        <f>SITE_Assesment!$G$99</f>
        <v>Verify</v>
      </c>
      <c r="J996" s="106">
        <f>SITE_Assesment!$H$99</f>
        <v>0.5</v>
      </c>
      <c r="K996" s="106" t="str">
        <f>SITE_Assesment!$I$99</f>
        <v>Partial / Yellow</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0.5</v>
      </c>
      <c r="E997" s="142">
        <f>SITE_Assesment!$C$100</f>
        <v>0.5</v>
      </c>
      <c r="F997" s="106">
        <f>SITE_Assesment!$D$100</f>
        <v>0.5</v>
      </c>
      <c r="G997" s="106">
        <f>SITE_Assesment!$E$100</f>
        <v>0.5</v>
      </c>
      <c r="H997" s="106">
        <f>SITE_Assesment!$F$100</f>
        <v>0.5</v>
      </c>
      <c r="I997" s="106" t="str">
        <f>SITE_Assesment!$G$100</f>
        <v>Verify</v>
      </c>
      <c r="J997" s="106">
        <f>SITE_Assesment!$H$100</f>
        <v>0.5</v>
      </c>
      <c r="K997" s="106" t="str">
        <f>SITE_Assesment!$I$100</f>
        <v>Partial / Yellow</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0.5</v>
      </c>
      <c r="E998" s="106">
        <f>SITE_Assesment!$C$101</f>
        <v>0.5</v>
      </c>
      <c r="F998" s="106">
        <f>SITE_Assesment!$D$101</f>
        <v>0.5</v>
      </c>
      <c r="G998" s="106">
        <f>SITE_Assesment!$E$101</f>
        <v>0.5</v>
      </c>
      <c r="H998" s="106">
        <f>SITE_Assesment!$F$101</f>
        <v>0.5</v>
      </c>
      <c r="I998" s="106" t="str">
        <f>SITE_Assesment!$G$101</f>
        <v>Verify</v>
      </c>
      <c r="J998" s="106">
        <f>SITE_Assesment!$H$101</f>
        <v>0.5</v>
      </c>
      <c r="K998" s="106" t="str">
        <f>SITE_Assesment!$I$101</f>
        <v>Partial / Yellow</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0.5</v>
      </c>
      <c r="E999" s="106">
        <f>SITE_Assesment!$C$102</f>
        <v>0.5</v>
      </c>
      <c r="F999" s="106">
        <f>SITE_Assesment!$D$102</f>
        <v>0.5</v>
      </c>
      <c r="G999" s="106">
        <f>SITE_Assesment!$E$102</f>
        <v>0.5</v>
      </c>
      <c r="H999" s="106">
        <f>SITE_Assesment!$F$102</f>
        <v>0.5</v>
      </c>
      <c r="I999" s="106" t="str">
        <f>SITE_Assesment!$G$102</f>
        <v>Verify</v>
      </c>
      <c r="J999" s="106">
        <f>SITE_Assesment!$H$102</f>
        <v>0.5</v>
      </c>
      <c r="K999" s="106" t="str">
        <f>SITE_Assesment!$I$102</f>
        <v>Partial / Yellow</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0.5</v>
      </c>
      <c r="E1000" s="106">
        <f>SITE_Assesment!$C$103</f>
        <v>0.5</v>
      </c>
      <c r="F1000" s="106">
        <f>SITE_Assesment!$D$103</f>
        <v>0.5</v>
      </c>
      <c r="G1000" s="106">
        <f>SITE_Assesment!$E$103</f>
        <v>0.5</v>
      </c>
      <c r="H1000" s="106">
        <f>SITE_Assesment!$F$103</f>
        <v>0.5</v>
      </c>
      <c r="I1000" s="106" t="str">
        <f>SITE_Assesment!$G$103</f>
        <v>Verify</v>
      </c>
      <c r="J1000" s="106">
        <f>SITE_Assesment!$H$103</f>
        <v>0.5</v>
      </c>
      <c r="K1000" s="106" t="str">
        <f>SITE_Assesment!$I$103</f>
        <v>Partial / Yellow</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91">"B01_Assessment"</f>
        <v>B01_Assessment</v>
      </c>
      <c r="C1003" s="106"/>
      <c r="D1003" s="142"/>
      <c r="E1003" s="142"/>
      <c r="F1003" s="106"/>
    </row>
    <row r="1004" spans="1:12" ht="97.5" customHeight="1">
      <c r="A1004" s="19" t="s">
        <v>898</v>
      </c>
      <c r="B1004" s="19" t="str">
        <f t="shared" si="91"/>
        <v>B01_Assessment</v>
      </c>
      <c r="C1004" s="19"/>
      <c r="D1004" s="144"/>
      <c r="E1004" s="144"/>
      <c r="F1004" s="19"/>
      <c r="G1004" s="19"/>
    </row>
    <row r="1005" spans="1:12" ht="97.5" customHeight="1">
      <c r="A1005" s="146" t="s">
        <v>142</v>
      </c>
      <c r="B1005" s="146" t="str">
        <f t="shared" si="91"/>
        <v>B01_Assessment</v>
      </c>
      <c r="C1005" s="146" t="s">
        <v>284</v>
      </c>
      <c r="D1005" s="147" t="s">
        <v>275</v>
      </c>
      <c r="E1005" s="147" t="s">
        <v>899</v>
      </c>
      <c r="F1005" s="146" t="s">
        <v>11</v>
      </c>
      <c r="G1005" s="146" t="s">
        <v>900</v>
      </c>
    </row>
    <row r="1006" spans="1:12" ht="97.5" customHeight="1">
      <c r="A1006" s="106" t="str">
        <f>B01_Assessment!$B$2</f>
        <v>01</v>
      </c>
      <c r="B1006" s="106" t="str">
        <f t="shared" si="91"/>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91"/>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91"/>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91"/>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91"/>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91"/>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91"/>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91"/>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91"/>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91"/>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91"/>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91"/>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91"/>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91"/>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91"/>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91"/>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91"/>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91"/>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91"/>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91"/>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91"/>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91"/>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91"/>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91"/>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91"/>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91"/>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91"/>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91"/>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91"/>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91"/>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91"/>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91"/>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91"/>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91"/>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91"/>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91"/>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91"/>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92">"B02_Assessment"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92"/>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92"/>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92"/>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92"/>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92"/>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92"/>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92"/>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92"/>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92"/>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92"/>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92"/>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92"/>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92"/>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92"/>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92"/>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92"/>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92"/>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92"/>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92"/>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93">"B03_Assessment"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93"/>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93"/>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93"/>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93"/>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93"/>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93"/>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93"/>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93"/>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93"/>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93"/>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93"/>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93"/>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93"/>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93"/>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94">"B04_Assessment"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94"/>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94"/>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94"/>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94"/>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94"/>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94"/>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94"/>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94"/>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94"/>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5">"B05_Assessment"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5"/>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5"/>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5"/>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5"/>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5"/>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5"/>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5"/>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5"/>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5"/>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5"/>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5"/>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5"/>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5"/>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5"/>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6">"B06_Assessment"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6"/>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6"/>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6"/>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6"/>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6"/>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6"/>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6"/>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6"/>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6"/>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7">"B07_Assessment"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7"/>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7"/>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7"/>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7"/>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7"/>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7"/>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7"/>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7"/>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7"/>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7"/>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7"/>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7"/>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7"/>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7"/>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8">"B08_Assessment"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8"/>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8"/>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8"/>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8"/>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8"/>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8"/>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8"/>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8"/>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8"/>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8"/>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8"/>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8"/>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8"/>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8"/>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9">"B09_Assessment"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9"/>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9"/>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9"/>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9"/>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9"/>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9"/>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9"/>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9"/>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9"/>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9"/>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9"/>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9"/>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9"/>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9"/>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100">"B10_Assessment"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100"/>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100"/>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100"/>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100"/>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100"/>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100"/>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100"/>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100"/>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100"/>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101">"B12_Assessment"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101"/>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101"/>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101"/>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101"/>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101"/>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101"/>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101"/>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101"/>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101"/>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102">"B13_Assessment"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102"/>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102"/>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102"/>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102"/>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102"/>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102"/>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102"/>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102"/>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102"/>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102"/>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102"/>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102"/>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102"/>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102"/>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103">"B14_Assessment"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103"/>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103"/>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103"/>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103"/>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103"/>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103"/>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103"/>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103"/>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103"/>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103"/>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103"/>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103"/>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103"/>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103"/>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104">"B15_Assessment"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104"/>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104"/>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104"/>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104"/>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104"/>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104"/>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104"/>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104"/>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104"/>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5">"B16_Assessment"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5"/>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5"/>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5"/>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5"/>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5"/>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5"/>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5"/>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5"/>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5"/>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5"/>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5"/>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5"/>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5"/>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5"/>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6">"B17_Assessment"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6"/>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6"/>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6"/>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6"/>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6"/>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6"/>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6"/>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6"/>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6"/>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6"/>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6"/>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6"/>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6"/>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6"/>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7">"B18_Assessment"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7"/>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7"/>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7"/>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7"/>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7"/>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7"/>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7"/>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7"/>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7"/>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8">"B20_Assessment"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8"/>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8"/>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8"/>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8"/>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8"/>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8"/>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8"/>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8"/>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8"/>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8"/>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8"/>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8"/>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8"/>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8"/>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9">"B21_Assessment"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9"/>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9"/>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9"/>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9"/>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9"/>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9"/>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9"/>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9"/>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9"/>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10">"B22_Assessment"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10"/>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10"/>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10"/>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10"/>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10"/>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10"/>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10"/>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10"/>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10"/>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11">"B33_Assessment"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11"/>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11"/>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11"/>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11"/>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11"/>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11"/>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11"/>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11"/>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11"/>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11"/>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11"/>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11"/>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11"/>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11"/>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11"/>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11"/>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11"/>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11"/>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11"/>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12">"B61_Assessment"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12"/>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12"/>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12"/>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12"/>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12"/>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12"/>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12"/>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12"/>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13">"B62_TR_Assessment"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13"/>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13"/>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13"/>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13"/>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13"/>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13"/>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13"/>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13"/>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14">"B70_TR_Assessment"</f>
        <v>B70_TR_Assessment</v>
      </c>
      <c r="C1331" s="106" t="str">
        <f t="shared" ref="C1331:C1337" si="115">"Electrical"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14"/>
        <v>B70_TR_Assessment</v>
      </c>
      <c r="C1332" s="106" t="str">
        <f t="shared" si="115"/>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14"/>
        <v>B70_TR_Assessment</v>
      </c>
      <c r="C1333" s="106" t="str">
        <f t="shared" si="115"/>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14"/>
        <v>B70_TR_Assessment</v>
      </c>
      <c r="C1334" s="106" t="str">
        <f t="shared" si="115"/>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14"/>
        <v>B70_TR_Assessment</v>
      </c>
      <c r="C1335" s="106" t="str">
        <f t="shared" si="115"/>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14"/>
        <v>B70_TR_Assessment</v>
      </c>
      <c r="C1336" s="106" t="str">
        <f t="shared" si="115"/>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14"/>
        <v>B70_TR_Assessment</v>
      </c>
      <c r="C1337" s="106" t="str">
        <f t="shared" si="115"/>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14"/>
        <v>B70_TR_Assessment</v>
      </c>
      <c r="C1338" s="106" t="str">
        <f t="shared" ref="C1338:C1344" si="116">"Fire"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14"/>
        <v>B70_TR_Assessment</v>
      </c>
      <c r="C1339" s="106" t="str">
        <f t="shared" si="116"/>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14"/>
        <v>B70_TR_Assessment</v>
      </c>
      <c r="C1340" s="106" t="str">
        <f t="shared" si="116"/>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14"/>
        <v>B70_TR_Assessment</v>
      </c>
      <c r="C1341" s="106" t="str">
        <f t="shared" si="116"/>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14"/>
        <v>B70_TR_Assessment</v>
      </c>
      <c r="C1342" s="106" t="str">
        <f t="shared" si="116"/>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14"/>
        <v>B70_TR_Assessment</v>
      </c>
      <c r="C1343" s="106" t="str">
        <f t="shared" si="116"/>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14"/>
        <v>B70_TR_Assessment</v>
      </c>
      <c r="C1344" s="106" t="str">
        <f t="shared" si="116"/>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14"/>
        <v>B70_TR_Assessment</v>
      </c>
      <c r="C1345" s="106" t="str">
        <f t="shared" ref="C1345:C1351" si="117">"HVAC"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14"/>
        <v>B70_TR_Assessment</v>
      </c>
      <c r="C1346" s="106" t="str">
        <f t="shared" si="117"/>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14"/>
        <v>B70_TR_Assessment</v>
      </c>
      <c r="C1347" s="106" t="str">
        <f t="shared" si="117"/>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14"/>
        <v>B70_TR_Assessment</v>
      </c>
      <c r="C1348" s="106" t="str">
        <f t="shared" si="117"/>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14"/>
        <v>B70_TR_Assessment</v>
      </c>
      <c r="C1349" s="106" t="str">
        <f t="shared" si="117"/>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14"/>
        <v>B70_TR_Assessment</v>
      </c>
      <c r="C1350" s="106" t="str">
        <f t="shared" si="117"/>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14"/>
        <v>B70_TR_Assessment</v>
      </c>
      <c r="C1351" s="106" t="str">
        <f t="shared" si="117"/>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14"/>
        <v>B70_TR_Assessment</v>
      </c>
      <c r="C1352" s="106" t="str">
        <f t="shared" ref="C1352:C1358" si="118">"Electrical"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14"/>
        <v>B70_TR_Assessment</v>
      </c>
      <c r="C1353" s="106" t="str">
        <f t="shared" si="118"/>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14"/>
        <v>B70_TR_Assessment</v>
      </c>
      <c r="C1354" s="106" t="str">
        <f t="shared" si="118"/>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14"/>
        <v>B70_TR_Assessment</v>
      </c>
      <c r="C1355" s="106" t="str">
        <f t="shared" si="118"/>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14"/>
        <v>B70_TR_Assessment</v>
      </c>
      <c r="C1356" s="106" t="str">
        <f t="shared" si="118"/>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14"/>
        <v>B70_TR_Assessment</v>
      </c>
      <c r="C1357" s="106" t="str">
        <f t="shared" si="118"/>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14"/>
        <v>B70_TR_Assessment</v>
      </c>
      <c r="C1358" s="106" t="str">
        <f t="shared" si="118"/>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14"/>
        <v>B70_TR_Assessment</v>
      </c>
      <c r="C1359" s="106" t="str">
        <f t="shared" ref="C1359:C1365" si="119">"Telecom"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14"/>
        <v>B70_TR_Assessment</v>
      </c>
      <c r="C1360" s="106" t="str">
        <f t="shared" si="119"/>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14"/>
        <v>B70_TR_Assessment</v>
      </c>
      <c r="C1361" s="106" t="str">
        <f t="shared" si="119"/>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14"/>
        <v>B70_TR_Assessment</v>
      </c>
      <c r="C1362" s="106" t="str">
        <f t="shared" si="119"/>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14"/>
        <v>B70_TR_Assessment</v>
      </c>
      <c r="C1363" s="106" t="str">
        <f t="shared" si="119"/>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14"/>
        <v>B70_TR_Assessment</v>
      </c>
      <c r="C1364" s="106" t="str">
        <f t="shared" si="119"/>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14"/>
        <v>B70_TR_Assessment</v>
      </c>
      <c r="C1365" s="106" t="str">
        <f t="shared" si="119"/>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20">"B78_Assessment"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20"/>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20"/>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20"/>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20"/>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20"/>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20"/>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20"/>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20"/>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20"/>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21">"B80_Assessment"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21"/>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21"/>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21"/>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21"/>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21"/>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21"/>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21"/>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21"/>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21"/>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22">"B82_Assessment"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22"/>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22"/>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22"/>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22"/>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22"/>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22"/>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22"/>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22"/>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22"/>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23">"BCH_Assessment"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23"/>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23"/>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23"/>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23"/>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23"/>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23"/>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23"/>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23"/>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23"/>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23"/>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23"/>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23"/>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23"/>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23"/>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23"/>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23"/>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23"/>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23"/>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23"/>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23"/>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23"/>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23"/>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23"/>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23"/>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24">"MCR_Assessment"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24"/>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24"/>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24"/>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24"/>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24"/>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24"/>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24"/>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24"/>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24"/>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24"/>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35"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34" priority="8">
      <formula>ISNUMBER(SEARCH("ATTENTION",AN3))</formula>
    </cfRule>
    <cfRule type="expression" dxfId="1433" priority="9">
      <formula>ISNUMBER(SEARCH("WATCH",AN3))</formula>
    </cfRule>
    <cfRule type="expression" dxfId="1432"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workbookViewId="0">
      <selection activeCell="B6" sqref="B6"/>
    </sheetView>
  </sheetViews>
  <sheetFormatPr defaultColWidth="8.7109375" defaultRowHeight="15"/>
  <cols>
    <col min="1" max="1" width="26" style="8" customWidth="1"/>
    <col min="2" max="2" width="18" style="8" customWidth="1"/>
    <col min="3" max="3" width="20" style="8" customWidth="1"/>
    <col min="4" max="6" width="18" style="8" customWidth="1"/>
    <col min="7" max="7" width="20" style="8" customWidth="1"/>
    <col min="8" max="8" width="31.7109375" style="8" customWidth="1"/>
    <col min="9" max="9" width="14.28515625" style="8" customWidth="1"/>
    <col min="10" max="10" width="34" style="8" customWidth="1"/>
    <col min="11" max="12" width="8.7109375" style="8" customWidth="1"/>
    <col min="13" max="16384" width="8.7109375" style="8"/>
  </cols>
  <sheetData>
    <row r="1" spans="1:10">
      <c r="A1" s="929" t="s">
        <v>901</v>
      </c>
      <c r="B1" s="896"/>
      <c r="C1" s="896"/>
      <c r="D1" s="896"/>
      <c r="E1" s="896"/>
      <c r="F1" s="896"/>
      <c r="G1" s="896"/>
      <c r="H1" s="896"/>
      <c r="I1" s="896"/>
      <c r="J1" s="896"/>
    </row>
    <row r="2" spans="1:10" s="223" customFormat="1" ht="16.899999999999999" customHeight="1">
      <c r="A2" s="219" t="s">
        <v>142</v>
      </c>
      <c r="B2" s="220" t="s">
        <v>143</v>
      </c>
      <c r="C2" s="219" t="s">
        <v>902</v>
      </c>
      <c r="D2" s="220" t="s">
        <v>503</v>
      </c>
      <c r="E2" s="219" t="s">
        <v>151</v>
      </c>
      <c r="F2" s="220" t="s">
        <v>1095</v>
      </c>
      <c r="G2" s="219" t="s">
        <v>174</v>
      </c>
      <c r="H2" s="221">
        <v>0.5</v>
      </c>
      <c r="I2" s="260" t="s">
        <v>154</v>
      </c>
      <c r="J2" s="222" t="s">
        <v>1096</v>
      </c>
    </row>
    <row r="3" spans="1:10" s="227" customFormat="1" ht="33" customHeight="1">
      <c r="A3" s="219" t="s">
        <v>903</v>
      </c>
      <c r="B3" s="224">
        <v>46199.559382141197</v>
      </c>
      <c r="C3" s="225" t="s">
        <v>904</v>
      </c>
      <c r="D3" s="226" t="s">
        <v>721</v>
      </c>
      <c r="E3" s="219" t="s">
        <v>905</v>
      </c>
      <c r="F3" s="226" t="s">
        <v>906</v>
      </c>
      <c r="G3" s="219" t="s">
        <v>907</v>
      </c>
      <c r="H3" s="226" t="s">
        <v>908</v>
      </c>
      <c r="I3" s="219" t="s">
        <v>551</v>
      </c>
      <c r="J3" s="226" t="s">
        <v>909</v>
      </c>
    </row>
    <row r="4" spans="1:10" s="227" customFormat="1" ht="266.45" customHeight="1">
      <c r="A4" s="219" t="s">
        <v>161</v>
      </c>
      <c r="B4" s="226">
        <v>0</v>
      </c>
      <c r="C4" s="219" t="s">
        <v>199</v>
      </c>
      <c r="D4" s="226">
        <v>0</v>
      </c>
      <c r="E4" s="219" t="s">
        <v>179</v>
      </c>
      <c r="F4" s="226">
        <v>0</v>
      </c>
      <c r="G4" s="219" t="s">
        <v>870</v>
      </c>
      <c r="H4" s="228" t="s">
        <v>910</v>
      </c>
      <c r="I4" s="229"/>
      <c r="J4" s="229"/>
    </row>
    <row r="5" spans="1:10" s="227" customFormat="1" ht="25.5">
      <c r="A5" s="230" t="s">
        <v>911</v>
      </c>
      <c r="B5" s="221" t="s">
        <v>677</v>
      </c>
      <c r="C5" s="231" t="s">
        <v>912</v>
      </c>
      <c r="D5" s="221" t="s">
        <v>677</v>
      </c>
      <c r="E5" s="232" t="s">
        <v>913</v>
      </c>
      <c r="F5" s="221" t="s">
        <v>677</v>
      </c>
      <c r="G5" s="233" t="s">
        <v>914</v>
      </c>
      <c r="H5" s="221" t="s">
        <v>677</v>
      </c>
      <c r="I5" s="233" t="s">
        <v>915</v>
      </c>
      <c r="J5" s="221" t="s">
        <v>677</v>
      </c>
    </row>
    <row r="6" spans="1:10" s="227" customFormat="1" ht="48" customHeight="1">
      <c r="A6" s="234" t="s">
        <v>916</v>
      </c>
      <c r="B6" s="221" t="s">
        <v>677</v>
      </c>
      <c r="C6" s="235" t="s">
        <v>869</v>
      </c>
      <c r="D6" s="604" t="s">
        <v>917</v>
      </c>
      <c r="E6" s="582"/>
      <c r="F6" s="582"/>
      <c r="G6" s="582"/>
      <c r="H6" s="582"/>
      <c r="I6" s="582"/>
      <c r="J6" s="582"/>
    </row>
    <row r="7" spans="1:10" ht="7.35" customHeight="1">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143</v>
      </c>
      <c r="B10" s="13" t="s">
        <v>591</v>
      </c>
      <c r="C10" s="13" t="s">
        <v>919</v>
      </c>
      <c r="D10" s="13" t="s">
        <v>920</v>
      </c>
      <c r="E10" s="13" t="s">
        <v>356</v>
      </c>
      <c r="F10" s="13">
        <v>1</v>
      </c>
      <c r="G10" s="13">
        <v>1</v>
      </c>
      <c r="H10" s="13" t="s">
        <v>677</v>
      </c>
      <c r="I10" s="13" t="s">
        <v>921</v>
      </c>
      <c r="J10" s="13" t="s">
        <v>922</v>
      </c>
    </row>
    <row r="11" spans="1:10" ht="114.75">
      <c r="A11" s="13" t="s">
        <v>143</v>
      </c>
      <c r="B11" s="13" t="s">
        <v>14</v>
      </c>
      <c r="C11" s="13" t="s">
        <v>923</v>
      </c>
      <c r="D11" s="13" t="s">
        <v>924</v>
      </c>
      <c r="E11" s="13" t="s">
        <v>925</v>
      </c>
      <c r="F11" s="13">
        <v>3</v>
      </c>
      <c r="G11" s="13">
        <v>0</v>
      </c>
      <c r="H11" s="13" t="s">
        <v>677</v>
      </c>
      <c r="I11" s="13" t="s">
        <v>926</v>
      </c>
      <c r="J11" s="13" t="s">
        <v>927</v>
      </c>
    </row>
    <row r="12" spans="1:10" ht="76.5">
      <c r="A12" s="13" t="s">
        <v>143</v>
      </c>
      <c r="B12" s="13" t="s">
        <v>928</v>
      </c>
      <c r="C12" s="13" t="s">
        <v>919</v>
      </c>
      <c r="D12" s="13" t="s">
        <v>929</v>
      </c>
      <c r="E12" s="13" t="s">
        <v>925</v>
      </c>
      <c r="F12" s="13">
        <v>3</v>
      </c>
      <c r="G12" s="13">
        <v>0</v>
      </c>
      <c r="H12" s="13" t="s">
        <v>677</v>
      </c>
      <c r="I12" s="13" t="s">
        <v>930</v>
      </c>
      <c r="J12" s="13" t="s">
        <v>931</v>
      </c>
    </row>
    <row r="13" spans="1:10" ht="89.25">
      <c r="A13" s="13" t="s">
        <v>143</v>
      </c>
      <c r="B13" s="13" t="s">
        <v>932</v>
      </c>
      <c r="C13" s="13" t="s">
        <v>933</v>
      </c>
      <c r="D13" s="13" t="s">
        <v>924</v>
      </c>
      <c r="E13" s="13" t="s">
        <v>925</v>
      </c>
      <c r="F13" s="13">
        <v>2</v>
      </c>
      <c r="G13" s="13">
        <v>0</v>
      </c>
      <c r="H13" s="13" t="s">
        <v>677</v>
      </c>
      <c r="I13" s="13" t="s">
        <v>934</v>
      </c>
      <c r="J13" s="13" t="s">
        <v>935</v>
      </c>
    </row>
    <row r="14" spans="1:10">
      <c r="A14" s="13"/>
      <c r="B14" s="13"/>
      <c r="C14" s="13"/>
      <c r="D14" s="13"/>
      <c r="E14" s="13"/>
      <c r="F14" s="13"/>
      <c r="G14" s="13"/>
      <c r="H14" s="13"/>
      <c r="I14" s="13"/>
      <c r="J14" s="13"/>
    </row>
    <row r="15" spans="1:10">
      <c r="A15" s="575" t="s">
        <v>936</v>
      </c>
      <c r="B15" s="896"/>
      <c r="C15" s="896"/>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9.25">
      <c r="A17" s="13" t="s">
        <v>591</v>
      </c>
      <c r="B17" s="13" t="s">
        <v>677</v>
      </c>
      <c r="C17" s="13" t="s">
        <v>677</v>
      </c>
      <c r="D17" s="13" t="s">
        <v>677</v>
      </c>
      <c r="E17" s="13" t="s">
        <v>677</v>
      </c>
      <c r="F17" s="13" t="s">
        <v>677</v>
      </c>
      <c r="G17" s="13" t="s">
        <v>677</v>
      </c>
      <c r="H17" s="13" t="s">
        <v>677</v>
      </c>
      <c r="I17" s="13" t="s">
        <v>677</v>
      </c>
      <c r="J17" s="13" t="s">
        <v>945</v>
      </c>
    </row>
    <row r="18" spans="1:10" ht="51">
      <c r="A18" s="13" t="s">
        <v>14</v>
      </c>
      <c r="B18" s="13" t="s">
        <v>946</v>
      </c>
      <c r="C18" s="13" t="s">
        <v>946</v>
      </c>
      <c r="D18" s="13" t="s">
        <v>946</v>
      </c>
      <c r="E18" s="13" t="s">
        <v>677</v>
      </c>
      <c r="F18" s="13" t="s">
        <v>947</v>
      </c>
      <c r="G18" s="13" t="s">
        <v>677</v>
      </c>
      <c r="H18" s="13" t="s">
        <v>677</v>
      </c>
      <c r="I18" s="13" t="s">
        <v>677</v>
      </c>
      <c r="J18" s="13" t="s">
        <v>948</v>
      </c>
    </row>
    <row r="19" spans="1:10" ht="51">
      <c r="A19" s="13" t="s">
        <v>928</v>
      </c>
      <c r="B19" s="13" t="s">
        <v>946</v>
      </c>
      <c r="C19" s="13" t="s">
        <v>946</v>
      </c>
      <c r="D19" s="13" t="s">
        <v>946</v>
      </c>
      <c r="E19" s="13" t="s">
        <v>677</v>
      </c>
      <c r="F19" s="13" t="s">
        <v>947</v>
      </c>
      <c r="G19" s="13" t="s">
        <v>677</v>
      </c>
      <c r="H19" s="13" t="s">
        <v>677</v>
      </c>
      <c r="I19" s="13" t="s">
        <v>677</v>
      </c>
      <c r="J19" s="13" t="s">
        <v>949</v>
      </c>
    </row>
    <row r="20" spans="1:10" ht="51">
      <c r="A20" s="13" t="s">
        <v>932</v>
      </c>
      <c r="B20" s="13" t="s">
        <v>946</v>
      </c>
      <c r="C20" s="13" t="s">
        <v>946</v>
      </c>
      <c r="D20" s="13" t="s">
        <v>946</v>
      </c>
      <c r="E20" s="13" t="s">
        <v>677</v>
      </c>
      <c r="F20" s="13" t="s">
        <v>947</v>
      </c>
      <c r="G20" s="13" t="s">
        <v>677</v>
      </c>
      <c r="H20" s="13" t="s">
        <v>677</v>
      </c>
      <c r="I20" s="13" t="s">
        <v>677</v>
      </c>
      <c r="J20" s="13" t="s">
        <v>950</v>
      </c>
    </row>
    <row r="21" spans="1:10">
      <c r="A21" s="13"/>
      <c r="B21" s="13"/>
      <c r="C21" s="13"/>
      <c r="D21" s="13"/>
      <c r="E21" s="13"/>
      <c r="F21" s="13"/>
      <c r="G21" s="13"/>
      <c r="H21" s="13"/>
      <c r="I21" s="13"/>
      <c r="J21" s="13"/>
    </row>
    <row r="22" spans="1:10">
      <c r="A22" s="575" t="s">
        <v>951</v>
      </c>
      <c r="B22" s="896"/>
      <c r="C22" s="896"/>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89.25">
      <c r="A24" s="13" t="s">
        <v>591</v>
      </c>
      <c r="B24" s="13" t="s">
        <v>677</v>
      </c>
      <c r="C24" s="13" t="s">
        <v>677</v>
      </c>
      <c r="D24" s="13" t="s">
        <v>677</v>
      </c>
      <c r="E24" s="13" t="s">
        <v>677</v>
      </c>
      <c r="F24" s="13" t="s">
        <v>677</v>
      </c>
      <c r="G24" s="13" t="s">
        <v>677</v>
      </c>
      <c r="H24" s="13" t="s">
        <v>677</v>
      </c>
      <c r="I24" s="13" t="s">
        <v>677</v>
      </c>
      <c r="J24" s="13" t="s">
        <v>960</v>
      </c>
    </row>
    <row r="25" spans="1:10" ht="38.25">
      <c r="A25" s="13" t="s">
        <v>14</v>
      </c>
      <c r="B25" s="13" t="s">
        <v>946</v>
      </c>
      <c r="C25" s="13" t="s">
        <v>679</v>
      </c>
      <c r="D25" s="13" t="s">
        <v>947</v>
      </c>
      <c r="E25" s="13" t="s">
        <v>947</v>
      </c>
      <c r="F25" s="13" t="s">
        <v>677</v>
      </c>
      <c r="G25" s="13" t="s">
        <v>677</v>
      </c>
      <c r="H25" s="13" t="s">
        <v>677</v>
      </c>
      <c r="I25" s="13" t="s">
        <v>677</v>
      </c>
      <c r="J25" s="13" t="s">
        <v>961</v>
      </c>
    </row>
    <row r="26" spans="1:10" ht="51">
      <c r="A26" s="13" t="s">
        <v>928</v>
      </c>
      <c r="B26" s="13" t="s">
        <v>946</v>
      </c>
      <c r="C26" s="13" t="s">
        <v>679</v>
      </c>
      <c r="D26" s="13" t="s">
        <v>947</v>
      </c>
      <c r="E26" s="13" t="s">
        <v>947</v>
      </c>
      <c r="F26" s="13" t="s">
        <v>677</v>
      </c>
      <c r="G26" s="13" t="s">
        <v>677</v>
      </c>
      <c r="H26" s="13" t="s">
        <v>677</v>
      </c>
      <c r="I26" s="13" t="s">
        <v>677</v>
      </c>
      <c r="J26" s="13" t="s">
        <v>962</v>
      </c>
    </row>
    <row r="27" spans="1:10" ht="38.25">
      <c r="A27" s="13" t="s">
        <v>932</v>
      </c>
      <c r="B27" s="13" t="s">
        <v>946</v>
      </c>
      <c r="C27" s="13" t="s">
        <v>679</v>
      </c>
      <c r="D27" s="13" t="s">
        <v>947</v>
      </c>
      <c r="E27" s="13" t="s">
        <v>947</v>
      </c>
      <c r="F27" s="13" t="s">
        <v>677</v>
      </c>
      <c r="G27" s="13" t="s">
        <v>677</v>
      </c>
      <c r="H27" s="13" t="s">
        <v>677</v>
      </c>
      <c r="I27" s="13" t="s">
        <v>677</v>
      </c>
      <c r="J27" s="13" t="s">
        <v>963</v>
      </c>
    </row>
    <row r="28" spans="1:10">
      <c r="A28" s="13"/>
      <c r="B28" s="13"/>
      <c r="C28" s="13"/>
      <c r="D28" s="13"/>
      <c r="E28" s="13"/>
      <c r="F28" s="13"/>
      <c r="G28" s="13"/>
      <c r="H28" s="13"/>
      <c r="I28" s="13"/>
      <c r="J28" s="13"/>
    </row>
    <row r="29" spans="1:10">
      <c r="A29" s="575" t="s">
        <v>964</v>
      </c>
      <c r="B29" s="896"/>
      <c r="C29" s="896"/>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127.5">
      <c r="A31" s="13" t="s">
        <v>591</v>
      </c>
      <c r="B31" s="13" t="s">
        <v>972</v>
      </c>
      <c r="C31" s="13" t="s">
        <v>677</v>
      </c>
      <c r="D31" s="13" t="s">
        <v>677</v>
      </c>
      <c r="E31" s="13" t="s">
        <v>677</v>
      </c>
      <c r="F31" s="13" t="s">
        <v>677</v>
      </c>
      <c r="G31" s="13" t="s">
        <v>677</v>
      </c>
      <c r="H31" s="13" t="s">
        <v>677</v>
      </c>
      <c r="I31" s="13" t="s">
        <v>677</v>
      </c>
      <c r="J31" s="13" t="s">
        <v>973</v>
      </c>
    </row>
    <row r="32" spans="1:10" ht="63.75">
      <c r="A32" s="13" t="s">
        <v>14</v>
      </c>
      <c r="B32" s="13" t="s">
        <v>946</v>
      </c>
      <c r="C32" s="13" t="s">
        <v>677</v>
      </c>
      <c r="D32" s="13" t="s">
        <v>677</v>
      </c>
      <c r="E32" s="13" t="s">
        <v>677</v>
      </c>
      <c r="F32" s="13" t="s">
        <v>677</v>
      </c>
      <c r="G32" s="13" t="s">
        <v>677</v>
      </c>
      <c r="H32" s="13" t="s">
        <v>677</v>
      </c>
      <c r="I32" s="13" t="s">
        <v>677</v>
      </c>
      <c r="J32" s="13" t="s">
        <v>974</v>
      </c>
    </row>
    <row r="33" spans="1:10" ht="51">
      <c r="A33" s="13" t="s">
        <v>928</v>
      </c>
      <c r="B33" s="13" t="s">
        <v>946</v>
      </c>
      <c r="C33" s="13" t="s">
        <v>677</v>
      </c>
      <c r="D33" s="13" t="s">
        <v>677</v>
      </c>
      <c r="E33" s="13" t="s">
        <v>677</v>
      </c>
      <c r="F33" s="13" t="s">
        <v>677</v>
      </c>
      <c r="G33" s="13" t="s">
        <v>677</v>
      </c>
      <c r="H33" s="13" t="s">
        <v>677</v>
      </c>
      <c r="I33" s="13" t="s">
        <v>677</v>
      </c>
      <c r="J33" s="13" t="s">
        <v>975</v>
      </c>
    </row>
    <row r="34" spans="1:10" ht="51">
      <c r="A34" s="13" t="s">
        <v>932</v>
      </c>
      <c r="B34" s="13" t="s">
        <v>946</v>
      </c>
      <c r="C34" s="13" t="s">
        <v>677</v>
      </c>
      <c r="D34" s="13" t="s">
        <v>677</v>
      </c>
      <c r="E34" s="13" t="s">
        <v>677</v>
      </c>
      <c r="F34" s="13" t="s">
        <v>677</v>
      </c>
      <c r="G34" s="13" t="s">
        <v>677</v>
      </c>
      <c r="H34" s="13" t="s">
        <v>677</v>
      </c>
      <c r="I34" s="13" t="s">
        <v>677</v>
      </c>
      <c r="J34" s="13" t="s">
        <v>976</v>
      </c>
    </row>
    <row r="35" spans="1:10">
      <c r="A35" s="13"/>
      <c r="B35" s="13"/>
      <c r="C35" s="13"/>
      <c r="D35" s="13"/>
      <c r="E35" s="13"/>
      <c r="F35" s="13"/>
      <c r="G35" s="13"/>
      <c r="H35" s="13"/>
      <c r="I35" s="13"/>
      <c r="J35" s="13"/>
    </row>
    <row r="36" spans="1:10">
      <c r="A36" s="575" t="s">
        <v>977</v>
      </c>
      <c r="B36" s="896"/>
      <c r="C36" s="896"/>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114.75">
      <c r="A38" s="13" t="s">
        <v>591</v>
      </c>
      <c r="B38" s="13" t="s">
        <v>677</v>
      </c>
      <c r="C38" s="13" t="s">
        <v>985</v>
      </c>
      <c r="D38" s="13" t="s">
        <v>677</v>
      </c>
      <c r="E38" s="13" t="s">
        <v>677</v>
      </c>
      <c r="F38" s="13" t="s">
        <v>986</v>
      </c>
      <c r="G38" s="13" t="s">
        <v>677</v>
      </c>
      <c r="H38" s="13" t="s">
        <v>677</v>
      </c>
      <c r="I38" s="13" t="s">
        <v>677</v>
      </c>
      <c r="J38" s="13" t="s">
        <v>987</v>
      </c>
    </row>
    <row r="39" spans="1:10" ht="51">
      <c r="A39" s="13" t="s">
        <v>14</v>
      </c>
      <c r="B39" s="13" t="s">
        <v>988</v>
      </c>
      <c r="C39" s="13" t="s">
        <v>989</v>
      </c>
      <c r="D39" s="13" t="s">
        <v>946</v>
      </c>
      <c r="E39" s="13" t="s">
        <v>677</v>
      </c>
      <c r="F39" s="13" t="s">
        <v>946</v>
      </c>
      <c r="G39" s="13" t="s">
        <v>677</v>
      </c>
      <c r="H39" s="13" t="s">
        <v>677</v>
      </c>
      <c r="I39" s="13" t="s">
        <v>677</v>
      </c>
      <c r="J39" s="13" t="s">
        <v>990</v>
      </c>
    </row>
    <row r="40" spans="1:10" ht="38.25">
      <c r="A40" s="13" t="s">
        <v>928</v>
      </c>
      <c r="B40" s="13" t="s">
        <v>988</v>
      </c>
      <c r="C40" s="13" t="s">
        <v>991</v>
      </c>
      <c r="D40" s="13" t="s">
        <v>946</v>
      </c>
      <c r="E40" s="13" t="s">
        <v>677</v>
      </c>
      <c r="F40" s="13" t="s">
        <v>946</v>
      </c>
      <c r="G40" s="13" t="s">
        <v>677</v>
      </c>
      <c r="H40" s="13" t="s">
        <v>677</v>
      </c>
      <c r="I40" s="13" t="s">
        <v>677</v>
      </c>
      <c r="J40" s="13" t="s">
        <v>992</v>
      </c>
    </row>
    <row r="41" spans="1:10" ht="51">
      <c r="A41" s="13" t="s">
        <v>932</v>
      </c>
      <c r="B41" s="13" t="s">
        <v>988</v>
      </c>
      <c r="C41" s="13" t="s">
        <v>946</v>
      </c>
      <c r="D41" s="13" t="s">
        <v>946</v>
      </c>
      <c r="E41" s="13" t="s">
        <v>677</v>
      </c>
      <c r="F41" s="13" t="s">
        <v>946</v>
      </c>
      <c r="G41" s="13" t="s">
        <v>677</v>
      </c>
      <c r="H41" s="13" t="s">
        <v>677</v>
      </c>
      <c r="I41" s="13" t="s">
        <v>677</v>
      </c>
      <c r="J41" s="13" t="s">
        <v>993</v>
      </c>
    </row>
    <row r="42" spans="1:10">
      <c r="A42" s="13"/>
      <c r="B42" s="13"/>
      <c r="C42" s="13"/>
      <c r="D42" s="13"/>
      <c r="E42" s="13"/>
      <c r="F42" s="13"/>
      <c r="G42" s="13"/>
      <c r="H42" s="13"/>
      <c r="I42" s="13"/>
      <c r="J42" s="13"/>
    </row>
    <row r="43" spans="1:10">
      <c r="A43" s="575" t="s">
        <v>994</v>
      </c>
      <c r="B43" s="896"/>
      <c r="C43" s="896"/>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89.25">
      <c r="A45" s="13" t="s">
        <v>591</v>
      </c>
      <c r="B45" s="13" t="s">
        <v>677</v>
      </c>
      <c r="C45" s="13" t="s">
        <v>677</v>
      </c>
      <c r="D45" s="13" t="s">
        <v>677</v>
      </c>
      <c r="E45" s="13" t="s">
        <v>677</v>
      </c>
      <c r="F45" s="13" t="s">
        <v>677</v>
      </c>
      <c r="G45" s="13" t="s">
        <v>677</v>
      </c>
      <c r="H45" s="13" t="s">
        <v>677</v>
      </c>
      <c r="I45" s="13" t="s">
        <v>677</v>
      </c>
      <c r="J45" s="13" t="s">
        <v>1002</v>
      </c>
    </row>
    <row r="46" spans="1:10" ht="63.75">
      <c r="A46" s="13" t="s">
        <v>14</v>
      </c>
      <c r="B46" s="13" t="s">
        <v>1003</v>
      </c>
      <c r="C46" s="13" t="s">
        <v>988</v>
      </c>
      <c r="D46" s="13" t="s">
        <v>988</v>
      </c>
      <c r="E46" s="13" t="s">
        <v>677</v>
      </c>
      <c r="F46" s="13" t="s">
        <v>677</v>
      </c>
      <c r="G46" s="13" t="s">
        <v>677</v>
      </c>
      <c r="H46" s="13" t="s">
        <v>677</v>
      </c>
      <c r="I46" s="13" t="s">
        <v>677</v>
      </c>
      <c r="J46" s="13" t="s">
        <v>1004</v>
      </c>
    </row>
    <row r="47" spans="1:10" ht="51">
      <c r="A47" s="13" t="s">
        <v>928</v>
      </c>
      <c r="B47" s="13" t="s">
        <v>1003</v>
      </c>
      <c r="C47" s="13" t="s">
        <v>988</v>
      </c>
      <c r="D47" s="13" t="s">
        <v>988</v>
      </c>
      <c r="E47" s="13" t="s">
        <v>677</v>
      </c>
      <c r="F47" s="13" t="s">
        <v>677</v>
      </c>
      <c r="G47" s="13" t="s">
        <v>677</v>
      </c>
      <c r="H47" s="13" t="s">
        <v>677</v>
      </c>
      <c r="I47" s="13" t="s">
        <v>677</v>
      </c>
      <c r="J47" s="13" t="s">
        <v>1005</v>
      </c>
    </row>
    <row r="48" spans="1:10" ht="51">
      <c r="A48" s="13" t="s">
        <v>932</v>
      </c>
      <c r="B48" s="13" t="s">
        <v>1003</v>
      </c>
      <c r="C48" s="13" t="s">
        <v>988</v>
      </c>
      <c r="D48" s="13" t="s">
        <v>988</v>
      </c>
      <c r="E48" s="13" t="s">
        <v>677</v>
      </c>
      <c r="F48" s="13" t="s">
        <v>677</v>
      </c>
      <c r="G48" s="13" t="s">
        <v>677</v>
      </c>
      <c r="H48" s="13" t="s">
        <v>677</v>
      </c>
      <c r="I48" s="13" t="s">
        <v>677</v>
      </c>
      <c r="J48" s="13" t="s">
        <v>1006</v>
      </c>
    </row>
    <row r="49" spans="1:10">
      <c r="A49" s="13"/>
      <c r="B49" s="13"/>
      <c r="C49" s="13"/>
      <c r="D49" s="13"/>
      <c r="E49" s="13"/>
      <c r="F49" s="13"/>
      <c r="G49" s="13"/>
      <c r="H49" s="13"/>
      <c r="I49" s="13"/>
      <c r="J49" s="13"/>
    </row>
    <row r="50" spans="1:10">
      <c r="A50" s="575" t="s">
        <v>1007</v>
      </c>
      <c r="B50" s="896"/>
      <c r="C50" s="896"/>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102">
      <c r="A52" s="13" t="s">
        <v>591</v>
      </c>
      <c r="B52" s="13" t="s">
        <v>677</v>
      </c>
      <c r="C52" s="13" t="s">
        <v>677</v>
      </c>
      <c r="D52" s="13" t="s">
        <v>677</v>
      </c>
      <c r="E52" s="13" t="s">
        <v>677</v>
      </c>
      <c r="F52" s="13" t="s">
        <v>677</v>
      </c>
      <c r="G52" s="13" t="s">
        <v>677</v>
      </c>
      <c r="H52" s="13" t="s">
        <v>677</v>
      </c>
      <c r="I52" s="13" t="s">
        <v>677</v>
      </c>
      <c r="J52" s="13" t="s">
        <v>1015</v>
      </c>
    </row>
    <row r="53" spans="1:10" ht="51">
      <c r="A53" s="13" t="s">
        <v>14</v>
      </c>
      <c r="B53" s="13" t="s">
        <v>946</v>
      </c>
      <c r="C53" s="13" t="s">
        <v>946</v>
      </c>
      <c r="D53" s="13" t="s">
        <v>946</v>
      </c>
      <c r="E53" s="13" t="s">
        <v>946</v>
      </c>
      <c r="F53" s="13" t="s">
        <v>947</v>
      </c>
      <c r="G53" s="13" t="s">
        <v>947</v>
      </c>
      <c r="H53" s="13" t="s">
        <v>677</v>
      </c>
      <c r="I53" s="13" t="s">
        <v>677</v>
      </c>
      <c r="J53" s="13" t="s">
        <v>1016</v>
      </c>
    </row>
    <row r="54" spans="1:10" ht="38.25">
      <c r="A54" s="13" t="s">
        <v>928</v>
      </c>
      <c r="B54" s="13" t="s">
        <v>946</v>
      </c>
      <c r="C54" s="13" t="s">
        <v>946</v>
      </c>
      <c r="D54" s="13" t="s">
        <v>946</v>
      </c>
      <c r="E54" s="13" t="s">
        <v>946</v>
      </c>
      <c r="F54" s="13" t="s">
        <v>947</v>
      </c>
      <c r="G54" s="13" t="s">
        <v>947</v>
      </c>
      <c r="H54" s="13" t="s">
        <v>677</v>
      </c>
      <c r="I54" s="13" t="s">
        <v>677</v>
      </c>
      <c r="J54" s="13" t="s">
        <v>1017</v>
      </c>
    </row>
    <row r="55" spans="1:10" ht="38.25">
      <c r="A55" s="13" t="s">
        <v>932</v>
      </c>
      <c r="B55" s="13" t="s">
        <v>946</v>
      </c>
      <c r="C55" s="13" t="s">
        <v>946</v>
      </c>
      <c r="D55" s="13" t="s">
        <v>946</v>
      </c>
      <c r="E55" s="13" t="s">
        <v>946</v>
      </c>
      <c r="F55" s="13" t="s">
        <v>947</v>
      </c>
      <c r="G55" s="13" t="s">
        <v>947</v>
      </c>
      <c r="H55" s="13" t="s">
        <v>677</v>
      </c>
      <c r="I55" s="13" t="s">
        <v>677</v>
      </c>
      <c r="J55" s="13" t="s">
        <v>1018</v>
      </c>
    </row>
    <row r="56" spans="1:10">
      <c r="A56" s="13"/>
      <c r="B56" s="13"/>
      <c r="C56" s="13"/>
      <c r="D56" s="13"/>
      <c r="E56" s="13"/>
      <c r="F56" s="13"/>
      <c r="G56" s="13"/>
      <c r="H56" s="13"/>
      <c r="I56" s="13"/>
      <c r="J56" s="13"/>
    </row>
    <row r="57" spans="1:10">
      <c r="A57" s="575" t="s">
        <v>1019</v>
      </c>
      <c r="B57" s="896"/>
      <c r="C57" s="896"/>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3.75">
      <c r="A59" s="13" t="s">
        <v>1020</v>
      </c>
      <c r="B59" s="13" t="s">
        <v>575</v>
      </c>
      <c r="C59" s="13" t="s">
        <v>1021</v>
      </c>
      <c r="D59" s="13" t="s">
        <v>391</v>
      </c>
      <c r="E59" s="13" t="s">
        <v>488</v>
      </c>
      <c r="F59" s="13">
        <v>6</v>
      </c>
      <c r="G59" s="13" t="s">
        <v>1022</v>
      </c>
      <c r="H59" s="13" t="s">
        <v>1023</v>
      </c>
      <c r="I59" s="13" t="s">
        <v>502</v>
      </c>
      <c r="J59" s="13" t="s">
        <v>1024</v>
      </c>
    </row>
    <row r="60" spans="1:10" ht="76.5">
      <c r="A60" s="13" t="s">
        <v>582</v>
      </c>
      <c r="B60" s="13" t="s">
        <v>583</v>
      </c>
      <c r="C60" s="13" t="s">
        <v>585</v>
      </c>
      <c r="D60" s="13" t="s">
        <v>492</v>
      </c>
      <c r="E60" s="13" t="s">
        <v>488</v>
      </c>
      <c r="F60" s="13">
        <v>8</v>
      </c>
      <c r="G60" s="13" t="s">
        <v>1025</v>
      </c>
      <c r="H60" s="13" t="s">
        <v>584</v>
      </c>
      <c r="I60" s="13" t="s">
        <v>502</v>
      </c>
      <c r="J60" s="13" t="s">
        <v>1026</v>
      </c>
    </row>
    <row r="61" spans="1:10" ht="89.25">
      <c r="A61" s="13" t="s">
        <v>590</v>
      </c>
      <c r="B61" s="13" t="s">
        <v>591</v>
      </c>
      <c r="C61" s="13" t="s">
        <v>593</v>
      </c>
      <c r="D61" s="13" t="s">
        <v>492</v>
      </c>
      <c r="E61" s="13" t="s">
        <v>488</v>
      </c>
      <c r="F61" s="13">
        <v>8</v>
      </c>
      <c r="G61" s="13" t="s">
        <v>1027</v>
      </c>
      <c r="H61" s="13" t="s">
        <v>592</v>
      </c>
      <c r="I61" s="13" t="s">
        <v>502</v>
      </c>
      <c r="J61" s="13" t="s">
        <v>1028</v>
      </c>
    </row>
    <row r="62" spans="1:10" ht="63.75">
      <c r="A62" s="13" t="s">
        <v>1029</v>
      </c>
      <c r="B62" s="13" t="s">
        <v>591</v>
      </c>
      <c r="C62" s="13" t="s">
        <v>1030</v>
      </c>
      <c r="D62" s="13" t="s">
        <v>391</v>
      </c>
      <c r="E62" s="13" t="s">
        <v>488</v>
      </c>
      <c r="F62" s="13">
        <v>6</v>
      </c>
      <c r="G62" s="13" t="s">
        <v>1031</v>
      </c>
      <c r="H62" s="13" t="s">
        <v>1032</v>
      </c>
      <c r="I62" s="13" t="s">
        <v>502</v>
      </c>
      <c r="J62" s="13" t="s">
        <v>1033</v>
      </c>
    </row>
    <row r="63" spans="1:10" ht="76.5">
      <c r="A63" s="13" t="s">
        <v>1034</v>
      </c>
      <c r="B63" s="13" t="s">
        <v>575</v>
      </c>
      <c r="C63" s="13" t="s">
        <v>1035</v>
      </c>
      <c r="D63" s="13" t="s">
        <v>391</v>
      </c>
      <c r="E63" s="13" t="s">
        <v>488</v>
      </c>
      <c r="F63" s="13">
        <v>6</v>
      </c>
      <c r="G63" s="13" t="s">
        <v>1036</v>
      </c>
      <c r="H63" s="13" t="s">
        <v>1037</v>
      </c>
      <c r="I63" s="13" t="s">
        <v>502</v>
      </c>
      <c r="J63" s="13" t="s">
        <v>1038</v>
      </c>
    </row>
    <row r="64" spans="1:10" ht="89.25">
      <c r="A64" s="13" t="s">
        <v>598</v>
      </c>
      <c r="B64" s="13" t="s">
        <v>575</v>
      </c>
      <c r="C64" s="13" t="s">
        <v>599</v>
      </c>
      <c r="D64" s="13" t="s">
        <v>492</v>
      </c>
      <c r="E64" s="13" t="s">
        <v>488</v>
      </c>
      <c r="F64" s="13">
        <v>8</v>
      </c>
      <c r="G64" s="13" t="s">
        <v>1039</v>
      </c>
      <c r="H64" s="13" t="s">
        <v>584</v>
      </c>
      <c r="I64" s="13" t="s">
        <v>502</v>
      </c>
      <c r="J64" s="13" t="s">
        <v>1040</v>
      </c>
    </row>
    <row r="65" spans="1:10" ht="89.25">
      <c r="A65" s="13" t="s">
        <v>1041</v>
      </c>
      <c r="B65" s="13" t="s">
        <v>591</v>
      </c>
      <c r="C65" s="13" t="s">
        <v>1042</v>
      </c>
      <c r="D65" s="13" t="s">
        <v>391</v>
      </c>
      <c r="E65" s="13" t="s">
        <v>488</v>
      </c>
      <c r="F65" s="13">
        <v>6</v>
      </c>
      <c r="G65" s="13" t="s">
        <v>1043</v>
      </c>
      <c r="H65" s="13" t="s">
        <v>1044</v>
      </c>
      <c r="I65" s="13" t="s">
        <v>502</v>
      </c>
      <c r="J65" s="13" t="s">
        <v>1045</v>
      </c>
    </row>
    <row r="66" spans="1:10" ht="76.5">
      <c r="A66" s="13" t="s">
        <v>1046</v>
      </c>
      <c r="B66" s="13" t="s">
        <v>575</v>
      </c>
      <c r="C66" s="13" t="s">
        <v>1047</v>
      </c>
      <c r="D66" s="13" t="s">
        <v>391</v>
      </c>
      <c r="E66" s="13" t="s">
        <v>488</v>
      </c>
      <c r="F66" s="13">
        <v>6</v>
      </c>
      <c r="G66" s="13" t="s">
        <v>1048</v>
      </c>
      <c r="H66" s="13" t="s">
        <v>1049</v>
      </c>
      <c r="I66" s="13" t="s">
        <v>502</v>
      </c>
      <c r="J66" s="13" t="s">
        <v>1050</v>
      </c>
    </row>
    <row r="67" spans="1:10">
      <c r="A67" s="13"/>
      <c r="B67" s="13"/>
      <c r="C67" s="13"/>
      <c r="D67" s="13"/>
      <c r="E67" s="13"/>
      <c r="F67" s="13"/>
      <c r="G67" s="13"/>
      <c r="H67" s="13"/>
      <c r="I67" s="13"/>
      <c r="J67" s="13"/>
    </row>
    <row r="68" spans="1:10">
      <c r="A68" s="575" t="s">
        <v>1051</v>
      </c>
      <c r="B68" s="896"/>
      <c r="C68" s="896"/>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89.25">
      <c r="A70" s="13" t="s">
        <v>578</v>
      </c>
      <c r="B70" s="13" t="s">
        <v>581</v>
      </c>
      <c r="C70" s="13" t="s">
        <v>579</v>
      </c>
      <c r="D70" s="13" t="s">
        <v>502</v>
      </c>
      <c r="E70" s="13"/>
      <c r="F70" s="13"/>
      <c r="G70" s="13" t="s">
        <v>580</v>
      </c>
      <c r="H70" s="13"/>
      <c r="I70" s="13"/>
      <c r="J70" s="13"/>
    </row>
    <row r="71" spans="1:10" ht="51">
      <c r="A71" s="13" t="s">
        <v>586</v>
      </c>
      <c r="B71" s="13" t="s">
        <v>589</v>
      </c>
      <c r="C71" s="13" t="s">
        <v>587</v>
      </c>
      <c r="D71" s="13" t="s">
        <v>502</v>
      </c>
      <c r="E71" s="13"/>
      <c r="F71" s="13"/>
      <c r="G71" s="13" t="s">
        <v>588</v>
      </c>
      <c r="H71" s="13"/>
      <c r="I71" s="13"/>
      <c r="J71" s="13"/>
    </row>
    <row r="72" spans="1:10" ht="76.5">
      <c r="A72" s="13" t="s">
        <v>594</v>
      </c>
      <c r="B72" s="13" t="s">
        <v>597</v>
      </c>
      <c r="C72" s="13" t="s">
        <v>595</v>
      </c>
      <c r="D72" s="13" t="s">
        <v>502</v>
      </c>
      <c r="E72" s="13"/>
      <c r="F72" s="13"/>
      <c r="G72" s="13" t="s">
        <v>596</v>
      </c>
      <c r="H72" s="13"/>
      <c r="I72" s="13"/>
      <c r="J72" s="13"/>
    </row>
    <row r="73" spans="1:10" ht="76.5">
      <c r="A73" s="13" t="s">
        <v>600</v>
      </c>
      <c r="B73" s="13" t="s">
        <v>603</v>
      </c>
      <c r="C73" s="13" t="s">
        <v>601</v>
      </c>
      <c r="D73" s="13" t="s">
        <v>502</v>
      </c>
      <c r="E73" s="13"/>
      <c r="F73" s="13"/>
      <c r="G73" s="13" t="s">
        <v>602</v>
      </c>
      <c r="H73" s="13"/>
      <c r="I73" s="13"/>
      <c r="J73" s="13"/>
    </row>
    <row r="74" spans="1:10" ht="63.75">
      <c r="A74" s="13" t="s">
        <v>608</v>
      </c>
      <c r="B74" s="13" t="s">
        <v>611</v>
      </c>
      <c r="C74" s="13" t="s">
        <v>609</v>
      </c>
      <c r="D74" s="13" t="s">
        <v>502</v>
      </c>
      <c r="E74" s="13"/>
      <c r="F74" s="13"/>
      <c r="G74" s="13" t="s">
        <v>610</v>
      </c>
      <c r="H74" s="13"/>
      <c r="I74" s="13"/>
      <c r="J74" s="13"/>
    </row>
    <row r="75" spans="1:10" ht="76.5">
      <c r="A75" s="13" t="s">
        <v>615</v>
      </c>
      <c r="B75" s="13" t="s">
        <v>618</v>
      </c>
      <c r="C75" s="13" t="s">
        <v>616</v>
      </c>
      <c r="D75" s="13" t="s">
        <v>502</v>
      </c>
      <c r="E75" s="13"/>
      <c r="F75" s="13"/>
      <c r="G75" s="13" t="s">
        <v>617</v>
      </c>
      <c r="H75" s="13"/>
      <c r="I75" s="13"/>
      <c r="J75" s="13"/>
    </row>
    <row r="76" spans="1:10" ht="89.25">
      <c r="A76" s="13" t="s">
        <v>621</v>
      </c>
      <c r="B76" s="13" t="s">
        <v>624</v>
      </c>
      <c r="C76" s="13" t="s">
        <v>622</v>
      </c>
      <c r="D76" s="13" t="s">
        <v>502</v>
      </c>
      <c r="E76" s="13"/>
      <c r="F76" s="13"/>
      <c r="G76" s="13" t="s">
        <v>623</v>
      </c>
      <c r="H76" s="13"/>
      <c r="I76" s="13"/>
      <c r="J76" s="13"/>
    </row>
    <row r="77" spans="1:10" ht="76.5">
      <c r="A77" s="13" t="s">
        <v>629</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575" t="s">
        <v>1052</v>
      </c>
      <c r="B79" s="896"/>
      <c r="C79" s="896"/>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89.25">
      <c r="A81" s="13" t="s">
        <v>1053</v>
      </c>
      <c r="B81" s="13" t="s">
        <v>591</v>
      </c>
      <c r="C81" s="13" t="s">
        <v>1054</v>
      </c>
      <c r="D81" s="13" t="s">
        <v>1055</v>
      </c>
      <c r="E81" s="13"/>
      <c r="F81" s="13" t="s">
        <v>229</v>
      </c>
      <c r="G81" s="13"/>
      <c r="H81" s="13" t="s">
        <v>1056</v>
      </c>
      <c r="I81" s="13" t="s">
        <v>502</v>
      </c>
      <c r="J81" s="13"/>
    </row>
    <row r="82" spans="1:10" ht="102">
      <c r="A82" s="13" t="s">
        <v>1057</v>
      </c>
      <c r="B82" s="13" t="s">
        <v>14</v>
      </c>
      <c r="C82" s="13" t="s">
        <v>1058</v>
      </c>
      <c r="D82" s="13" t="s">
        <v>1059</v>
      </c>
      <c r="E82" s="13"/>
      <c r="F82" s="13" t="s">
        <v>229</v>
      </c>
      <c r="G82" s="13"/>
      <c r="H82" s="13" t="s">
        <v>1060</v>
      </c>
      <c r="I82" s="13" t="s">
        <v>502</v>
      </c>
      <c r="J82" s="13"/>
    </row>
    <row r="83" spans="1:10" ht="76.5">
      <c r="A83" s="13" t="s">
        <v>1061</v>
      </c>
      <c r="B83" s="13" t="s">
        <v>928</v>
      </c>
      <c r="C83" s="13" t="s">
        <v>1058</v>
      </c>
      <c r="D83" s="13" t="s">
        <v>1062</v>
      </c>
      <c r="E83" s="13"/>
      <c r="F83" s="13" t="s">
        <v>229</v>
      </c>
      <c r="G83" s="13"/>
      <c r="H83" s="13" t="s">
        <v>1063</v>
      </c>
      <c r="I83" s="13" t="s">
        <v>502</v>
      </c>
      <c r="J83" s="13"/>
    </row>
    <row r="84" spans="1:10" ht="102">
      <c r="A84" s="13" t="s">
        <v>1064</v>
      </c>
      <c r="B84" s="13" t="s">
        <v>932</v>
      </c>
      <c r="C84" s="13" t="s">
        <v>1058</v>
      </c>
      <c r="D84" s="13" t="s">
        <v>1065</v>
      </c>
      <c r="E84" s="13"/>
      <c r="F84" s="13" t="s">
        <v>229</v>
      </c>
      <c r="G84" s="13"/>
      <c r="H84" s="13" t="s">
        <v>1063</v>
      </c>
      <c r="I84" s="13" t="s">
        <v>502</v>
      </c>
      <c r="J84" s="13"/>
    </row>
    <row r="85" spans="1:10" ht="102">
      <c r="A85" s="13" t="s">
        <v>1066</v>
      </c>
      <c r="B85" s="13" t="s">
        <v>591</v>
      </c>
      <c r="C85" s="13" t="s">
        <v>148</v>
      </c>
      <c r="D85" s="13" t="s">
        <v>1067</v>
      </c>
      <c r="E85" s="13"/>
      <c r="F85" s="13" t="s">
        <v>229</v>
      </c>
      <c r="G85" s="13"/>
      <c r="H85" s="13" t="s">
        <v>590</v>
      </c>
      <c r="I85" s="13" t="s">
        <v>502</v>
      </c>
      <c r="J85" s="13"/>
    </row>
    <row r="86" spans="1:10" ht="102">
      <c r="A86" s="13" t="s">
        <v>1068</v>
      </c>
      <c r="B86" s="13" t="s">
        <v>591</v>
      </c>
      <c r="C86" s="13" t="s">
        <v>153</v>
      </c>
      <c r="D86" s="13" t="s">
        <v>1069</v>
      </c>
      <c r="E86" s="13"/>
      <c r="F86" s="13" t="s">
        <v>229</v>
      </c>
      <c r="G86" s="13"/>
      <c r="H86" s="13" t="s">
        <v>1070</v>
      </c>
      <c r="I86" s="13" t="s">
        <v>502</v>
      </c>
      <c r="J86" s="13"/>
    </row>
    <row r="87" spans="1:10" ht="89.25">
      <c r="A87" s="13" t="s">
        <v>1071</v>
      </c>
      <c r="B87" s="13" t="s">
        <v>575</v>
      </c>
      <c r="C87" s="13" t="s">
        <v>1072</v>
      </c>
      <c r="D87" s="13" t="s">
        <v>1073</v>
      </c>
      <c r="E87" s="13"/>
      <c r="F87" s="13" t="s">
        <v>229</v>
      </c>
      <c r="G87" s="13"/>
      <c r="H87" s="13" t="s">
        <v>1034</v>
      </c>
      <c r="I87" s="13" t="s">
        <v>502</v>
      </c>
      <c r="J87" s="13"/>
    </row>
    <row r="88" spans="1:10" ht="89.25">
      <c r="A88" s="13" t="s">
        <v>1074</v>
      </c>
      <c r="B88" s="13" t="s">
        <v>1075</v>
      </c>
      <c r="C88" s="13" t="s">
        <v>1076</v>
      </c>
      <c r="D88" s="13" t="s">
        <v>1077</v>
      </c>
      <c r="E88" s="13"/>
      <c r="F88" s="13" t="s">
        <v>229</v>
      </c>
      <c r="G88" s="13"/>
      <c r="H88" s="13" t="s">
        <v>1078</v>
      </c>
      <c r="I88" s="13" t="s">
        <v>502</v>
      </c>
      <c r="J88" s="13"/>
    </row>
    <row r="89" spans="1:10">
      <c r="A89" s="13"/>
      <c r="B89" s="13"/>
      <c r="C89" s="13"/>
      <c r="D89" s="13"/>
      <c r="E89" s="13"/>
      <c r="F89" s="13"/>
      <c r="G89" s="13"/>
      <c r="H89" s="13"/>
      <c r="I89" s="13"/>
      <c r="J89" s="13"/>
    </row>
    <row r="90" spans="1:10">
      <c r="A90" s="575" t="s">
        <v>1079</v>
      </c>
      <c r="B90" s="896"/>
      <c r="C90" s="896"/>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 r="A92" s="13" t="s">
        <v>591</v>
      </c>
      <c r="B92" s="126">
        <v>0.5</v>
      </c>
      <c r="C92" s="126">
        <v>0.5</v>
      </c>
      <c r="D92" s="126">
        <v>0.5</v>
      </c>
      <c r="E92" s="126">
        <v>0.5</v>
      </c>
      <c r="F92" s="126">
        <v>0.5</v>
      </c>
      <c r="G92" s="13" t="s">
        <v>677</v>
      </c>
      <c r="H92" s="126">
        <v>0.5</v>
      </c>
      <c r="I92" s="13" t="s">
        <v>1080</v>
      </c>
      <c r="J92" s="13" t="s">
        <v>1081</v>
      </c>
    </row>
    <row r="93" spans="1:10" ht="38.25">
      <c r="A93" s="13" t="s">
        <v>14</v>
      </c>
      <c r="B93" s="126">
        <v>0.5</v>
      </c>
      <c r="C93" s="126">
        <v>0.5</v>
      </c>
      <c r="D93" s="126">
        <v>0.5</v>
      </c>
      <c r="E93" s="126">
        <v>0.5</v>
      </c>
      <c r="F93" s="126">
        <v>0.5</v>
      </c>
      <c r="G93" s="13" t="s">
        <v>677</v>
      </c>
      <c r="H93" s="126">
        <v>0.5</v>
      </c>
      <c r="I93" s="13" t="s">
        <v>1080</v>
      </c>
      <c r="J93" s="13" t="s">
        <v>1082</v>
      </c>
    </row>
    <row r="94" spans="1:10" ht="38.25">
      <c r="A94" s="13" t="s">
        <v>928</v>
      </c>
      <c r="B94" s="126">
        <v>0.5</v>
      </c>
      <c r="C94" s="126">
        <v>0.5</v>
      </c>
      <c r="D94" s="126">
        <v>0.5</v>
      </c>
      <c r="E94" s="126">
        <v>0.5</v>
      </c>
      <c r="F94" s="126">
        <v>0.5</v>
      </c>
      <c r="G94" s="13" t="s">
        <v>677</v>
      </c>
      <c r="H94" s="126">
        <v>0.5</v>
      </c>
      <c r="I94" s="13" t="s">
        <v>1080</v>
      </c>
      <c r="J94" s="13" t="s">
        <v>1083</v>
      </c>
    </row>
    <row r="95" spans="1:10" ht="39" thickBot="1">
      <c r="A95" s="13" t="s">
        <v>932</v>
      </c>
      <c r="B95" s="126">
        <v>0.5</v>
      </c>
      <c r="C95" s="126">
        <v>0.5</v>
      </c>
      <c r="D95" s="126">
        <v>0.5</v>
      </c>
      <c r="E95" s="126">
        <v>0.5</v>
      </c>
      <c r="F95" s="126">
        <v>0.5</v>
      </c>
      <c r="G95" s="13" t="s">
        <v>677</v>
      </c>
      <c r="H95" s="126">
        <v>0.5</v>
      </c>
      <c r="I95" s="13" t="s">
        <v>1080</v>
      </c>
      <c r="J95" s="13" t="s">
        <v>1084</v>
      </c>
    </row>
    <row r="96" spans="1:10" ht="15" customHeight="1">
      <c r="A96" s="605" t="s">
        <v>5668</v>
      </c>
      <c r="B96" s="602"/>
      <c r="C96" s="602"/>
      <c r="D96" s="606"/>
      <c r="E96" s="602"/>
      <c r="F96" s="602"/>
      <c r="G96" s="606"/>
      <c r="H96" s="606"/>
      <c r="I96" s="606"/>
      <c r="J96" s="607"/>
    </row>
    <row r="97" spans="1:10" ht="30" customHeight="1">
      <c r="A97" s="321" t="s">
        <v>5610</v>
      </c>
      <c r="B97" s="322" t="s">
        <v>77</v>
      </c>
      <c r="C97" s="322" t="s">
        <v>5611</v>
      </c>
      <c r="D97" s="322" t="s">
        <v>5612</v>
      </c>
      <c r="E97" s="322" t="s">
        <v>5634</v>
      </c>
      <c r="F97" s="322" t="s">
        <v>5601</v>
      </c>
      <c r="G97" s="578" t="s">
        <v>5635</v>
      </c>
      <c r="H97" s="578"/>
      <c r="I97" s="578"/>
      <c r="J97" s="579"/>
    </row>
    <row r="98" spans="1:10" ht="25.5" customHeight="1">
      <c r="A98" s="323" t="s">
        <v>5613</v>
      </c>
      <c r="B98" s="333" t="s">
        <v>484</v>
      </c>
      <c r="C98" s="325">
        <v>0</v>
      </c>
      <c r="D98" s="325">
        <v>0</v>
      </c>
      <c r="E98" s="192" t="s">
        <v>5674</v>
      </c>
      <c r="F98" s="325">
        <f>IF(AND(C98&lt;&gt;"",D98&lt;&gt;""),D98-C98,"")</f>
        <v>0</v>
      </c>
      <c r="G98" s="608"/>
      <c r="H98" s="608"/>
      <c r="I98" s="608"/>
      <c r="J98" s="609"/>
    </row>
    <row r="99" spans="1:10" ht="25.5" customHeight="1">
      <c r="A99" s="326" t="s">
        <v>5614</v>
      </c>
      <c r="B99" s="333" t="s">
        <v>484</v>
      </c>
      <c r="C99" s="325">
        <v>0</v>
      </c>
      <c r="D99" s="327">
        <v>0</v>
      </c>
      <c r="E99" s="310" t="s">
        <v>5675</v>
      </c>
      <c r="F99" s="327">
        <f>IF(AND(C99&lt;&gt;"",D99&lt;&gt;""),D99-C99,"")</f>
        <v>0</v>
      </c>
      <c r="G99" s="610"/>
      <c r="H99" s="610"/>
      <c r="I99" s="610"/>
      <c r="J99" s="611"/>
    </row>
    <row r="100" spans="1:10" ht="15" customHeight="1">
      <c r="A100" s="323" t="s">
        <v>5615</v>
      </c>
      <c r="B100" s="333" t="s">
        <v>484</v>
      </c>
      <c r="C100" s="325">
        <v>0</v>
      </c>
      <c r="D100" s="327">
        <v>0</v>
      </c>
      <c r="E100" s="310" t="s">
        <v>5675</v>
      </c>
      <c r="F100" s="325">
        <f>IF(AND(C100&lt;&gt;"",D100&lt;&gt;""),D100-C100,"")</f>
        <v>0</v>
      </c>
      <c r="G100" s="328"/>
      <c r="H100" s="227"/>
      <c r="I100" s="227"/>
      <c r="J100" s="329"/>
    </row>
    <row r="101" spans="1:10" ht="15" customHeight="1">
      <c r="A101" s="326" t="s">
        <v>5616</v>
      </c>
      <c r="B101" s="333" t="s">
        <v>484</v>
      </c>
      <c r="C101" s="325">
        <v>0</v>
      </c>
      <c r="D101" s="327">
        <v>0</v>
      </c>
      <c r="E101" s="310" t="s">
        <v>5675</v>
      </c>
      <c r="F101" s="327">
        <f>IF(AND(C101&lt;&gt;"",D101&lt;&gt;""),D101-C101,"")</f>
        <v>0</v>
      </c>
      <c r="G101" s="610"/>
      <c r="H101" s="610"/>
      <c r="I101" s="610"/>
      <c r="J101" s="611"/>
    </row>
    <row r="102" spans="1:10" ht="15" customHeight="1">
      <c r="A102" s="323" t="s">
        <v>5168</v>
      </c>
      <c r="B102" s="333" t="s">
        <v>484</v>
      </c>
      <c r="C102" s="325">
        <v>0</v>
      </c>
      <c r="D102" s="327">
        <v>0</v>
      </c>
      <c r="E102" s="310" t="s">
        <v>5675</v>
      </c>
      <c r="F102" s="325">
        <f>IF(AND(C102&lt;&gt;"",D102&lt;&gt;""),D102-C102,"")</f>
        <v>0</v>
      </c>
      <c r="G102" s="328"/>
      <c r="H102" s="227"/>
      <c r="I102" s="227"/>
      <c r="J102" s="329"/>
    </row>
    <row r="103" spans="1:10" ht="15.75" customHeight="1">
      <c r="A103" s="585" t="s">
        <v>5636</v>
      </c>
      <c r="B103" s="586"/>
      <c r="C103" s="330">
        <f>IFERROR(AVERAGE(C98:C102),"")</f>
        <v>0</v>
      </c>
      <c r="D103" s="330">
        <f>IFERROR(AVERAGE(D98:D102),"")</f>
        <v>0</v>
      </c>
      <c r="E103" s="589" t="s">
        <v>5637</v>
      </c>
      <c r="F103" s="589"/>
      <c r="G103" s="589"/>
      <c r="H103" s="589"/>
      <c r="I103" s="589"/>
      <c r="J103" s="590"/>
    </row>
    <row r="104" spans="1:10" ht="20.25" customHeight="1">
      <c r="A104" s="331"/>
      <c r="B104" s="316"/>
      <c r="C104" s="316"/>
      <c r="D104" s="316"/>
      <c r="E104" s="316"/>
      <c r="F104" s="316"/>
      <c r="G104" s="316"/>
      <c r="H104" s="227"/>
      <c r="I104" s="227"/>
      <c r="J104" s="329"/>
    </row>
    <row r="105" spans="1:10">
      <c r="A105" s="574" t="s">
        <v>5669</v>
      </c>
      <c r="B105" s="582"/>
      <c r="C105" s="582"/>
      <c r="D105" s="575"/>
      <c r="E105" s="582"/>
      <c r="F105" s="582"/>
      <c r="G105" s="575"/>
      <c r="H105" s="575"/>
      <c r="I105" s="575"/>
      <c r="J105" s="576"/>
    </row>
    <row r="106" spans="1:10">
      <c r="A106" s="321" t="s">
        <v>4946</v>
      </c>
      <c r="B106" s="322" t="s">
        <v>77</v>
      </c>
      <c r="C106" s="322" t="s">
        <v>5676</v>
      </c>
      <c r="D106" s="322" t="s">
        <v>482</v>
      </c>
      <c r="E106" s="322" t="s">
        <v>572</v>
      </c>
      <c r="F106" s="322" t="s">
        <v>5639</v>
      </c>
      <c r="G106" s="578" t="s">
        <v>5640</v>
      </c>
      <c r="H106" s="578"/>
      <c r="I106" s="578"/>
      <c r="J106" s="579"/>
    </row>
    <row r="107" spans="1:10" ht="31.5" customHeight="1">
      <c r="A107" s="326" t="s">
        <v>5602</v>
      </c>
      <c r="B107" s="333" t="s">
        <v>484</v>
      </c>
      <c r="C107" s="332" t="s">
        <v>1096</v>
      </c>
      <c r="D107" s="324" t="s">
        <v>1096</v>
      </c>
      <c r="E107" s="332">
        <f>IF(D107="Yes",1,0)</f>
        <v>0</v>
      </c>
      <c r="F107" s="580"/>
      <c r="G107" s="580"/>
      <c r="H107" s="580"/>
      <c r="I107" s="580"/>
      <c r="J107" s="581"/>
    </row>
    <row r="108" spans="1:10" ht="20.25" customHeight="1">
      <c r="A108" s="323" t="s">
        <v>995</v>
      </c>
      <c r="B108" s="333" t="s">
        <v>484</v>
      </c>
      <c r="C108" s="332" t="s">
        <v>1096</v>
      </c>
      <c r="D108" s="324" t="s">
        <v>1096</v>
      </c>
      <c r="E108" s="324">
        <f t="shared" ref="E108:E114" si="0">IF(D108="Yes",1,0)</f>
        <v>0</v>
      </c>
      <c r="F108" s="580"/>
      <c r="G108" s="580"/>
      <c r="H108" s="580"/>
      <c r="I108" s="580"/>
      <c r="J108" s="581"/>
    </row>
    <row r="109" spans="1:10" ht="24.75" customHeight="1">
      <c r="A109" s="326" t="s">
        <v>5603</v>
      </c>
      <c r="B109" s="333" t="s">
        <v>484</v>
      </c>
      <c r="C109" s="332" t="s">
        <v>1096</v>
      </c>
      <c r="D109" s="324" t="s">
        <v>1096</v>
      </c>
      <c r="E109" s="332">
        <f t="shared" si="0"/>
        <v>0</v>
      </c>
      <c r="F109" s="580"/>
      <c r="G109" s="580"/>
      <c r="H109" s="580"/>
      <c r="I109" s="580"/>
      <c r="J109" s="581"/>
    </row>
    <row r="110" spans="1:10">
      <c r="A110" s="323" t="s">
        <v>5617</v>
      </c>
      <c r="B110" s="333" t="s">
        <v>484</v>
      </c>
      <c r="C110" s="332" t="s">
        <v>1096</v>
      </c>
      <c r="D110" s="324" t="s">
        <v>1096</v>
      </c>
      <c r="E110" s="324">
        <f t="shared" si="0"/>
        <v>0</v>
      </c>
      <c r="F110" s="580"/>
      <c r="G110" s="580"/>
      <c r="H110" s="580"/>
      <c r="I110" s="580"/>
      <c r="J110" s="581"/>
    </row>
    <row r="111" spans="1:10">
      <c r="A111" s="326" t="s">
        <v>5618</v>
      </c>
      <c r="B111" s="333" t="s">
        <v>484</v>
      </c>
      <c r="C111" s="332" t="s">
        <v>1096</v>
      </c>
      <c r="D111" s="324" t="s">
        <v>1096</v>
      </c>
      <c r="E111" s="332">
        <f t="shared" si="0"/>
        <v>0</v>
      </c>
      <c r="F111" s="580"/>
      <c r="G111" s="580"/>
      <c r="H111" s="580"/>
      <c r="I111" s="580"/>
      <c r="J111" s="581"/>
    </row>
    <row r="112" spans="1:10">
      <c r="A112" s="323" t="s">
        <v>5619</v>
      </c>
      <c r="B112" s="333" t="s">
        <v>484</v>
      </c>
      <c r="C112" s="332" t="s">
        <v>1096</v>
      </c>
      <c r="D112" s="324" t="s">
        <v>1096</v>
      </c>
      <c r="E112" s="324">
        <f t="shared" si="0"/>
        <v>0</v>
      </c>
      <c r="F112" s="580"/>
      <c r="G112" s="580"/>
      <c r="H112" s="580"/>
      <c r="I112" s="580"/>
      <c r="J112" s="581"/>
    </row>
    <row r="113" spans="1:10" ht="18.75" customHeight="1">
      <c r="A113" s="326" t="s">
        <v>5604</v>
      </c>
      <c r="B113" s="333" t="s">
        <v>484</v>
      </c>
      <c r="C113" s="332" t="s">
        <v>1096</v>
      </c>
      <c r="D113" s="324" t="s">
        <v>1096</v>
      </c>
      <c r="E113" s="332">
        <f t="shared" si="0"/>
        <v>0</v>
      </c>
      <c r="F113" s="580"/>
      <c r="G113" s="580"/>
      <c r="H113" s="580"/>
      <c r="I113" s="580"/>
      <c r="J113" s="581"/>
    </row>
    <row r="114" spans="1:10">
      <c r="A114" s="323" t="s">
        <v>5605</v>
      </c>
      <c r="B114" s="333" t="s">
        <v>484</v>
      </c>
      <c r="C114" s="332" t="s">
        <v>1096</v>
      </c>
      <c r="D114" s="324" t="s">
        <v>1096</v>
      </c>
      <c r="E114" s="324">
        <f t="shared" si="0"/>
        <v>0</v>
      </c>
      <c r="F114" s="580"/>
      <c r="G114" s="580"/>
      <c r="H114" s="580"/>
      <c r="I114" s="580"/>
      <c r="J114" s="581"/>
    </row>
    <row r="115" spans="1:10" ht="28.5" customHeight="1">
      <c r="A115" s="585" t="s">
        <v>5641</v>
      </c>
      <c r="B115" s="586"/>
      <c r="C115" s="587" t="str">
        <f>IFERROR(SUM(E107:E114)/COUNTIF(C107:C114,"Yes"),"")</f>
        <v/>
      </c>
      <c r="D115" s="588"/>
      <c r="E115" s="589" t="s">
        <v>5642</v>
      </c>
      <c r="F115" s="589"/>
      <c r="G115" s="589"/>
      <c r="H115" s="589"/>
      <c r="I115" s="589"/>
      <c r="J115" s="590"/>
    </row>
    <row r="116" spans="1:10" ht="20.25" customHeight="1">
      <c r="A116" s="331"/>
      <c r="B116" s="316"/>
      <c r="C116" s="316"/>
      <c r="D116" s="316"/>
      <c r="E116" s="316"/>
      <c r="F116" s="316"/>
      <c r="G116" s="316"/>
      <c r="H116" s="227"/>
      <c r="I116" s="227"/>
      <c r="J116" s="329"/>
    </row>
    <row r="117" spans="1:10">
      <c r="A117" s="574" t="s">
        <v>5670</v>
      </c>
      <c r="B117" s="582"/>
      <c r="C117" s="582"/>
      <c r="D117" s="575"/>
      <c r="E117" s="582"/>
      <c r="F117" s="582"/>
      <c r="G117" s="575"/>
      <c r="H117" s="575"/>
      <c r="I117" s="575"/>
      <c r="J117" s="576"/>
    </row>
    <row r="118" spans="1:10" ht="30" customHeight="1">
      <c r="A118" s="321" t="s">
        <v>5643</v>
      </c>
      <c r="B118" s="322" t="s">
        <v>77</v>
      </c>
      <c r="C118" s="322" t="s">
        <v>5620</v>
      </c>
      <c r="D118" s="322" t="s">
        <v>5621</v>
      </c>
      <c r="E118" s="322" t="s">
        <v>5622</v>
      </c>
      <c r="F118" s="322" t="s">
        <v>5644</v>
      </c>
      <c r="G118" s="578" t="s">
        <v>5645</v>
      </c>
      <c r="H118" s="578"/>
      <c r="I118" s="578"/>
      <c r="J118" s="579"/>
    </row>
    <row r="119" spans="1:10">
      <c r="A119" s="326" t="s">
        <v>5623</v>
      </c>
      <c r="B119" s="332" t="s">
        <v>484</v>
      </c>
      <c r="C119" s="332" t="s">
        <v>1096</v>
      </c>
      <c r="D119" s="332" t="s">
        <v>1096</v>
      </c>
      <c r="E119" s="332" t="s">
        <v>1096</v>
      </c>
      <c r="F119" s="332" t="s">
        <v>348</v>
      </c>
      <c r="G119" s="583"/>
      <c r="H119" s="583"/>
      <c r="I119" s="583"/>
      <c r="J119" s="584"/>
    </row>
    <row r="120" spans="1:10" ht="53.45" customHeight="1">
      <c r="A120" s="323" t="s">
        <v>5624</v>
      </c>
      <c r="B120" s="332" t="s">
        <v>484</v>
      </c>
      <c r="C120" s="332" t="s">
        <v>1096</v>
      </c>
      <c r="D120" s="332" t="s">
        <v>1096</v>
      </c>
      <c r="E120" s="332" t="s">
        <v>1096</v>
      </c>
      <c r="F120" s="332" t="s">
        <v>348</v>
      </c>
      <c r="G120" s="583"/>
      <c r="H120" s="583"/>
      <c r="I120" s="583"/>
      <c r="J120" s="584"/>
    </row>
    <row r="121" spans="1:10" ht="53.45" customHeight="1">
      <c r="A121" s="326" t="s">
        <v>5646</v>
      </c>
      <c r="B121" s="332" t="s">
        <v>484</v>
      </c>
      <c r="C121" s="332" t="s">
        <v>1096</v>
      </c>
      <c r="D121" s="332" t="s">
        <v>1096</v>
      </c>
      <c r="E121" s="332" t="s">
        <v>1096</v>
      </c>
      <c r="F121" s="332" t="s">
        <v>348</v>
      </c>
      <c r="G121" s="583"/>
      <c r="H121" s="583"/>
      <c r="I121" s="583"/>
      <c r="J121" s="584"/>
    </row>
    <row r="122" spans="1:10" ht="53.45" customHeight="1">
      <c r="A122" s="323" t="s">
        <v>5625</v>
      </c>
      <c r="B122" s="332" t="s">
        <v>484</v>
      </c>
      <c r="C122" s="332" t="s">
        <v>1096</v>
      </c>
      <c r="D122" s="332" t="s">
        <v>1096</v>
      </c>
      <c r="E122" s="332" t="s">
        <v>1096</v>
      </c>
      <c r="F122" s="332" t="s">
        <v>348</v>
      </c>
      <c r="G122" s="583"/>
      <c r="H122" s="583"/>
      <c r="I122" s="583"/>
      <c r="J122" s="584"/>
    </row>
    <row r="123" spans="1:10" ht="53.45" customHeight="1">
      <c r="A123" s="326" t="s">
        <v>5626</v>
      </c>
      <c r="B123" s="332" t="s">
        <v>484</v>
      </c>
      <c r="C123" s="332" t="s">
        <v>1096</v>
      </c>
      <c r="D123" s="332" t="s">
        <v>1096</v>
      </c>
      <c r="E123" s="332" t="s">
        <v>1096</v>
      </c>
      <c r="F123" s="332" t="s">
        <v>348</v>
      </c>
      <c r="G123" s="583"/>
      <c r="H123" s="583"/>
      <c r="I123" s="583"/>
      <c r="J123" s="584"/>
    </row>
    <row r="124" spans="1:10" ht="53.45" customHeight="1">
      <c r="A124" s="585" t="s">
        <v>5677</v>
      </c>
      <c r="B124" s="586"/>
      <c r="C124" s="587">
        <f>IFERROR(COUNTIF(E119:E123,"Yes")/COUNTA(A119:A123),"")</f>
        <v>0</v>
      </c>
      <c r="D124" s="588"/>
      <c r="E124" s="589" t="s">
        <v>5648</v>
      </c>
      <c r="F124" s="589"/>
      <c r="G124" s="589"/>
      <c r="H124" s="589"/>
      <c r="I124" s="589"/>
      <c r="J124" s="590"/>
    </row>
    <row r="125" spans="1:10" ht="20.25" customHeight="1">
      <c r="A125" s="331"/>
      <c r="B125" s="316"/>
      <c r="C125" s="316"/>
      <c r="D125" s="316"/>
      <c r="E125" s="316"/>
      <c r="F125" s="316"/>
      <c r="G125" s="599"/>
      <c r="H125" s="599"/>
      <c r="I125" s="599"/>
      <c r="J125" s="600"/>
    </row>
    <row r="126" spans="1:10" ht="53.45" customHeight="1">
      <c r="A126" s="574" t="s">
        <v>5671</v>
      </c>
      <c r="B126" s="582"/>
      <c r="C126" s="582"/>
      <c r="D126" s="575"/>
      <c r="E126" s="582"/>
      <c r="F126" s="582"/>
      <c r="G126" s="575"/>
      <c r="H126" s="575"/>
      <c r="I126" s="575"/>
      <c r="J126" s="576"/>
    </row>
    <row r="127" spans="1:10" ht="53.45" customHeight="1">
      <c r="A127" s="322" t="s">
        <v>5606</v>
      </c>
      <c r="B127" s="322" t="s">
        <v>77</v>
      </c>
      <c r="C127" s="322" t="s">
        <v>5627</v>
      </c>
      <c r="D127" s="322" t="s">
        <v>5628</v>
      </c>
      <c r="E127" s="322" t="s">
        <v>5629</v>
      </c>
      <c r="F127" s="322" t="s">
        <v>5630</v>
      </c>
      <c r="G127" s="578" t="s">
        <v>5678</v>
      </c>
      <c r="H127" s="578"/>
      <c r="I127" s="578"/>
      <c r="J127" s="578"/>
    </row>
    <row r="128" spans="1:10">
      <c r="A128" s="328" t="s">
        <v>153</v>
      </c>
      <c r="B128" s="324" t="s">
        <v>484</v>
      </c>
      <c r="C128" s="324"/>
      <c r="D128" s="324"/>
      <c r="E128" s="324"/>
      <c r="F128" s="325" t="str">
        <f>IFERROR(D128/C128,"")</f>
        <v/>
      </c>
      <c r="G128" s="572"/>
      <c r="H128" s="572"/>
      <c r="I128" s="572"/>
      <c r="J128" s="572"/>
    </row>
    <row r="129" spans="1:10">
      <c r="A129" s="335" t="s">
        <v>155</v>
      </c>
      <c r="B129" s="332" t="s">
        <v>484</v>
      </c>
      <c r="C129" s="332"/>
      <c r="D129" s="332"/>
      <c r="E129" s="332"/>
      <c r="F129" s="327" t="str">
        <f>IFERROR(D129/C129,"")</f>
        <v/>
      </c>
      <c r="G129" s="572"/>
      <c r="H129" s="572"/>
      <c r="I129" s="572"/>
      <c r="J129" s="572"/>
    </row>
    <row r="130" spans="1:10">
      <c r="A130" s="328" t="s">
        <v>4821</v>
      </c>
      <c r="B130" s="324" t="s">
        <v>484</v>
      </c>
      <c r="C130" s="324"/>
      <c r="D130" s="324"/>
      <c r="E130" s="324"/>
      <c r="F130" s="325" t="str">
        <f>IFERROR(D130/C130,"")</f>
        <v/>
      </c>
      <c r="G130" s="572"/>
      <c r="H130" s="572"/>
      <c r="I130" s="572"/>
      <c r="J130" s="572"/>
    </row>
    <row r="131" spans="1:10">
      <c r="A131" s="335" t="s">
        <v>957</v>
      </c>
      <c r="B131" s="332" t="s">
        <v>484</v>
      </c>
      <c r="C131" s="332"/>
      <c r="D131" s="332"/>
      <c r="E131" s="332"/>
      <c r="F131" s="327" t="str">
        <f>IFERROR(D131/C131,"")</f>
        <v/>
      </c>
      <c r="G131" s="572"/>
      <c r="H131" s="572"/>
      <c r="I131" s="572"/>
      <c r="J131" s="572"/>
    </row>
    <row r="132" spans="1:10">
      <c r="A132" s="597" t="s">
        <v>5649</v>
      </c>
      <c r="B132" s="597"/>
      <c r="C132" s="597"/>
      <c r="D132" s="597"/>
      <c r="E132" s="589" t="s">
        <v>5650</v>
      </c>
      <c r="F132" s="589"/>
      <c r="G132" s="589"/>
      <c r="H132" s="589"/>
      <c r="I132" s="589"/>
      <c r="J132" s="589"/>
    </row>
    <row r="133" spans="1:10">
      <c r="A133" s="597"/>
      <c r="B133" s="597"/>
      <c r="C133" s="597"/>
      <c r="D133" s="597"/>
      <c r="E133" s="589"/>
      <c r="F133" s="589"/>
      <c r="G133" s="589"/>
      <c r="H133" s="589"/>
      <c r="I133" s="589"/>
      <c r="J133" s="589"/>
    </row>
    <row r="134" spans="1:10">
      <c r="A134" s="575" t="s">
        <v>5672</v>
      </c>
      <c r="B134" s="575"/>
      <c r="C134" s="575"/>
      <c r="D134" s="575"/>
      <c r="E134" s="575"/>
      <c r="F134" s="575"/>
      <c r="G134" s="575"/>
      <c r="H134" s="575"/>
      <c r="I134" s="575"/>
      <c r="J134" s="575"/>
    </row>
    <row r="135" spans="1:10">
      <c r="A135" s="322" t="s">
        <v>4946</v>
      </c>
      <c r="B135" s="322" t="s">
        <v>77</v>
      </c>
      <c r="C135" s="322" t="s">
        <v>5638</v>
      </c>
      <c r="D135" s="322" t="s">
        <v>482</v>
      </c>
      <c r="E135" s="322" t="s">
        <v>572</v>
      </c>
      <c r="F135" s="322" t="s">
        <v>944</v>
      </c>
      <c r="G135" s="578" t="s">
        <v>5640</v>
      </c>
      <c r="H135" s="578"/>
      <c r="I135" s="578"/>
      <c r="J135" s="578"/>
    </row>
    <row r="136" spans="1:10">
      <c r="A136" s="328" t="s">
        <v>5607</v>
      </c>
      <c r="B136" s="324" t="s">
        <v>484</v>
      </c>
      <c r="C136" s="324" t="s">
        <v>392</v>
      </c>
      <c r="D136" s="324" t="s">
        <v>1096</v>
      </c>
      <c r="E136" s="324">
        <f t="shared" ref="E136:E141" si="1">IF(D136="Yes",1,0)</f>
        <v>0</v>
      </c>
      <c r="F136" s="324"/>
      <c r="G136" s="572"/>
      <c r="H136" s="572"/>
      <c r="I136" s="572"/>
      <c r="J136" s="572"/>
    </row>
    <row r="137" spans="1:10">
      <c r="A137" s="335" t="s">
        <v>5608</v>
      </c>
      <c r="B137" s="324" t="s">
        <v>484</v>
      </c>
      <c r="C137" s="332" t="s">
        <v>392</v>
      </c>
      <c r="D137" s="324" t="s">
        <v>1096</v>
      </c>
      <c r="E137" s="332">
        <f t="shared" si="1"/>
        <v>0</v>
      </c>
      <c r="F137" s="332"/>
      <c r="G137" s="572"/>
      <c r="H137" s="572"/>
      <c r="I137" s="572"/>
      <c r="J137" s="572"/>
    </row>
    <row r="138" spans="1:10">
      <c r="A138" s="328" t="s">
        <v>5609</v>
      </c>
      <c r="B138" s="324" t="s">
        <v>484</v>
      </c>
      <c r="C138" s="324" t="s">
        <v>392</v>
      </c>
      <c r="D138" s="324" t="s">
        <v>1096</v>
      </c>
      <c r="E138" s="324">
        <f t="shared" si="1"/>
        <v>0</v>
      </c>
      <c r="F138" s="324"/>
      <c r="G138" s="572"/>
      <c r="H138" s="572"/>
      <c r="I138" s="572"/>
      <c r="J138" s="572"/>
    </row>
    <row r="139" spans="1:10">
      <c r="A139" s="335" t="s">
        <v>5631</v>
      </c>
      <c r="B139" s="324" t="s">
        <v>484</v>
      </c>
      <c r="C139" s="332" t="s">
        <v>392</v>
      </c>
      <c r="D139" s="324" t="s">
        <v>1096</v>
      </c>
      <c r="E139" s="332">
        <f t="shared" si="1"/>
        <v>0</v>
      </c>
      <c r="F139" s="332"/>
      <c r="G139" s="572"/>
      <c r="H139" s="572"/>
      <c r="I139" s="572"/>
      <c r="J139" s="572"/>
    </row>
    <row r="140" spans="1:10" ht="27.75" customHeight="1">
      <c r="A140" s="328" t="s">
        <v>5632</v>
      </c>
      <c r="B140" s="324" t="s">
        <v>484</v>
      </c>
      <c r="C140" s="324" t="s">
        <v>392</v>
      </c>
      <c r="D140" s="324" t="s">
        <v>1096</v>
      </c>
      <c r="E140" s="324">
        <f t="shared" si="1"/>
        <v>0</v>
      </c>
      <c r="F140" s="324"/>
      <c r="G140" s="572"/>
      <c r="H140" s="572"/>
      <c r="I140" s="572"/>
      <c r="J140" s="572"/>
    </row>
    <row r="141" spans="1:10" ht="29.25" customHeight="1">
      <c r="A141" s="335" t="s">
        <v>5633</v>
      </c>
      <c r="B141" s="324" t="s">
        <v>484</v>
      </c>
      <c r="C141" s="332" t="s">
        <v>392</v>
      </c>
      <c r="D141" s="332" t="s">
        <v>1096</v>
      </c>
      <c r="E141" s="332">
        <f t="shared" si="1"/>
        <v>0</v>
      </c>
      <c r="F141" s="332"/>
      <c r="G141" s="572"/>
      <c r="H141" s="572"/>
      <c r="I141" s="572"/>
      <c r="J141" s="572"/>
    </row>
    <row r="142" spans="1:10" ht="15.75">
      <c r="A142" s="930" t="s">
        <v>5651</v>
      </c>
      <c r="B142" s="586"/>
      <c r="C142" s="587">
        <f>IFERROR(SUM(E136:E141)/COUNTIF(C136:C141,"Yes"),"")</f>
        <v>0</v>
      </c>
      <c r="D142" s="588"/>
      <c r="E142" s="589" t="s">
        <v>5652</v>
      </c>
      <c r="F142" s="589"/>
      <c r="G142" s="589"/>
      <c r="H142" s="589"/>
      <c r="I142" s="589"/>
      <c r="J142" s="589"/>
    </row>
    <row r="143" spans="1:10" ht="20.25" customHeight="1">
      <c r="A143" s="192"/>
      <c r="B143" s="192"/>
      <c r="C143" s="192"/>
      <c r="D143" s="192"/>
      <c r="E143" s="192"/>
      <c r="F143" s="192"/>
      <c r="G143" s="192"/>
      <c r="H143" s="192"/>
      <c r="I143" s="192"/>
      <c r="J143" s="192"/>
    </row>
    <row r="144" spans="1:10">
      <c r="A144" s="575" t="s">
        <v>5673</v>
      </c>
      <c r="B144" s="582"/>
      <c r="C144" s="582"/>
      <c r="D144" s="317"/>
      <c r="E144" s="317"/>
      <c r="F144" s="317"/>
      <c r="G144" s="317"/>
      <c r="H144" s="317"/>
      <c r="I144" s="317"/>
      <c r="J144" s="317"/>
    </row>
    <row r="145" spans="1:10" ht="38.25">
      <c r="A145" s="318" t="s">
        <v>905</v>
      </c>
      <c r="B145" s="318" t="s">
        <v>830</v>
      </c>
      <c r="C145" s="318"/>
      <c r="D145" s="318"/>
      <c r="E145" s="318"/>
      <c r="F145" s="318"/>
      <c r="G145" s="318"/>
      <c r="H145" s="318"/>
      <c r="I145" s="318"/>
      <c r="J145" s="318"/>
    </row>
    <row r="146" spans="1:10">
      <c r="A146" s="315" t="s">
        <v>1086</v>
      </c>
      <c r="B146" s="594" t="s">
        <v>3292</v>
      </c>
      <c r="C146" s="582"/>
      <c r="D146" s="582"/>
      <c r="E146" s="582"/>
      <c r="F146" s="582"/>
      <c r="G146" s="582"/>
      <c r="H146" s="582"/>
      <c r="I146" s="582"/>
      <c r="J146" s="582"/>
    </row>
    <row r="147" spans="1:10" ht="25.5">
      <c r="A147" s="315" t="s">
        <v>2090</v>
      </c>
      <c r="B147" s="594" t="s">
        <v>3293</v>
      </c>
      <c r="C147" s="582"/>
      <c r="D147" s="582"/>
      <c r="E147" s="582"/>
      <c r="F147" s="582"/>
      <c r="G147" s="582"/>
      <c r="H147" s="582"/>
      <c r="I147" s="582"/>
      <c r="J147" s="582"/>
    </row>
    <row r="148" spans="1:10">
      <c r="A148" s="315" t="s">
        <v>1089</v>
      </c>
      <c r="B148" s="594" t="s">
        <v>3294</v>
      </c>
      <c r="C148" s="582"/>
      <c r="D148" s="582"/>
      <c r="E148" s="582"/>
      <c r="F148" s="582"/>
      <c r="G148" s="582"/>
      <c r="H148" s="582"/>
      <c r="I148" s="582"/>
      <c r="J148" s="582"/>
    </row>
    <row r="149" spans="1:10">
      <c r="A149" s="315" t="s">
        <v>1090</v>
      </c>
      <c r="B149" s="594" t="s">
        <v>3295</v>
      </c>
      <c r="C149" s="582"/>
      <c r="D149" s="582"/>
      <c r="E149" s="582"/>
      <c r="F149" s="582"/>
      <c r="G149" s="582"/>
      <c r="H149" s="582"/>
      <c r="I149" s="582"/>
      <c r="J149" s="582"/>
    </row>
    <row r="150" spans="1:10">
      <c r="A150" s="315" t="s">
        <v>1088</v>
      </c>
      <c r="B150" s="594" t="s">
        <v>3296</v>
      </c>
      <c r="C150" s="582"/>
      <c r="D150" s="582"/>
      <c r="E150" s="582"/>
      <c r="F150" s="582"/>
      <c r="G150" s="582"/>
      <c r="H150" s="582"/>
      <c r="I150" s="582"/>
      <c r="J150" s="582"/>
    </row>
    <row r="151" spans="1:10">
      <c r="A151" s="315" t="s">
        <v>3297</v>
      </c>
      <c r="B151" s="594" t="s">
        <v>3298</v>
      </c>
      <c r="C151" s="582"/>
      <c r="D151" s="582"/>
      <c r="E151" s="582"/>
      <c r="F151" s="582"/>
      <c r="G151" s="582"/>
      <c r="H151" s="582"/>
      <c r="I151" s="582"/>
      <c r="J151" s="582"/>
    </row>
    <row r="152" spans="1:10">
      <c r="A152" s="315" t="s">
        <v>1563</v>
      </c>
      <c r="B152" s="594" t="s">
        <v>1776</v>
      </c>
      <c r="C152" s="582"/>
      <c r="D152" s="582"/>
      <c r="E152" s="582"/>
      <c r="F152" s="582"/>
      <c r="G152" s="582"/>
      <c r="H152" s="582"/>
      <c r="I152" s="582"/>
      <c r="J152" s="582"/>
    </row>
    <row r="153" spans="1:10">
      <c r="A153" s="227"/>
      <c r="B153" s="227"/>
      <c r="C153" s="227"/>
      <c r="D153" s="227"/>
      <c r="E153" s="227"/>
      <c r="F153" s="227"/>
      <c r="G153" s="227"/>
      <c r="H153" s="227"/>
      <c r="I153" s="227"/>
      <c r="J153" s="227"/>
    </row>
    <row r="154" spans="1:10" ht="18" hidden="1">
      <c r="A154" s="598" t="s">
        <v>5562</v>
      </c>
      <c r="B154" s="598"/>
      <c r="C154" s="598"/>
      <c r="D154" s="598"/>
      <c r="E154" s="598"/>
      <c r="F154" s="598"/>
      <c r="G154" s="598"/>
      <c r="H154" s="598"/>
      <c r="I154" s="227"/>
      <c r="J154" s="227"/>
    </row>
    <row r="155" spans="1:10" hidden="1">
      <c r="A155" s="272" t="s">
        <v>2</v>
      </c>
      <c r="B155" s="591" t="s">
        <v>5563</v>
      </c>
      <c r="C155" s="591"/>
      <c r="D155" s="591"/>
      <c r="E155" s="591"/>
      <c r="F155" s="591"/>
      <c r="G155" s="591"/>
      <c r="H155" s="591"/>
      <c r="I155" s="227"/>
      <c r="J155" s="227"/>
    </row>
    <row r="156" spans="1:10" hidden="1">
      <c r="A156" s="272" t="s">
        <v>5564</v>
      </c>
      <c r="B156" s="591" t="s">
        <v>5565</v>
      </c>
      <c r="C156" s="591"/>
      <c r="D156" s="591"/>
      <c r="E156" s="591"/>
      <c r="F156" s="591"/>
      <c r="G156" s="591"/>
      <c r="H156" s="591"/>
      <c r="I156" s="227"/>
      <c r="J156" s="227"/>
    </row>
    <row r="157" spans="1:10" hidden="1">
      <c r="A157" s="192"/>
      <c r="B157" s="192"/>
      <c r="C157" s="192"/>
      <c r="D157" s="192"/>
      <c r="E157" s="192"/>
      <c r="F157" s="192"/>
      <c r="G157" s="192"/>
      <c r="H157" s="192"/>
      <c r="I157" s="227"/>
      <c r="J157" s="227"/>
    </row>
    <row r="158" spans="1:10" hidden="1">
      <c r="A158" s="319" t="s">
        <v>4946</v>
      </c>
      <c r="B158" s="319" t="s">
        <v>77</v>
      </c>
      <c r="C158" s="319" t="s">
        <v>5566</v>
      </c>
      <c r="D158" s="319" t="s">
        <v>263</v>
      </c>
      <c r="E158" s="319" t="s">
        <v>216</v>
      </c>
      <c r="F158" s="319" t="s">
        <v>5567</v>
      </c>
      <c r="G158" s="319" t="s">
        <v>5568</v>
      </c>
      <c r="H158" s="319" t="s">
        <v>5569</v>
      </c>
      <c r="I158" s="227"/>
      <c r="J158" s="227"/>
    </row>
    <row r="159" spans="1:10" hidden="1">
      <c r="A159" s="273" t="s">
        <v>5570</v>
      </c>
      <c r="B159" s="274" t="s">
        <v>1096</v>
      </c>
      <c r="C159" s="273"/>
      <c r="D159" s="273"/>
      <c r="E159" s="273"/>
      <c r="F159" s="273"/>
      <c r="G159" s="275" t="str">
        <f t="shared" ref="G159:G166" si="2">IF(OR(B159="Yes",B159="N/A"),"🟢","🟡")</f>
        <v>🟡</v>
      </c>
      <c r="H159" s="273"/>
      <c r="I159" s="227"/>
      <c r="J159" s="227"/>
    </row>
    <row r="160" spans="1:10" hidden="1">
      <c r="A160" s="273" t="s">
        <v>5571</v>
      </c>
      <c r="B160" s="274" t="s">
        <v>1096</v>
      </c>
      <c r="C160" s="273"/>
      <c r="D160" s="273"/>
      <c r="E160" s="273"/>
      <c r="F160" s="273"/>
      <c r="G160" s="275" t="str">
        <f t="shared" si="2"/>
        <v>🟡</v>
      </c>
      <c r="H160" s="273"/>
      <c r="I160" s="227"/>
      <c r="J160" s="227"/>
    </row>
    <row r="161" spans="1:10" hidden="1">
      <c r="A161" s="273" t="s">
        <v>5572</v>
      </c>
      <c r="B161" s="274" t="s">
        <v>1096</v>
      </c>
      <c r="C161" s="273"/>
      <c r="D161" s="273"/>
      <c r="E161" s="273"/>
      <c r="F161" s="273"/>
      <c r="G161" s="275" t="str">
        <f t="shared" si="2"/>
        <v>🟡</v>
      </c>
      <c r="H161" s="273"/>
      <c r="I161" s="227"/>
      <c r="J161" s="227"/>
    </row>
    <row r="162" spans="1:10" hidden="1">
      <c r="A162" s="273" t="s">
        <v>5168</v>
      </c>
      <c r="B162" s="274" t="s">
        <v>1096</v>
      </c>
      <c r="C162" s="273"/>
      <c r="D162" s="273"/>
      <c r="E162" s="273"/>
      <c r="F162" s="273"/>
      <c r="G162" s="275" t="str">
        <f t="shared" si="2"/>
        <v>🟡</v>
      </c>
      <c r="H162" s="273"/>
      <c r="I162" s="227"/>
      <c r="J162" s="227"/>
    </row>
    <row r="163" spans="1:10" hidden="1">
      <c r="A163" s="273" t="s">
        <v>5573</v>
      </c>
      <c r="B163" s="274" t="s">
        <v>1096</v>
      </c>
      <c r="C163" s="273"/>
      <c r="D163" s="273"/>
      <c r="E163" s="273"/>
      <c r="F163" s="273"/>
      <c r="G163" s="275" t="str">
        <f t="shared" si="2"/>
        <v>🟡</v>
      </c>
      <c r="H163" s="273"/>
      <c r="I163" s="227"/>
      <c r="J163" s="227"/>
    </row>
    <row r="164" spans="1:10" hidden="1">
      <c r="A164" s="273" t="s">
        <v>5574</v>
      </c>
      <c r="B164" s="274" t="s">
        <v>1096</v>
      </c>
      <c r="C164" s="273"/>
      <c r="D164" s="273"/>
      <c r="E164" s="273"/>
      <c r="F164" s="273"/>
      <c r="G164" s="275" t="str">
        <f t="shared" si="2"/>
        <v>🟡</v>
      </c>
      <c r="H164" s="273"/>
      <c r="I164" s="227"/>
      <c r="J164" s="227"/>
    </row>
    <row r="165" spans="1:10" hidden="1">
      <c r="A165" s="273" t="s">
        <v>178</v>
      </c>
      <c r="B165" s="274" t="s">
        <v>1096</v>
      </c>
      <c r="C165" s="273"/>
      <c r="D165" s="273"/>
      <c r="E165" s="273"/>
      <c r="F165" s="273"/>
      <c r="G165" s="275" t="str">
        <f t="shared" si="2"/>
        <v>🟡</v>
      </c>
      <c r="H165" s="273"/>
      <c r="I165" s="227"/>
      <c r="J165" s="227"/>
    </row>
    <row r="166" spans="1:10" hidden="1">
      <c r="A166" s="273" t="s">
        <v>5575</v>
      </c>
      <c r="B166" s="274" t="s">
        <v>1096</v>
      </c>
      <c r="C166" s="273"/>
      <c r="D166" s="273"/>
      <c r="E166" s="273"/>
      <c r="F166" s="273"/>
      <c r="G166" s="275" t="str">
        <f t="shared" si="2"/>
        <v>🟡</v>
      </c>
      <c r="H166" s="273"/>
      <c r="I166" s="227"/>
      <c r="J166" s="227"/>
    </row>
    <row r="167" spans="1:10" ht="42" hidden="1" customHeight="1">
      <c r="A167" s="320" t="s">
        <v>4946</v>
      </c>
      <c r="B167" s="320" t="s">
        <v>5583</v>
      </c>
      <c r="C167" s="192"/>
      <c r="D167" s="192"/>
      <c r="E167" s="320" t="s">
        <v>5584</v>
      </c>
      <c r="F167" s="192"/>
      <c r="G167" s="192"/>
      <c r="H167" s="192"/>
      <c r="I167" s="227"/>
      <c r="J167" s="227"/>
    </row>
    <row r="168" spans="1:10" ht="42" hidden="1" customHeight="1">
      <c r="A168" s="287" t="s">
        <v>5570</v>
      </c>
      <c r="B168" s="577" t="s">
        <v>5585</v>
      </c>
      <c r="C168" s="577"/>
      <c r="D168" s="577"/>
      <c r="E168" s="577" t="s">
        <v>5586</v>
      </c>
      <c r="F168" s="577"/>
      <c r="G168" s="577"/>
      <c r="H168" s="192"/>
      <c r="I168" s="227"/>
      <c r="J168" s="227"/>
    </row>
    <row r="169" spans="1:10" ht="42" hidden="1" customHeight="1">
      <c r="A169" s="287" t="s">
        <v>5571</v>
      </c>
      <c r="B169" s="577" t="s">
        <v>5587</v>
      </c>
      <c r="C169" s="577"/>
      <c r="D169" s="577"/>
      <c r="E169" s="577" t="s">
        <v>5588</v>
      </c>
      <c r="F169" s="577"/>
      <c r="G169" s="577"/>
      <c r="H169" s="192"/>
      <c r="I169" s="227"/>
      <c r="J169" s="227"/>
    </row>
    <row r="170" spans="1:10" ht="42" hidden="1" customHeight="1">
      <c r="A170" s="287" t="s">
        <v>5572</v>
      </c>
      <c r="B170" s="577" t="s">
        <v>5589</v>
      </c>
      <c r="C170" s="577"/>
      <c r="D170" s="577"/>
      <c r="E170" s="577" t="s">
        <v>5590</v>
      </c>
      <c r="F170" s="577"/>
      <c r="G170" s="577"/>
      <c r="H170" s="192"/>
      <c r="I170" s="227"/>
      <c r="J170" s="227"/>
    </row>
    <row r="171" spans="1:10" ht="42" hidden="1" customHeight="1">
      <c r="A171" s="287" t="s">
        <v>5168</v>
      </c>
      <c r="B171" s="577" t="s">
        <v>5591</v>
      </c>
      <c r="C171" s="577"/>
      <c r="D171" s="577"/>
      <c r="E171" s="577" t="s">
        <v>5592</v>
      </c>
      <c r="F171" s="577"/>
      <c r="G171" s="577"/>
      <c r="H171" s="192"/>
      <c r="I171" s="227"/>
      <c r="J171" s="227"/>
    </row>
    <row r="172" spans="1:10" ht="42" hidden="1" customHeight="1">
      <c r="A172" s="287" t="s">
        <v>5573</v>
      </c>
      <c r="B172" s="577" t="s">
        <v>5593</v>
      </c>
      <c r="C172" s="577"/>
      <c r="D172" s="577"/>
      <c r="E172" s="577" t="s">
        <v>5594</v>
      </c>
      <c r="F172" s="577"/>
      <c r="G172" s="577"/>
      <c r="H172" s="192"/>
      <c r="I172" s="227"/>
      <c r="J172" s="227"/>
    </row>
    <row r="173" spans="1:10" ht="42" hidden="1" customHeight="1">
      <c r="A173" s="287" t="s">
        <v>5574</v>
      </c>
      <c r="B173" s="577" t="s">
        <v>5595</v>
      </c>
      <c r="C173" s="577"/>
      <c r="D173" s="577"/>
      <c r="E173" s="577" t="s">
        <v>5596</v>
      </c>
      <c r="F173" s="577"/>
      <c r="G173" s="577"/>
      <c r="H173" s="192"/>
      <c r="I173" s="227"/>
      <c r="J173" s="227"/>
    </row>
    <row r="174" spans="1:10" ht="42" hidden="1" customHeight="1">
      <c r="A174" s="287" t="s">
        <v>178</v>
      </c>
      <c r="B174" s="577" t="s">
        <v>5597</v>
      </c>
      <c r="C174" s="577"/>
      <c r="D174" s="577"/>
      <c r="E174" s="577" t="s">
        <v>5598</v>
      </c>
      <c r="F174" s="577"/>
      <c r="G174" s="577"/>
      <c r="H174" s="192"/>
      <c r="I174" s="227"/>
      <c r="J174" s="227"/>
    </row>
    <row r="175" spans="1:10" ht="42" hidden="1" customHeight="1">
      <c r="A175" s="287" t="s">
        <v>5575</v>
      </c>
      <c r="B175" s="577" t="s">
        <v>5599</v>
      </c>
      <c r="C175" s="577"/>
      <c r="D175" s="577"/>
      <c r="E175" s="577" t="s">
        <v>5600</v>
      </c>
      <c r="F175" s="577"/>
      <c r="G175" s="577"/>
      <c r="H175" s="192"/>
      <c r="I175" s="227"/>
      <c r="J175" s="227"/>
    </row>
    <row r="176" spans="1:10" hidden="1">
      <c r="A176" s="272" t="s">
        <v>5576</v>
      </c>
      <c r="B176" s="276" t="str">
        <f>IF(COUNTIF(B159:B166,"No")=0,"🟢 PILOT COMPLETE / ACCEPTANCE READY","🟡 NOT COMPLETE — ACCEPTANCE GATES OPEN")</f>
        <v>🟡 NOT COMPLETE — ACCEPTANCE GATES OPEN</v>
      </c>
      <c r="C176" s="276"/>
      <c r="D176" s="276"/>
      <c r="E176" s="276"/>
      <c r="F176" s="276"/>
      <c r="G176" s="276"/>
      <c r="H176" s="276"/>
    </row>
    <row r="177" spans="1:10" hidden="1">
      <c r="A177" s="272" t="s">
        <v>5577</v>
      </c>
      <c r="B177" s="276">
        <f>COUNTIF(B159:B166,"No")</f>
        <v>8</v>
      </c>
      <c r="C177" s="276"/>
      <c r="D177" s="276"/>
      <c r="E177" s="276"/>
      <c r="F177" s="276"/>
      <c r="G177" s="276"/>
      <c r="H177" s="276"/>
    </row>
    <row r="178" spans="1:10" hidden="1">
      <c r="A178" s="272" t="s">
        <v>5578</v>
      </c>
      <c r="B178" s="276" t="str">
        <f>COUNTIF(B159:B166,"Yes")&amp;" / 8 Complete"</f>
        <v>0 / 8 Complete</v>
      </c>
      <c r="C178" s="276"/>
      <c r="D178" s="276"/>
      <c r="E178" s="276"/>
      <c r="F178" s="276"/>
      <c r="G178" s="276"/>
      <c r="H178" s="276"/>
    </row>
    <row r="179" spans="1:10" ht="90" hidden="1">
      <c r="A179" s="277" t="s">
        <v>5579</v>
      </c>
      <c r="B179" s="278" t="s">
        <v>5580</v>
      </c>
      <c r="C179" s="278"/>
      <c r="D179" s="278"/>
      <c r="E179" s="278"/>
      <c r="F179" s="278"/>
      <c r="G179" s="278"/>
      <c r="H179" s="278"/>
    </row>
    <row r="180" spans="1:10" hidden="1">
      <c r="A180" s="277"/>
      <c r="B180" s="278"/>
      <c r="C180" s="278"/>
      <c r="D180" s="278"/>
      <c r="E180" s="278"/>
      <c r="F180" s="278"/>
      <c r="G180" s="278"/>
      <c r="H180" s="278"/>
    </row>
    <row r="181" spans="1:10" ht="64.5" hidden="1">
      <c r="A181" s="277" t="s">
        <v>5581</v>
      </c>
      <c r="B181" s="278" t="s">
        <v>5582</v>
      </c>
      <c r="C181" s="278"/>
      <c r="D181" s="278"/>
      <c r="E181" s="278"/>
      <c r="F181" s="278"/>
      <c r="G181" s="278"/>
      <c r="H181" s="278"/>
    </row>
    <row r="182" spans="1:10">
      <c r="A182" s="575" t="s">
        <v>5694</v>
      </c>
      <c r="B182" s="575"/>
      <c r="C182" s="575"/>
      <c r="D182" s="575"/>
      <c r="E182" s="575"/>
      <c r="F182" s="575"/>
      <c r="G182" s="575"/>
      <c r="H182" s="575"/>
      <c r="I182" s="575"/>
      <c r="J182" s="575"/>
    </row>
    <row r="183" spans="1:10">
      <c r="A183" s="336" t="s">
        <v>5679</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5680</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5681</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5682</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575" t="s">
        <v>5695</v>
      </c>
      <c r="B193" s="575"/>
      <c r="C193" s="575"/>
      <c r="D193" s="575"/>
      <c r="E193" s="575"/>
      <c r="F193" s="575"/>
      <c r="G193" s="575"/>
      <c r="H193" s="575"/>
      <c r="I193" s="575"/>
      <c r="J193" s="575"/>
    </row>
    <row r="194" spans="1:10">
      <c r="A194" s="192"/>
      <c r="B194" s="192"/>
      <c r="C194" s="192"/>
      <c r="D194" s="192"/>
      <c r="E194" s="192"/>
      <c r="F194" s="192"/>
      <c r="G194" s="192"/>
      <c r="H194" s="192"/>
      <c r="I194" s="192"/>
      <c r="J194" s="192"/>
    </row>
    <row r="195" spans="1:10">
      <c r="A195" s="192" t="s">
        <v>5683</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5684</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5685</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5" t="s">
        <v>5696</v>
      </c>
      <c r="B203" s="575"/>
      <c r="C203" s="575"/>
      <c r="D203" s="575"/>
      <c r="E203" s="575"/>
      <c r="F203" s="575"/>
      <c r="G203" s="575"/>
      <c r="H203" s="575"/>
      <c r="I203" s="575"/>
      <c r="J203" s="575"/>
    </row>
    <row r="204" spans="1:10">
      <c r="A204" s="192"/>
      <c r="B204" s="192"/>
      <c r="C204" s="192"/>
      <c r="D204" s="192"/>
      <c r="E204" s="192"/>
      <c r="F204" s="192"/>
      <c r="G204" s="192"/>
      <c r="H204" s="192"/>
      <c r="I204" s="192"/>
      <c r="J204" s="192"/>
    </row>
    <row r="205" spans="1:10">
      <c r="A205" s="192" t="s">
        <v>5686</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5687</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5688</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5689</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5" t="s">
        <v>5697</v>
      </c>
      <c r="B215" s="575"/>
      <c r="C215" s="575"/>
      <c r="D215" s="575"/>
      <c r="E215" s="575"/>
      <c r="F215" s="575"/>
      <c r="G215" s="575"/>
      <c r="H215" s="575"/>
      <c r="I215" s="575"/>
      <c r="J215" s="575"/>
    </row>
    <row r="216" spans="1:10">
      <c r="A216" s="192"/>
      <c r="B216" s="192"/>
      <c r="C216" s="192"/>
      <c r="D216" s="192"/>
      <c r="E216" s="192"/>
      <c r="F216" s="192"/>
      <c r="G216" s="192"/>
      <c r="H216" s="192"/>
      <c r="I216" s="192"/>
      <c r="J216" s="192"/>
    </row>
    <row r="217" spans="1:10">
      <c r="A217" s="192" t="s">
        <v>5690</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5691</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5692</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5693</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192"/>
      <c r="B236" s="192"/>
      <c r="C236" s="192"/>
      <c r="D236" s="192"/>
      <c r="E236" s="192"/>
      <c r="F236" s="192"/>
      <c r="G236" s="192"/>
      <c r="H236" s="192"/>
      <c r="I236" s="192"/>
      <c r="J236" s="192"/>
    </row>
    <row r="237" spans="1:10">
      <c r="A237" s="316"/>
      <c r="B237" s="316"/>
      <c r="C237" s="316"/>
      <c r="D237" s="316"/>
      <c r="E237" s="316"/>
      <c r="F237" s="316"/>
      <c r="G237" s="599"/>
      <c r="H237" s="599"/>
      <c r="I237" s="599"/>
      <c r="J237" s="599"/>
    </row>
  </sheetData>
  <mergeCells count="113">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 ref="B173:D173"/>
    <mergeCell ref="E173:G173"/>
    <mergeCell ref="B174:D174"/>
    <mergeCell ref="E174:G174"/>
    <mergeCell ref="B175:D175"/>
    <mergeCell ref="E175:G175"/>
    <mergeCell ref="B170:D170"/>
    <mergeCell ref="E170:G170"/>
    <mergeCell ref="B171:D171"/>
    <mergeCell ref="E171:G171"/>
    <mergeCell ref="B172:D172"/>
    <mergeCell ref="E172:G172"/>
    <mergeCell ref="B156:H156"/>
    <mergeCell ref="B168:D168"/>
    <mergeCell ref="E168:G168"/>
    <mergeCell ref="B169:D169"/>
    <mergeCell ref="E169:G169"/>
    <mergeCell ref="B150:J150"/>
    <mergeCell ref="B151:J151"/>
    <mergeCell ref="B152:J152"/>
    <mergeCell ref="A154:H154"/>
    <mergeCell ref="B155:H155"/>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G129:J129"/>
    <mergeCell ref="G130:J130"/>
    <mergeCell ref="G121:J121"/>
    <mergeCell ref="G122:J122"/>
    <mergeCell ref="G123:J123"/>
    <mergeCell ref="E124:J124"/>
    <mergeCell ref="G125:J125"/>
    <mergeCell ref="D126:F126"/>
    <mergeCell ref="A144:C144"/>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A1:J1"/>
    <mergeCell ref="A68:C68"/>
    <mergeCell ref="D6:J6"/>
    <mergeCell ref="A15:C15"/>
    <mergeCell ref="A36:C36"/>
    <mergeCell ref="A79:C79"/>
    <mergeCell ref="A8:C8"/>
    <mergeCell ref="A22:C22"/>
    <mergeCell ref="A29:C29"/>
    <mergeCell ref="A43:C43"/>
    <mergeCell ref="A50:C50"/>
    <mergeCell ref="A57:C57"/>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s>
  <conditionalFormatting sqref="B98:B102">
    <cfRule type="expression" dxfId="1431" priority="21">
      <formula>B98="Complete"</formula>
    </cfRule>
    <cfRule type="expression" dxfId="1430" priority="22">
      <formula>B98="In Progress"</formula>
    </cfRule>
    <cfRule type="expression" dxfId="1429" priority="23">
      <formula>B98="At Risk"</formula>
    </cfRule>
    <cfRule type="expression" dxfId="1428" priority="24">
      <formula>B98="Blocked"</formula>
    </cfRule>
    <cfRule type="expression" dxfId="1427" priority="25">
      <formula>B98="Not Started"</formula>
    </cfRule>
  </conditionalFormatting>
  <conditionalFormatting sqref="B107:B114">
    <cfRule type="expression" dxfId="1426" priority="1">
      <formula>B107="Complete"</formula>
    </cfRule>
    <cfRule type="expression" dxfId="1425" priority="2">
      <formula>B107="In Progress"</formula>
    </cfRule>
    <cfRule type="expression" dxfId="1424" priority="3">
      <formula>B107="At Risk"</formula>
    </cfRule>
    <cfRule type="expression" dxfId="1423" priority="4">
      <formula>B107="Blocked"</formula>
    </cfRule>
    <cfRule type="expression" dxfId="1422" priority="5">
      <formula>B107="Not Started"</formula>
    </cfRule>
  </conditionalFormatting>
  <conditionalFormatting sqref="B119:B123">
    <cfRule type="expression" dxfId="1421" priority="35">
      <formula>B119="Not Started"</formula>
    </cfRule>
    <cfRule type="expression" dxfId="1420" priority="34">
      <formula>B119="Blocked"</formula>
    </cfRule>
    <cfRule type="expression" dxfId="1419" priority="33">
      <formula>B119="At Risk"</formula>
    </cfRule>
    <cfRule type="expression" dxfId="1418" priority="32">
      <formula>B119="In Progress"</formula>
    </cfRule>
    <cfRule type="expression" dxfId="1417" priority="31">
      <formula>B119="Complete"</formula>
    </cfRule>
  </conditionalFormatting>
  <conditionalFormatting sqref="B128:B131">
    <cfRule type="expression" dxfId="1416" priority="6">
      <formula>B128="Complete"</formula>
    </cfRule>
    <cfRule type="expression" dxfId="1415" priority="7">
      <formula>B128="In Progress"</formula>
    </cfRule>
    <cfRule type="expression" dxfId="1414" priority="8">
      <formula>B128="At Risk"</formula>
    </cfRule>
    <cfRule type="expression" dxfId="1413" priority="9">
      <formula>B128="Blocked"</formula>
    </cfRule>
    <cfRule type="expression" dxfId="1412" priority="10">
      <formula>B128="Not Started"</formula>
    </cfRule>
  </conditionalFormatting>
  <conditionalFormatting sqref="B136:B141">
    <cfRule type="expression" dxfId="1411" priority="11">
      <formula>B136="Complete"</formula>
    </cfRule>
    <cfRule type="expression" dxfId="1410" priority="12">
      <formula>B136="In Progress"</formula>
    </cfRule>
    <cfRule type="expression" dxfId="1409" priority="13">
      <formula>B136="At Risk"</formula>
    </cfRule>
    <cfRule type="expression" dxfId="1408" priority="14">
      <formula>B136="Blocked"</formula>
    </cfRule>
    <cfRule type="expression" dxfId="1407" priority="15">
      <formula>B136="Not Started"</formula>
    </cfRule>
  </conditionalFormatting>
  <conditionalFormatting sqref="B159:B166">
    <cfRule type="expression" dxfId="1406" priority="48">
      <formula>B159="Yes"</formula>
    </cfRule>
    <cfRule type="expression" dxfId="1405" priority="49">
      <formula>B159="N/A"</formula>
    </cfRule>
    <cfRule type="expression" dxfId="1404" priority="50">
      <formula>B159="No"</formula>
    </cfRule>
  </conditionalFormatting>
  <conditionalFormatting sqref="B176:H176">
    <cfRule type="expression" dxfId="1403" priority="52">
      <formula>COUNTIF($B$6:$B$13,"No")&gt;0</formula>
    </cfRule>
    <cfRule type="expression" dxfId="1402" priority="51">
      <formula>COUNTIF($B$6:$B$13,"No")=0</formula>
    </cfRule>
  </conditionalFormatting>
  <conditionalFormatting sqref="C103:D103">
    <cfRule type="dataBar" priority="45">
      <dataBar>
        <cfvo type="num" val="0"/>
        <cfvo type="num" val="1"/>
        <color rgb="FF5B9BD5"/>
      </dataBar>
    </cfRule>
  </conditionalFormatting>
  <conditionalFormatting sqref="C107:D114">
    <cfRule type="expression" dxfId="1401" priority="37">
      <formula>C107="No"</formula>
    </cfRule>
    <cfRule type="expression" dxfId="1400" priority="36">
      <formula>C107="Yes"</formula>
    </cfRule>
    <cfRule type="expression" dxfId="1399"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398" priority="17">
      <formula>C136="No"</formula>
    </cfRule>
    <cfRule type="expression" dxfId="1397" priority="16">
      <formula>C136="Yes"</formula>
    </cfRule>
    <cfRule type="expression" dxfId="1396"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395" priority="96">
      <formula>E5="Pass"</formula>
    </cfRule>
    <cfRule type="expression" dxfId="1394" priority="97">
      <formula>E5="Verify"</formula>
    </cfRule>
    <cfRule type="expression" dxfId="1393" priority="98">
      <formula>E5="Fail"</formula>
    </cfRule>
    <cfRule type="expression" dxfId="1392" priority="99">
      <formula>E5="Not Started"</formula>
    </cfRule>
  </conditionalFormatting>
  <conditionalFormatting sqref="F3">
    <cfRule type="expression" dxfId="1391" priority="100">
      <formula>F3="Yes"</formula>
    </cfRule>
    <cfRule type="expression" dxfId="1390" priority="101">
      <formula>F3="No"</formula>
    </cfRule>
  </conditionalFormatting>
  <conditionalFormatting sqref="F119:F123">
    <cfRule type="expression" dxfId="1389" priority="43">
      <formula>F119="Fail"</formula>
    </cfRule>
    <cfRule type="expression" dxfId="1388" priority="44">
      <formula>F119="Pending"</formula>
    </cfRule>
    <cfRule type="expression" dxfId="1387" priority="42">
      <formula>F119="Pass"</formula>
    </cfRule>
  </conditionalFormatting>
  <conditionalFormatting sqref="F128:F131">
    <cfRule type="dataBar" priority="19">
      <dataBar>
        <cfvo type="num" val="0"/>
        <cfvo type="num" val="1"/>
        <color rgb="FF5B9BD5"/>
      </dataBar>
    </cfRule>
  </conditionalFormatting>
  <dataValidations count="5">
    <dataValidation type="list" sqref="J5 D5 D70:D77 F5 H21:I95 H5 H10:H20 H144:I145 I16:I20 B17:F17 G17:G20 E18:E20 H147:I152 B5:B6"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36:D141 C107:D114"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Lookup_Lists!$A$36:$A$42</xm:f>
          </x14:formula1>
          <xm:sqref>B98:B102 B136:B141 B107:B114</xm:sqref>
        </x14:dataValidation>
        <x14:dataValidation type="list" allowBlank="1" showInputMessage="1" showErrorMessage="1" xr:uid="{1AD243F0-3E77-4989-BFD7-B2A650CB6A79}">
          <x14:formula1>
            <xm:f>Lookup_Lists!$L$37:$L$39</xm:f>
          </x14:formula1>
          <xm:sqref>C119:E123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topLeftCell="A175" workbookViewId="0">
      <selection activeCell="C110" sqref="C110:C11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1093</v>
      </c>
      <c r="B1" s="896"/>
      <c r="C1" s="896"/>
      <c r="D1" s="896"/>
      <c r="E1" s="896"/>
      <c r="F1" s="896"/>
      <c r="G1" s="896"/>
      <c r="H1" s="896"/>
      <c r="I1" s="896"/>
      <c r="J1" s="896"/>
    </row>
    <row r="2" spans="1:10" s="223" customFormat="1">
      <c r="A2" s="219" t="s">
        <v>142</v>
      </c>
      <c r="B2" s="220" t="s">
        <v>604</v>
      </c>
      <c r="C2" s="219" t="s">
        <v>902</v>
      </c>
      <c r="D2" s="220" t="s">
        <v>1094</v>
      </c>
      <c r="E2" s="219" t="s">
        <v>151</v>
      </c>
      <c r="F2" s="220" t="s">
        <v>1095</v>
      </c>
      <c r="G2" s="219" t="s">
        <v>174</v>
      </c>
      <c r="H2" s="221">
        <v>0.5</v>
      </c>
      <c r="I2" s="219" t="s">
        <v>154</v>
      </c>
      <c r="J2" s="222" t="s">
        <v>1096</v>
      </c>
    </row>
    <row r="3" spans="1:10" s="227" customFormat="1" ht="25.5">
      <c r="A3" s="219" t="s">
        <v>903</v>
      </c>
      <c r="B3" s="224">
        <v>46199.573885648148</v>
      </c>
      <c r="C3" s="225" t="s">
        <v>904</v>
      </c>
      <c r="D3" s="226" t="s">
        <v>721</v>
      </c>
      <c r="E3" s="219" t="s">
        <v>905</v>
      </c>
      <c r="F3" s="226" t="s">
        <v>1097</v>
      </c>
      <c r="G3" s="219" t="s">
        <v>907</v>
      </c>
      <c r="H3" s="226" t="s">
        <v>908</v>
      </c>
      <c r="I3" s="219" t="s">
        <v>551</v>
      </c>
      <c r="J3" s="226" t="s">
        <v>1098</v>
      </c>
    </row>
    <row r="4" spans="1:10" s="227" customFormat="1" ht="318.75">
      <c r="A4" s="219" t="s">
        <v>161</v>
      </c>
      <c r="B4" s="226">
        <v>0</v>
      </c>
      <c r="C4" s="219" t="s">
        <v>199</v>
      </c>
      <c r="D4" s="226">
        <v>0</v>
      </c>
      <c r="E4" s="219" t="s">
        <v>179</v>
      </c>
      <c r="F4" s="226">
        <v>0</v>
      </c>
      <c r="G4" s="219" t="s">
        <v>870</v>
      </c>
      <c r="H4" s="228" t="s">
        <v>1099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5.25" customHeight="1">
      <c r="A6" s="234" t="s">
        <v>916</v>
      </c>
      <c r="B6" s="221" t="s">
        <v>677</v>
      </c>
      <c r="C6" s="235" t="s">
        <v>869</v>
      </c>
      <c r="D6" s="604" t="s">
        <v>1100</v>
      </c>
      <c r="E6" s="604"/>
      <c r="F6" s="604"/>
      <c r="G6" s="604"/>
      <c r="H6" s="604"/>
      <c r="I6" s="604"/>
      <c r="J6" s="604"/>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604</v>
      </c>
      <c r="B10" s="13" t="s">
        <v>682</v>
      </c>
      <c r="C10" s="13" t="s">
        <v>919</v>
      </c>
      <c r="D10" s="13" t="s">
        <v>1101</v>
      </c>
      <c r="E10" s="13" t="s">
        <v>356</v>
      </c>
      <c r="F10" s="13">
        <v>2</v>
      </c>
      <c r="G10" s="13">
        <v>1</v>
      </c>
      <c r="H10" s="13" t="s">
        <v>677</v>
      </c>
      <c r="I10" s="13" t="s">
        <v>1102</v>
      </c>
      <c r="J10" s="13" t="s">
        <v>1103</v>
      </c>
    </row>
    <row r="11" spans="1:10" ht="102">
      <c r="A11" s="13" t="s">
        <v>604</v>
      </c>
      <c r="B11" s="13" t="s">
        <v>683</v>
      </c>
      <c r="C11" s="13" t="s">
        <v>933</v>
      </c>
      <c r="D11" s="13" t="s">
        <v>1104</v>
      </c>
      <c r="E11" s="13" t="s">
        <v>356</v>
      </c>
      <c r="F11" s="13">
        <v>2</v>
      </c>
      <c r="G11" s="13">
        <v>1</v>
      </c>
      <c r="H11" s="13" t="s">
        <v>677</v>
      </c>
      <c r="I11" s="13" t="s">
        <v>1105</v>
      </c>
      <c r="J11" s="13" t="s">
        <v>1106</v>
      </c>
    </row>
    <row r="12" spans="1:10" ht="89.25">
      <c r="A12" s="13" t="s">
        <v>604</v>
      </c>
      <c r="B12" s="13" t="s">
        <v>684</v>
      </c>
      <c r="C12" s="13" t="s">
        <v>1107</v>
      </c>
      <c r="D12" s="13" t="s">
        <v>1108</v>
      </c>
      <c r="E12" s="13" t="s">
        <v>356</v>
      </c>
      <c r="F12" s="13">
        <v>2</v>
      </c>
      <c r="G12" s="13">
        <v>1</v>
      </c>
      <c r="H12" s="13" t="s">
        <v>677</v>
      </c>
      <c r="I12" s="13" t="s">
        <v>1109</v>
      </c>
      <c r="J12" s="13" t="s">
        <v>1110</v>
      </c>
    </row>
    <row r="13" spans="1:10" ht="76.5">
      <c r="A13" s="13" t="s">
        <v>604</v>
      </c>
      <c r="B13" s="13" t="s">
        <v>1111</v>
      </c>
      <c r="C13" s="13" t="s">
        <v>923</v>
      </c>
      <c r="D13" s="13" t="s">
        <v>1112</v>
      </c>
      <c r="E13" s="13" t="s">
        <v>925</v>
      </c>
      <c r="F13" s="13">
        <v>1</v>
      </c>
      <c r="G13" s="13">
        <v>0</v>
      </c>
      <c r="H13" s="13" t="s">
        <v>677</v>
      </c>
      <c r="I13" s="13" t="s">
        <v>1113</v>
      </c>
      <c r="J13" s="13" t="s">
        <v>1114</v>
      </c>
    </row>
    <row r="14" spans="1:10" ht="76.5">
      <c r="A14" s="13" t="s">
        <v>604</v>
      </c>
      <c r="B14" s="13" t="s">
        <v>1115</v>
      </c>
      <c r="C14" s="13" t="s">
        <v>1116</v>
      </c>
      <c r="D14" s="13" t="s">
        <v>1117</v>
      </c>
      <c r="E14" s="13" t="s">
        <v>1118</v>
      </c>
      <c r="F14" s="13">
        <v>4</v>
      </c>
      <c r="G14" s="13">
        <v>0</v>
      </c>
      <c r="H14" s="13" t="s">
        <v>677</v>
      </c>
      <c r="I14" s="13" t="s">
        <v>1119</v>
      </c>
      <c r="J14" s="13" t="s">
        <v>1120</v>
      </c>
    </row>
    <row r="15" spans="1:10">
      <c r="A15" s="13"/>
      <c r="B15" s="13"/>
      <c r="C15" s="13"/>
      <c r="D15" s="13"/>
      <c r="E15" s="13"/>
      <c r="F15" s="13"/>
      <c r="G15" s="13"/>
      <c r="H15" s="13"/>
      <c r="I15" s="13"/>
      <c r="J15" s="13"/>
    </row>
    <row r="16" spans="1:10">
      <c r="A16" s="575" t="s">
        <v>936</v>
      </c>
      <c r="B16" s="896"/>
      <c r="C16" s="896"/>
      <c r="D16" s="85"/>
      <c r="E16" s="85"/>
      <c r="F16" s="85"/>
      <c r="G16" s="85"/>
      <c r="H16" s="85"/>
      <c r="I16" s="85"/>
      <c r="J16" s="85"/>
    </row>
    <row r="17" spans="1:10">
      <c r="A17" s="50" t="s">
        <v>275</v>
      </c>
      <c r="B17" s="50" t="s">
        <v>937</v>
      </c>
      <c r="C17" s="50" t="s">
        <v>938</v>
      </c>
      <c r="D17" s="50" t="s">
        <v>939</v>
      </c>
      <c r="E17" s="50" t="s">
        <v>940</v>
      </c>
      <c r="F17" s="50" t="s">
        <v>941</v>
      </c>
      <c r="G17" s="50" t="s">
        <v>942</v>
      </c>
      <c r="H17" s="50" t="s">
        <v>943</v>
      </c>
      <c r="I17" s="50" t="s">
        <v>899</v>
      </c>
      <c r="J17" s="50" t="s">
        <v>944</v>
      </c>
    </row>
    <row r="18" spans="1:10" ht="76.5">
      <c r="A18" s="13" t="s">
        <v>682</v>
      </c>
      <c r="B18" s="13" t="s">
        <v>677</v>
      </c>
      <c r="C18" s="13" t="s">
        <v>677</v>
      </c>
      <c r="D18" s="13" t="s">
        <v>677</v>
      </c>
      <c r="E18" s="13" t="s">
        <v>677</v>
      </c>
      <c r="F18" s="13" t="s">
        <v>677</v>
      </c>
      <c r="G18" s="13" t="s">
        <v>677</v>
      </c>
      <c r="H18" s="13" t="s">
        <v>677</v>
      </c>
      <c r="I18" s="13" t="s">
        <v>677</v>
      </c>
      <c r="J18" s="13" t="s">
        <v>1121</v>
      </c>
    </row>
    <row r="19" spans="1:10" ht="63.75">
      <c r="A19" s="13" t="s">
        <v>683</v>
      </c>
      <c r="B19" s="13" t="s">
        <v>677</v>
      </c>
      <c r="C19" s="13" t="s">
        <v>677</v>
      </c>
      <c r="D19" s="13" t="s">
        <v>677</v>
      </c>
      <c r="E19" s="13" t="s">
        <v>677</v>
      </c>
      <c r="F19" s="13" t="s">
        <v>677</v>
      </c>
      <c r="G19" s="13" t="s">
        <v>677</v>
      </c>
      <c r="H19" s="13" t="s">
        <v>677</v>
      </c>
      <c r="I19" s="13" t="s">
        <v>677</v>
      </c>
      <c r="J19" s="13" t="s">
        <v>1122</v>
      </c>
    </row>
    <row r="20" spans="1:10" ht="51">
      <c r="A20" s="13" t="s">
        <v>684</v>
      </c>
      <c r="B20" s="13" t="s">
        <v>677</v>
      </c>
      <c r="C20" s="13" t="s">
        <v>677</v>
      </c>
      <c r="D20" s="13" t="s">
        <v>677</v>
      </c>
      <c r="E20" s="13" t="s">
        <v>677</v>
      </c>
      <c r="F20" s="13" t="s">
        <v>677</v>
      </c>
      <c r="G20" s="13" t="s">
        <v>677</v>
      </c>
      <c r="H20" s="13" t="s">
        <v>677</v>
      </c>
      <c r="I20" s="13" t="s">
        <v>677</v>
      </c>
      <c r="J20" s="13" t="s">
        <v>1123</v>
      </c>
    </row>
    <row r="21" spans="1:10" ht="63.75">
      <c r="A21" s="13" t="s">
        <v>1124</v>
      </c>
      <c r="B21" s="13" t="s">
        <v>946</v>
      </c>
      <c r="C21" s="13" t="s">
        <v>946</v>
      </c>
      <c r="D21" s="13" t="s">
        <v>946</v>
      </c>
      <c r="E21" s="13" t="s">
        <v>677</v>
      </c>
      <c r="F21" s="13" t="s">
        <v>947</v>
      </c>
      <c r="G21" s="13" t="s">
        <v>677</v>
      </c>
      <c r="H21" s="13" t="s">
        <v>677</v>
      </c>
      <c r="I21" s="13" t="s">
        <v>677</v>
      </c>
      <c r="J21" s="13" t="s">
        <v>1125</v>
      </c>
    </row>
    <row r="22" spans="1:10">
      <c r="A22" s="13"/>
      <c r="B22" s="13"/>
      <c r="C22" s="13"/>
      <c r="D22" s="13"/>
      <c r="E22" s="13"/>
      <c r="F22" s="13"/>
      <c r="G22" s="13"/>
      <c r="H22" s="13"/>
      <c r="I22" s="13"/>
      <c r="J22" s="13"/>
    </row>
    <row r="23" spans="1:10">
      <c r="A23" s="575" t="s">
        <v>951</v>
      </c>
      <c r="B23" s="896"/>
      <c r="C23" s="896"/>
      <c r="D23" s="85"/>
      <c r="E23" s="85"/>
      <c r="F23" s="85"/>
      <c r="G23" s="85"/>
      <c r="H23" s="85"/>
      <c r="I23" s="85"/>
      <c r="J23" s="85"/>
    </row>
    <row r="24" spans="1:10">
      <c r="A24" s="50" t="s">
        <v>275</v>
      </c>
      <c r="B24" s="50" t="s">
        <v>952</v>
      </c>
      <c r="C24" s="50" t="s">
        <v>953</v>
      </c>
      <c r="D24" s="50" t="s">
        <v>954</v>
      </c>
      <c r="E24" s="50" t="s">
        <v>955</v>
      </c>
      <c r="F24" s="50" t="s">
        <v>956</v>
      </c>
      <c r="G24" s="50" t="s">
        <v>957</v>
      </c>
      <c r="H24" s="50" t="s">
        <v>958</v>
      </c>
      <c r="I24" s="50" t="s">
        <v>899</v>
      </c>
      <c r="J24" s="50" t="s">
        <v>959</v>
      </c>
    </row>
    <row r="25" spans="1:10" ht="76.5">
      <c r="A25" s="13" t="s">
        <v>682</v>
      </c>
      <c r="B25" s="13" t="s">
        <v>677</v>
      </c>
      <c r="C25" s="13" t="s">
        <v>677</v>
      </c>
      <c r="D25" s="13" t="s">
        <v>677</v>
      </c>
      <c r="E25" s="13" t="s">
        <v>677</v>
      </c>
      <c r="F25" s="13" t="s">
        <v>677</v>
      </c>
      <c r="G25" s="13" t="s">
        <v>677</v>
      </c>
      <c r="H25" s="13" t="s">
        <v>677</v>
      </c>
      <c r="I25" s="13" t="s">
        <v>677</v>
      </c>
      <c r="J25" s="13" t="s">
        <v>1126</v>
      </c>
    </row>
    <row r="26" spans="1:10" ht="51">
      <c r="A26" s="13" t="s">
        <v>683</v>
      </c>
      <c r="B26" s="13" t="s">
        <v>677</v>
      </c>
      <c r="C26" s="13" t="s">
        <v>677</v>
      </c>
      <c r="D26" s="13" t="s">
        <v>677</v>
      </c>
      <c r="E26" s="13" t="s">
        <v>677</v>
      </c>
      <c r="F26" s="13" t="s">
        <v>677</v>
      </c>
      <c r="G26" s="13" t="s">
        <v>677</v>
      </c>
      <c r="H26" s="13" t="s">
        <v>677</v>
      </c>
      <c r="I26" s="13" t="s">
        <v>677</v>
      </c>
      <c r="J26" s="13" t="s">
        <v>1127</v>
      </c>
    </row>
    <row r="27" spans="1:10" ht="38.25">
      <c r="A27" s="13" t="s">
        <v>684</v>
      </c>
      <c r="B27" s="13" t="s">
        <v>677</v>
      </c>
      <c r="C27" s="13" t="s">
        <v>677</v>
      </c>
      <c r="D27" s="13" t="s">
        <v>677</v>
      </c>
      <c r="E27" s="13" t="s">
        <v>677</v>
      </c>
      <c r="F27" s="13" t="s">
        <v>677</v>
      </c>
      <c r="G27" s="13" t="s">
        <v>677</v>
      </c>
      <c r="H27" s="13" t="s">
        <v>677</v>
      </c>
      <c r="I27" s="13" t="s">
        <v>677</v>
      </c>
      <c r="J27" s="13" t="s">
        <v>1128</v>
      </c>
    </row>
    <row r="28" spans="1:10" ht="38.25">
      <c r="A28" s="13" t="s">
        <v>1124</v>
      </c>
      <c r="B28" s="13" t="s">
        <v>946</v>
      </c>
      <c r="C28" s="13" t="s">
        <v>679</v>
      </c>
      <c r="D28" s="13" t="s">
        <v>947</v>
      </c>
      <c r="E28" s="13" t="s">
        <v>947</v>
      </c>
      <c r="F28" s="13" t="s">
        <v>677</v>
      </c>
      <c r="G28" s="13" t="s">
        <v>677</v>
      </c>
      <c r="H28" s="13" t="s">
        <v>677</v>
      </c>
      <c r="I28" s="13" t="s">
        <v>677</v>
      </c>
      <c r="J28" s="13" t="s">
        <v>1129</v>
      </c>
    </row>
    <row r="29" spans="1:10">
      <c r="A29" s="13"/>
      <c r="B29" s="13"/>
      <c r="C29" s="13"/>
      <c r="D29" s="13"/>
      <c r="E29" s="13"/>
      <c r="F29" s="13"/>
      <c r="G29" s="13"/>
      <c r="H29" s="13"/>
      <c r="I29" s="13"/>
      <c r="J29" s="13"/>
    </row>
    <row r="30" spans="1:10">
      <c r="A30" s="575" t="s">
        <v>964</v>
      </c>
      <c r="B30" s="896"/>
      <c r="C30" s="896"/>
      <c r="D30" s="85"/>
      <c r="E30" s="85"/>
      <c r="F30" s="85"/>
      <c r="G30" s="85"/>
      <c r="H30" s="85"/>
      <c r="I30" s="85"/>
      <c r="J30" s="85"/>
    </row>
    <row r="31" spans="1:10">
      <c r="A31" s="50" t="s">
        <v>275</v>
      </c>
      <c r="B31" s="50" t="s">
        <v>965</v>
      </c>
      <c r="C31" s="50" t="s">
        <v>966</v>
      </c>
      <c r="D31" s="50" t="s">
        <v>967</v>
      </c>
      <c r="E31" s="50" t="s">
        <v>968</v>
      </c>
      <c r="F31" s="50" t="s">
        <v>969</v>
      </c>
      <c r="G31" s="50" t="s">
        <v>970</v>
      </c>
      <c r="H31" s="50" t="s">
        <v>971</v>
      </c>
      <c r="I31" s="50" t="s">
        <v>899</v>
      </c>
      <c r="J31" s="50" t="s">
        <v>959</v>
      </c>
    </row>
    <row r="32" spans="1:10" ht="89.25">
      <c r="A32" s="13" t="s">
        <v>682</v>
      </c>
      <c r="B32" s="13" t="s">
        <v>1130</v>
      </c>
      <c r="C32" s="13" t="s">
        <v>677</v>
      </c>
      <c r="D32" s="13" t="s">
        <v>677</v>
      </c>
      <c r="E32" s="13" t="s">
        <v>677</v>
      </c>
      <c r="F32" s="13" t="s">
        <v>677</v>
      </c>
      <c r="G32" s="13" t="s">
        <v>677</v>
      </c>
      <c r="H32" s="13" t="s">
        <v>677</v>
      </c>
      <c r="I32" s="13" t="s">
        <v>677</v>
      </c>
      <c r="J32" s="13" t="s">
        <v>1131</v>
      </c>
    </row>
    <row r="33" spans="1:10" ht="51">
      <c r="A33" s="13" t="s">
        <v>683</v>
      </c>
      <c r="B33" s="13" t="s">
        <v>1132</v>
      </c>
      <c r="C33" s="13" t="s">
        <v>677</v>
      </c>
      <c r="D33" s="13" t="s">
        <v>677</v>
      </c>
      <c r="E33" s="13" t="s">
        <v>677</v>
      </c>
      <c r="F33" s="13" t="s">
        <v>677</v>
      </c>
      <c r="G33" s="13" t="s">
        <v>677</v>
      </c>
      <c r="H33" s="13" t="s">
        <v>677</v>
      </c>
      <c r="I33" s="13" t="s">
        <v>677</v>
      </c>
      <c r="J33" s="13" t="s">
        <v>1133</v>
      </c>
    </row>
    <row r="34" spans="1:10" ht="51">
      <c r="A34" s="13" t="s">
        <v>684</v>
      </c>
      <c r="B34" s="13" t="s">
        <v>1134</v>
      </c>
      <c r="C34" s="13" t="s">
        <v>677</v>
      </c>
      <c r="D34" s="13" t="s">
        <v>677</v>
      </c>
      <c r="E34" s="13" t="s">
        <v>677</v>
      </c>
      <c r="F34" s="13" t="s">
        <v>677</v>
      </c>
      <c r="G34" s="13" t="s">
        <v>677</v>
      </c>
      <c r="H34" s="13" t="s">
        <v>677</v>
      </c>
      <c r="I34" s="13" t="s">
        <v>677</v>
      </c>
      <c r="J34" s="13" t="s">
        <v>1135</v>
      </c>
    </row>
    <row r="35" spans="1:10" ht="51">
      <c r="A35" s="13" t="s">
        <v>1124</v>
      </c>
      <c r="B35" s="13" t="s">
        <v>946</v>
      </c>
      <c r="C35" s="13" t="s">
        <v>677</v>
      </c>
      <c r="D35" s="13" t="s">
        <v>677</v>
      </c>
      <c r="E35" s="13" t="s">
        <v>677</v>
      </c>
      <c r="F35" s="13" t="s">
        <v>677</v>
      </c>
      <c r="G35" s="13" t="s">
        <v>677</v>
      </c>
      <c r="H35" s="13" t="s">
        <v>677</v>
      </c>
      <c r="I35" s="13" t="s">
        <v>677</v>
      </c>
      <c r="J35" s="13" t="s">
        <v>1136</v>
      </c>
    </row>
    <row r="36" spans="1:10">
      <c r="A36" s="13"/>
      <c r="B36" s="13"/>
      <c r="C36" s="13"/>
      <c r="D36" s="13"/>
      <c r="E36" s="13"/>
      <c r="F36" s="13"/>
      <c r="G36" s="13"/>
      <c r="H36" s="13"/>
      <c r="I36" s="13"/>
      <c r="J36" s="13"/>
    </row>
    <row r="37" spans="1:10">
      <c r="A37" s="575" t="s">
        <v>977</v>
      </c>
      <c r="B37" s="896"/>
      <c r="C37" s="896"/>
      <c r="D37" s="85"/>
      <c r="E37" s="85"/>
      <c r="F37" s="85"/>
      <c r="G37" s="85"/>
      <c r="H37" s="85"/>
      <c r="I37" s="85"/>
      <c r="J37" s="85"/>
    </row>
    <row r="38" spans="1:10">
      <c r="A38" s="50" t="s">
        <v>275</v>
      </c>
      <c r="B38" s="50" t="s">
        <v>978</v>
      </c>
      <c r="C38" s="50" t="s">
        <v>979</v>
      </c>
      <c r="D38" s="50" t="s">
        <v>980</v>
      </c>
      <c r="E38" s="50" t="s">
        <v>981</v>
      </c>
      <c r="F38" s="50" t="s">
        <v>982</v>
      </c>
      <c r="G38" s="50" t="s">
        <v>983</v>
      </c>
      <c r="H38" s="50" t="s">
        <v>984</v>
      </c>
      <c r="I38" s="50" t="s">
        <v>899</v>
      </c>
      <c r="J38" s="50" t="s">
        <v>11</v>
      </c>
    </row>
    <row r="39" spans="1:10" ht="76.5">
      <c r="A39" s="13" t="s">
        <v>682</v>
      </c>
      <c r="B39" s="13" t="s">
        <v>677</v>
      </c>
      <c r="C39" s="13" t="s">
        <v>985</v>
      </c>
      <c r="D39" s="13" t="s">
        <v>677</v>
      </c>
      <c r="E39" s="13" t="s">
        <v>677</v>
      </c>
      <c r="F39" s="13" t="s">
        <v>1137</v>
      </c>
      <c r="G39" s="13" t="s">
        <v>677</v>
      </c>
      <c r="H39" s="13" t="s">
        <v>677</v>
      </c>
      <c r="I39" s="13" t="s">
        <v>677</v>
      </c>
      <c r="J39" s="13" t="s">
        <v>1138</v>
      </c>
    </row>
    <row r="40" spans="1:10" ht="63.75">
      <c r="A40" s="13" t="s">
        <v>683</v>
      </c>
      <c r="B40" s="13" t="s">
        <v>677</v>
      </c>
      <c r="C40" s="13" t="s">
        <v>985</v>
      </c>
      <c r="D40" s="13" t="s">
        <v>677</v>
      </c>
      <c r="E40" s="13" t="s">
        <v>677</v>
      </c>
      <c r="F40" s="13" t="s">
        <v>1139</v>
      </c>
      <c r="G40" s="13" t="s">
        <v>677</v>
      </c>
      <c r="H40" s="13" t="s">
        <v>677</v>
      </c>
      <c r="I40" s="13" t="s">
        <v>677</v>
      </c>
      <c r="J40" s="13" t="s">
        <v>1140</v>
      </c>
    </row>
    <row r="41" spans="1:10" ht="51">
      <c r="A41" s="13" t="s">
        <v>684</v>
      </c>
      <c r="B41" s="13" t="s">
        <v>677</v>
      </c>
      <c r="C41" s="13" t="s">
        <v>985</v>
      </c>
      <c r="D41" s="13" t="s">
        <v>677</v>
      </c>
      <c r="E41" s="13" t="s">
        <v>677</v>
      </c>
      <c r="F41" s="13" t="s">
        <v>1141</v>
      </c>
      <c r="G41" s="13" t="s">
        <v>677</v>
      </c>
      <c r="H41" s="13" t="s">
        <v>677</v>
      </c>
      <c r="I41" s="13" t="s">
        <v>677</v>
      </c>
      <c r="J41" s="13" t="s">
        <v>1142</v>
      </c>
    </row>
    <row r="42" spans="1:10" ht="38.25">
      <c r="A42" s="13" t="s">
        <v>1124</v>
      </c>
      <c r="B42" s="13" t="s">
        <v>946</v>
      </c>
      <c r="C42" s="13" t="s">
        <v>946</v>
      </c>
      <c r="D42" s="13" t="s">
        <v>946</v>
      </c>
      <c r="E42" s="13" t="s">
        <v>677</v>
      </c>
      <c r="F42" s="13" t="s">
        <v>946</v>
      </c>
      <c r="G42" s="13" t="s">
        <v>677</v>
      </c>
      <c r="H42" s="13" t="s">
        <v>677</v>
      </c>
      <c r="I42" s="13" t="s">
        <v>677</v>
      </c>
      <c r="J42" s="13" t="s">
        <v>1143</v>
      </c>
    </row>
    <row r="43" spans="1:10">
      <c r="A43" s="13"/>
      <c r="B43" s="13"/>
      <c r="C43" s="13"/>
      <c r="D43" s="13"/>
      <c r="E43" s="13"/>
      <c r="F43" s="13"/>
      <c r="G43" s="13"/>
      <c r="H43" s="13"/>
      <c r="I43" s="13"/>
      <c r="J43" s="13"/>
    </row>
    <row r="44" spans="1:10">
      <c r="A44" s="575" t="s">
        <v>994</v>
      </c>
      <c r="B44" s="896"/>
      <c r="C44" s="896"/>
      <c r="D44" s="85"/>
      <c r="E44" s="85"/>
      <c r="F44" s="85"/>
      <c r="G44" s="85"/>
      <c r="H44" s="85"/>
      <c r="I44" s="85"/>
      <c r="J44" s="85"/>
    </row>
    <row r="45" spans="1:10">
      <c r="A45" s="50" t="s">
        <v>275</v>
      </c>
      <c r="B45" s="50" t="s">
        <v>995</v>
      </c>
      <c r="C45" s="50" t="s">
        <v>996</v>
      </c>
      <c r="D45" s="50" t="s">
        <v>997</v>
      </c>
      <c r="E45" s="50" t="s">
        <v>998</v>
      </c>
      <c r="F45" s="50" t="s">
        <v>999</v>
      </c>
      <c r="G45" s="50" t="s">
        <v>1000</v>
      </c>
      <c r="H45" s="50" t="s">
        <v>1001</v>
      </c>
      <c r="I45" s="50" t="s">
        <v>899</v>
      </c>
      <c r="J45" s="50" t="s">
        <v>11</v>
      </c>
    </row>
    <row r="46" spans="1:10" ht="76.5">
      <c r="A46" s="13" t="s">
        <v>682</v>
      </c>
      <c r="B46" s="13" t="s">
        <v>677</v>
      </c>
      <c r="C46" s="13" t="s">
        <v>677</v>
      </c>
      <c r="D46" s="13" t="s">
        <v>677</v>
      </c>
      <c r="E46" s="13" t="s">
        <v>677</v>
      </c>
      <c r="F46" s="13" t="s">
        <v>677</v>
      </c>
      <c r="G46" s="13" t="s">
        <v>677</v>
      </c>
      <c r="H46" s="13" t="s">
        <v>677</v>
      </c>
      <c r="I46" s="13" t="s">
        <v>677</v>
      </c>
      <c r="J46" s="13" t="s">
        <v>1144</v>
      </c>
    </row>
    <row r="47" spans="1:10" ht="76.5">
      <c r="A47" s="13" t="s">
        <v>683</v>
      </c>
      <c r="B47" s="13" t="s">
        <v>677</v>
      </c>
      <c r="C47" s="13" t="s">
        <v>677</v>
      </c>
      <c r="D47" s="13" t="s">
        <v>677</v>
      </c>
      <c r="E47" s="13" t="s">
        <v>677</v>
      </c>
      <c r="F47" s="13" t="s">
        <v>677</v>
      </c>
      <c r="G47" s="13" t="s">
        <v>677</v>
      </c>
      <c r="H47" s="13" t="s">
        <v>677</v>
      </c>
      <c r="I47" s="13" t="s">
        <v>677</v>
      </c>
      <c r="J47" s="13" t="s">
        <v>1145</v>
      </c>
    </row>
    <row r="48" spans="1:10" ht="63.75">
      <c r="A48" s="13" t="s">
        <v>684</v>
      </c>
      <c r="B48" s="13" t="s">
        <v>677</v>
      </c>
      <c r="C48" s="13" t="s">
        <v>677</v>
      </c>
      <c r="D48" s="13" t="s">
        <v>677</v>
      </c>
      <c r="E48" s="13" t="s">
        <v>677</v>
      </c>
      <c r="F48" s="13" t="s">
        <v>677</v>
      </c>
      <c r="G48" s="13" t="s">
        <v>677</v>
      </c>
      <c r="H48" s="13" t="s">
        <v>677</v>
      </c>
      <c r="I48" s="13" t="s">
        <v>677</v>
      </c>
      <c r="J48" s="13" t="s">
        <v>1146</v>
      </c>
    </row>
    <row r="49" spans="1:10" ht="51">
      <c r="A49" s="13" t="s">
        <v>1124</v>
      </c>
      <c r="B49" s="13" t="s">
        <v>1003</v>
      </c>
      <c r="C49" s="13" t="s">
        <v>988</v>
      </c>
      <c r="D49" s="13" t="s">
        <v>988</v>
      </c>
      <c r="E49" s="13" t="s">
        <v>677</v>
      </c>
      <c r="F49" s="13" t="s">
        <v>677</v>
      </c>
      <c r="G49" s="13" t="s">
        <v>677</v>
      </c>
      <c r="H49" s="13" t="s">
        <v>677</v>
      </c>
      <c r="I49" s="13" t="s">
        <v>677</v>
      </c>
      <c r="J49" s="13" t="s">
        <v>1147</v>
      </c>
    </row>
    <row r="50" spans="1:10">
      <c r="A50" s="13"/>
      <c r="B50" s="13"/>
      <c r="C50" s="13"/>
      <c r="D50" s="13"/>
      <c r="E50" s="13"/>
      <c r="F50" s="13"/>
      <c r="G50" s="13"/>
      <c r="H50" s="13"/>
      <c r="I50" s="13"/>
      <c r="J50" s="13"/>
    </row>
    <row r="51" spans="1:10">
      <c r="A51" s="575" t="s">
        <v>1007</v>
      </c>
      <c r="B51" s="896"/>
      <c r="C51" s="896"/>
      <c r="D51" s="85"/>
      <c r="E51" s="85"/>
      <c r="F51" s="85"/>
      <c r="G51" s="85"/>
      <c r="H51" s="85"/>
      <c r="I51" s="85"/>
      <c r="J51" s="85"/>
    </row>
    <row r="52" spans="1:10">
      <c r="A52" s="50" t="s">
        <v>275</v>
      </c>
      <c r="B52" s="50" t="s">
        <v>1008</v>
      </c>
      <c r="C52" s="50" t="s">
        <v>1009</v>
      </c>
      <c r="D52" s="50" t="s">
        <v>1010</v>
      </c>
      <c r="E52" s="50" t="s">
        <v>1011</v>
      </c>
      <c r="F52" s="50" t="s">
        <v>1012</v>
      </c>
      <c r="G52" s="50" t="s">
        <v>1013</v>
      </c>
      <c r="H52" s="50" t="s">
        <v>1014</v>
      </c>
      <c r="I52" s="50" t="s">
        <v>899</v>
      </c>
      <c r="J52" s="50" t="s">
        <v>11</v>
      </c>
    </row>
    <row r="53" spans="1:10" ht="76.5">
      <c r="A53" s="13" t="s">
        <v>682</v>
      </c>
      <c r="B53" s="13" t="s">
        <v>677</v>
      </c>
      <c r="C53" s="13" t="s">
        <v>677</v>
      </c>
      <c r="D53" s="13" t="s">
        <v>677</v>
      </c>
      <c r="E53" s="13" t="s">
        <v>677</v>
      </c>
      <c r="F53" s="13" t="s">
        <v>677</v>
      </c>
      <c r="G53" s="13" t="s">
        <v>677</v>
      </c>
      <c r="H53" s="13" t="s">
        <v>677</v>
      </c>
      <c r="I53" s="13" t="s">
        <v>677</v>
      </c>
      <c r="J53" s="13" t="s">
        <v>1148</v>
      </c>
    </row>
    <row r="54" spans="1:10" ht="51">
      <c r="A54" s="13" t="s">
        <v>683</v>
      </c>
      <c r="B54" s="13" t="s">
        <v>677</v>
      </c>
      <c r="C54" s="13" t="s">
        <v>677</v>
      </c>
      <c r="D54" s="13" t="s">
        <v>677</v>
      </c>
      <c r="E54" s="13" t="s">
        <v>677</v>
      </c>
      <c r="F54" s="13" t="s">
        <v>677</v>
      </c>
      <c r="G54" s="13" t="s">
        <v>677</v>
      </c>
      <c r="H54" s="13" t="s">
        <v>677</v>
      </c>
      <c r="I54" s="13" t="s">
        <v>677</v>
      </c>
      <c r="J54" s="13" t="s">
        <v>1149</v>
      </c>
    </row>
    <row r="55" spans="1:10" ht="38.25">
      <c r="A55" s="13" t="s">
        <v>684</v>
      </c>
      <c r="B55" s="13" t="s">
        <v>677</v>
      </c>
      <c r="C55" s="13" t="s">
        <v>677</v>
      </c>
      <c r="D55" s="13" t="s">
        <v>677</v>
      </c>
      <c r="E55" s="13" t="s">
        <v>677</v>
      </c>
      <c r="F55" s="13" t="s">
        <v>677</v>
      </c>
      <c r="G55" s="13" t="s">
        <v>677</v>
      </c>
      <c r="H55" s="13" t="s">
        <v>677</v>
      </c>
      <c r="I55" s="13" t="s">
        <v>677</v>
      </c>
      <c r="J55" s="13" t="s">
        <v>1150</v>
      </c>
    </row>
    <row r="56" spans="1:10" ht="38.25">
      <c r="A56" s="13" t="s">
        <v>1124</v>
      </c>
      <c r="B56" s="13" t="s">
        <v>946</v>
      </c>
      <c r="C56" s="13" t="s">
        <v>946</v>
      </c>
      <c r="D56" s="13" t="s">
        <v>946</v>
      </c>
      <c r="E56" s="13" t="s">
        <v>946</v>
      </c>
      <c r="F56" s="13" t="s">
        <v>947</v>
      </c>
      <c r="G56" s="13" t="s">
        <v>947</v>
      </c>
      <c r="H56" s="13" t="s">
        <v>677</v>
      </c>
      <c r="I56" s="13" t="s">
        <v>677</v>
      </c>
      <c r="J56" s="13" t="s">
        <v>1151</v>
      </c>
    </row>
    <row r="57" spans="1:10">
      <c r="A57" s="13"/>
      <c r="B57" s="13"/>
      <c r="C57" s="13"/>
      <c r="D57" s="13"/>
      <c r="E57" s="13"/>
      <c r="F57" s="13"/>
      <c r="G57" s="13"/>
      <c r="H57" s="13"/>
      <c r="I57" s="13"/>
      <c r="J57" s="13"/>
    </row>
    <row r="58" spans="1:10">
      <c r="A58" s="575" t="s">
        <v>1019</v>
      </c>
      <c r="B58" s="896"/>
      <c r="C58" s="896"/>
      <c r="D58" s="85"/>
      <c r="E58" s="85"/>
      <c r="F58" s="85"/>
      <c r="G58" s="85"/>
      <c r="H58" s="85"/>
      <c r="I58" s="85"/>
      <c r="J58" s="85"/>
    </row>
    <row r="59" spans="1:10">
      <c r="A59" s="50" t="s">
        <v>213</v>
      </c>
      <c r="B59" s="50" t="s">
        <v>275</v>
      </c>
      <c r="C59" s="50" t="s">
        <v>573</v>
      </c>
      <c r="D59" s="50" t="s">
        <v>215</v>
      </c>
      <c r="E59" s="50" t="s">
        <v>257</v>
      </c>
      <c r="F59" s="50" t="s">
        <v>572</v>
      </c>
      <c r="G59" s="50" t="s">
        <v>259</v>
      </c>
      <c r="H59" s="50" t="s">
        <v>216</v>
      </c>
      <c r="I59" s="50" t="s">
        <v>77</v>
      </c>
      <c r="J59" s="50" t="s">
        <v>11</v>
      </c>
    </row>
    <row r="60" spans="1:10" ht="63.75">
      <c r="A60" s="13" t="s">
        <v>1152</v>
      </c>
      <c r="B60" s="13" t="s">
        <v>575</v>
      </c>
      <c r="C60" s="13" t="s">
        <v>1153</v>
      </c>
      <c r="D60" s="13" t="s">
        <v>391</v>
      </c>
      <c r="E60" s="13" t="s">
        <v>488</v>
      </c>
      <c r="F60" s="13">
        <v>6</v>
      </c>
      <c r="G60" s="13" t="s">
        <v>1022</v>
      </c>
      <c r="H60" s="13" t="s">
        <v>1023</v>
      </c>
      <c r="I60" s="13" t="s">
        <v>502</v>
      </c>
      <c r="J60" s="13" t="s">
        <v>1154</v>
      </c>
    </row>
    <row r="61" spans="1:10" ht="76.5">
      <c r="A61" s="13" t="s">
        <v>605</v>
      </c>
      <c r="B61" s="13" t="s">
        <v>606</v>
      </c>
      <c r="C61" s="13" t="s">
        <v>607</v>
      </c>
      <c r="D61" s="13" t="s">
        <v>492</v>
      </c>
      <c r="E61" s="13" t="s">
        <v>488</v>
      </c>
      <c r="F61" s="13">
        <v>8</v>
      </c>
      <c r="G61" s="13" t="s">
        <v>1025</v>
      </c>
      <c r="H61" s="13" t="s">
        <v>584</v>
      </c>
      <c r="I61" s="13" t="s">
        <v>502</v>
      </c>
      <c r="J61" s="13" t="s">
        <v>1155</v>
      </c>
    </row>
    <row r="62" spans="1:10" ht="76.5">
      <c r="A62" s="13" t="s">
        <v>612</v>
      </c>
      <c r="B62" s="13" t="s">
        <v>613</v>
      </c>
      <c r="C62" s="13" t="s">
        <v>614</v>
      </c>
      <c r="D62" s="13" t="s">
        <v>492</v>
      </c>
      <c r="E62" s="13" t="s">
        <v>488</v>
      </c>
      <c r="F62" s="13">
        <v>8</v>
      </c>
      <c r="G62" s="13" t="s">
        <v>1156</v>
      </c>
      <c r="H62" s="13" t="s">
        <v>592</v>
      </c>
      <c r="I62" s="13" t="s">
        <v>502</v>
      </c>
      <c r="J62" s="13" t="s">
        <v>1157</v>
      </c>
    </row>
    <row r="63" spans="1:10" ht="63.75">
      <c r="A63" s="13" t="s">
        <v>1158</v>
      </c>
      <c r="B63" s="13" t="s">
        <v>1159</v>
      </c>
      <c r="C63" s="13" t="s">
        <v>1160</v>
      </c>
      <c r="D63" s="13" t="s">
        <v>391</v>
      </c>
      <c r="E63" s="13" t="s">
        <v>488</v>
      </c>
      <c r="F63" s="13">
        <v>6</v>
      </c>
      <c r="G63" s="13" t="s">
        <v>1161</v>
      </c>
      <c r="H63" s="13" t="s">
        <v>1032</v>
      </c>
      <c r="I63" s="13" t="s">
        <v>502</v>
      </c>
      <c r="J63" s="13" t="s">
        <v>1162</v>
      </c>
    </row>
    <row r="64" spans="1:10" ht="76.5">
      <c r="A64" s="13" t="s">
        <v>1163</v>
      </c>
      <c r="B64" s="13" t="s">
        <v>575</v>
      </c>
      <c r="C64" s="13" t="s">
        <v>1164</v>
      </c>
      <c r="D64" s="13" t="s">
        <v>391</v>
      </c>
      <c r="E64" s="13" t="s">
        <v>488</v>
      </c>
      <c r="F64" s="13">
        <v>6</v>
      </c>
      <c r="G64" s="13" t="s">
        <v>1036</v>
      </c>
      <c r="H64" s="13" t="s">
        <v>1037</v>
      </c>
      <c r="I64" s="13" t="s">
        <v>502</v>
      </c>
      <c r="J64" s="13" t="s">
        <v>1165</v>
      </c>
    </row>
    <row r="65" spans="1:10" ht="76.5">
      <c r="A65" s="13" t="s">
        <v>619</v>
      </c>
      <c r="B65" s="13" t="s">
        <v>575</v>
      </c>
      <c r="C65" s="13" t="s">
        <v>620</v>
      </c>
      <c r="D65" s="13" t="s">
        <v>492</v>
      </c>
      <c r="E65" s="13" t="s">
        <v>488</v>
      </c>
      <c r="F65" s="13">
        <v>8</v>
      </c>
      <c r="G65" s="13" t="s">
        <v>1039</v>
      </c>
      <c r="H65" s="13" t="s">
        <v>584</v>
      </c>
      <c r="I65" s="13" t="s">
        <v>502</v>
      </c>
      <c r="J65" s="13" t="s">
        <v>1166</v>
      </c>
    </row>
    <row r="66" spans="1:10" ht="76.5">
      <c r="A66" s="13" t="s">
        <v>1167</v>
      </c>
      <c r="B66" s="13" t="s">
        <v>613</v>
      </c>
      <c r="C66" s="13" t="s">
        <v>1042</v>
      </c>
      <c r="D66" s="13" t="s">
        <v>391</v>
      </c>
      <c r="E66" s="13" t="s">
        <v>488</v>
      </c>
      <c r="F66" s="13">
        <v>6</v>
      </c>
      <c r="G66" s="13" t="s">
        <v>1168</v>
      </c>
      <c r="H66" s="13" t="s">
        <v>1044</v>
      </c>
      <c r="I66" s="13" t="s">
        <v>502</v>
      </c>
      <c r="J66" s="13" t="s">
        <v>1169</v>
      </c>
    </row>
    <row r="67" spans="1:10" ht="76.5">
      <c r="A67" s="13" t="s">
        <v>1170</v>
      </c>
      <c r="B67" s="13" t="s">
        <v>575</v>
      </c>
      <c r="C67" s="13" t="s">
        <v>1047</v>
      </c>
      <c r="D67" s="13" t="s">
        <v>391</v>
      </c>
      <c r="E67" s="13" t="s">
        <v>488</v>
      </c>
      <c r="F67" s="13">
        <v>6</v>
      </c>
      <c r="G67" s="13" t="s">
        <v>1048</v>
      </c>
      <c r="H67" s="13" t="s">
        <v>1049</v>
      </c>
      <c r="I67" s="13" t="s">
        <v>502</v>
      </c>
      <c r="J67" s="13" t="s">
        <v>1171</v>
      </c>
    </row>
    <row r="68" spans="1:10">
      <c r="A68" s="13"/>
      <c r="B68" s="13"/>
      <c r="C68" s="13"/>
      <c r="D68" s="13"/>
      <c r="E68" s="13"/>
      <c r="F68" s="13"/>
      <c r="G68" s="13"/>
      <c r="H68" s="13"/>
      <c r="I68" s="13"/>
      <c r="J68" s="13"/>
    </row>
    <row r="69" spans="1:10">
      <c r="A69" s="575" t="s">
        <v>1051</v>
      </c>
      <c r="B69" s="896"/>
      <c r="C69" s="896"/>
      <c r="D69" s="85"/>
      <c r="E69" s="85"/>
      <c r="F69" s="85"/>
      <c r="G69" s="85"/>
      <c r="H69" s="85"/>
      <c r="I69" s="85"/>
      <c r="J69" s="85"/>
    </row>
    <row r="70" spans="1:10">
      <c r="A70" s="50" t="s">
        <v>221</v>
      </c>
      <c r="B70" s="50" t="s">
        <v>222</v>
      </c>
      <c r="C70" s="50" t="s">
        <v>265</v>
      </c>
      <c r="D70" s="50" t="s">
        <v>77</v>
      </c>
      <c r="E70" s="50" t="s">
        <v>878</v>
      </c>
      <c r="F70" s="50" t="s">
        <v>879</v>
      </c>
      <c r="G70" s="50" t="s">
        <v>880</v>
      </c>
      <c r="H70" s="50" t="s">
        <v>494</v>
      </c>
      <c r="I70" s="50" t="s">
        <v>881</v>
      </c>
      <c r="J70" s="50" t="s">
        <v>11</v>
      </c>
    </row>
    <row r="71" spans="1:10" ht="76.5">
      <c r="A71" s="13" t="s">
        <v>635</v>
      </c>
      <c r="B71" s="13" t="s">
        <v>636</v>
      </c>
      <c r="C71" s="13" t="s">
        <v>579</v>
      </c>
      <c r="D71" s="13" t="s">
        <v>502</v>
      </c>
      <c r="E71" s="13"/>
      <c r="F71" s="13"/>
      <c r="G71" s="13" t="s">
        <v>580</v>
      </c>
      <c r="H71" s="13"/>
      <c r="I71" s="13"/>
      <c r="J71" s="13"/>
    </row>
    <row r="72" spans="1:10" ht="51">
      <c r="A72" s="13" t="s">
        <v>639</v>
      </c>
      <c r="B72" s="13" t="s">
        <v>640</v>
      </c>
      <c r="C72" s="13" t="s">
        <v>587</v>
      </c>
      <c r="D72" s="13" t="s">
        <v>502</v>
      </c>
      <c r="E72" s="13"/>
      <c r="F72" s="13"/>
      <c r="G72" s="13" t="s">
        <v>588</v>
      </c>
      <c r="H72" s="13"/>
      <c r="I72" s="13"/>
      <c r="J72" s="13"/>
    </row>
    <row r="73" spans="1:10" ht="76.5">
      <c r="A73" s="13" t="s">
        <v>645</v>
      </c>
      <c r="B73" s="13" t="s">
        <v>646</v>
      </c>
      <c r="C73" s="13" t="s">
        <v>595</v>
      </c>
      <c r="D73" s="13" t="s">
        <v>502</v>
      </c>
      <c r="E73" s="13"/>
      <c r="F73" s="13"/>
      <c r="G73" s="13" t="s">
        <v>596</v>
      </c>
      <c r="H73" s="13"/>
      <c r="I73" s="13"/>
      <c r="J73" s="13"/>
    </row>
    <row r="74" spans="1:10" ht="63.75">
      <c r="A74" s="13" t="s">
        <v>650</v>
      </c>
      <c r="B74" s="13" t="s">
        <v>651</v>
      </c>
      <c r="C74" s="13" t="s">
        <v>601</v>
      </c>
      <c r="D74" s="13" t="s">
        <v>502</v>
      </c>
      <c r="E74" s="13"/>
      <c r="F74" s="13"/>
      <c r="G74" s="13" t="s">
        <v>602</v>
      </c>
      <c r="H74" s="13"/>
      <c r="I74" s="13"/>
      <c r="J74" s="13"/>
    </row>
    <row r="75" spans="1:10" ht="89.25">
      <c r="A75" s="13" t="s">
        <v>1172</v>
      </c>
      <c r="B75" s="13" t="s">
        <v>1173</v>
      </c>
      <c r="C75" s="13" t="s">
        <v>609</v>
      </c>
      <c r="D75" s="13" t="s">
        <v>502</v>
      </c>
      <c r="E75" s="13"/>
      <c r="F75" s="13"/>
      <c r="G75" s="13" t="s">
        <v>610</v>
      </c>
      <c r="H75" s="13"/>
      <c r="I75" s="13"/>
      <c r="J75" s="13"/>
    </row>
    <row r="76" spans="1:10" ht="89.25">
      <c r="A76" s="13" t="s">
        <v>1174</v>
      </c>
      <c r="B76" s="13" t="s">
        <v>1175</v>
      </c>
      <c r="C76" s="13" t="s">
        <v>616</v>
      </c>
      <c r="D76" s="13" t="s">
        <v>502</v>
      </c>
      <c r="E76" s="13"/>
      <c r="F76" s="13"/>
      <c r="G76" s="13" t="s">
        <v>617</v>
      </c>
      <c r="H76" s="13"/>
      <c r="I76" s="13"/>
      <c r="J76" s="13"/>
    </row>
    <row r="77" spans="1:10" ht="89.25">
      <c r="A77" s="13" t="s">
        <v>1176</v>
      </c>
      <c r="B77" s="13" t="s">
        <v>624</v>
      </c>
      <c r="C77" s="13" t="s">
        <v>622</v>
      </c>
      <c r="D77" s="13" t="s">
        <v>502</v>
      </c>
      <c r="E77" s="13"/>
      <c r="F77" s="13"/>
      <c r="G77" s="13" t="s">
        <v>623</v>
      </c>
      <c r="H77" s="13"/>
      <c r="I77" s="13"/>
      <c r="J77" s="13"/>
    </row>
    <row r="78" spans="1:10" ht="76.5">
      <c r="A78" s="13" t="s">
        <v>1177</v>
      </c>
      <c r="B78" s="13" t="s">
        <v>632</v>
      </c>
      <c r="C78" s="13" t="s">
        <v>630</v>
      </c>
      <c r="D78" s="13" t="s">
        <v>502</v>
      </c>
      <c r="E78" s="13"/>
      <c r="F78" s="13"/>
      <c r="G78" s="13" t="s">
        <v>631</v>
      </c>
      <c r="H78" s="13"/>
      <c r="I78" s="13"/>
      <c r="J78" s="13"/>
    </row>
    <row r="79" spans="1:10">
      <c r="A79" s="13"/>
      <c r="B79" s="13"/>
      <c r="C79" s="13"/>
      <c r="D79" s="13"/>
      <c r="E79" s="13"/>
      <c r="F79" s="13"/>
      <c r="G79" s="13"/>
      <c r="H79" s="13"/>
      <c r="I79" s="13"/>
      <c r="J79" s="13"/>
    </row>
    <row r="80" spans="1:10">
      <c r="A80" s="575" t="s">
        <v>1052</v>
      </c>
      <c r="B80" s="896"/>
      <c r="C80" s="896"/>
      <c r="D80" s="85"/>
      <c r="E80" s="85"/>
      <c r="F80" s="85"/>
      <c r="G80" s="85"/>
      <c r="H80" s="85"/>
      <c r="I80" s="85"/>
      <c r="J80" s="85"/>
    </row>
    <row r="81" spans="1:10">
      <c r="A81" s="50" t="s">
        <v>291</v>
      </c>
      <c r="B81" s="50" t="s">
        <v>275</v>
      </c>
      <c r="C81" s="50" t="s">
        <v>493</v>
      </c>
      <c r="D81" s="50" t="s">
        <v>214</v>
      </c>
      <c r="E81" s="50" t="s">
        <v>263</v>
      </c>
      <c r="F81" s="50" t="s">
        <v>891</v>
      </c>
      <c r="G81" s="50" t="s">
        <v>892</v>
      </c>
      <c r="H81" s="50" t="s">
        <v>893</v>
      </c>
      <c r="I81" s="50" t="s">
        <v>77</v>
      </c>
      <c r="J81" s="50" t="s">
        <v>11</v>
      </c>
    </row>
    <row r="82" spans="1:10" ht="102">
      <c r="A82" s="13" t="s">
        <v>1178</v>
      </c>
      <c r="B82" s="13" t="s">
        <v>682</v>
      </c>
      <c r="C82" s="13" t="s">
        <v>1054</v>
      </c>
      <c r="D82" s="13" t="s">
        <v>1179</v>
      </c>
      <c r="E82" s="13"/>
      <c r="F82" s="13" t="s">
        <v>229</v>
      </c>
      <c r="G82" s="13"/>
      <c r="H82" s="13" t="s">
        <v>1180</v>
      </c>
      <c r="I82" s="13" t="s">
        <v>502</v>
      </c>
      <c r="J82" s="13"/>
    </row>
    <row r="83" spans="1:10" ht="102">
      <c r="A83" s="13" t="s">
        <v>1181</v>
      </c>
      <c r="B83" s="13" t="s">
        <v>683</v>
      </c>
      <c r="C83" s="13" t="s">
        <v>1054</v>
      </c>
      <c r="D83" s="13" t="s">
        <v>1182</v>
      </c>
      <c r="E83" s="13"/>
      <c r="F83" s="13" t="s">
        <v>229</v>
      </c>
      <c r="G83" s="13"/>
      <c r="H83" s="13" t="s">
        <v>1183</v>
      </c>
      <c r="I83" s="13" t="s">
        <v>502</v>
      </c>
      <c r="J83" s="13"/>
    </row>
    <row r="84" spans="1:10" ht="89.25">
      <c r="A84" s="13" t="s">
        <v>1184</v>
      </c>
      <c r="B84" s="13" t="s">
        <v>684</v>
      </c>
      <c r="C84" s="13" t="s">
        <v>1054</v>
      </c>
      <c r="D84" s="13" t="s">
        <v>1185</v>
      </c>
      <c r="E84" s="13"/>
      <c r="F84" s="13" t="s">
        <v>229</v>
      </c>
      <c r="G84" s="13"/>
      <c r="H84" s="13" t="s">
        <v>1186</v>
      </c>
      <c r="I84" s="13" t="s">
        <v>502</v>
      </c>
      <c r="J84" s="13"/>
    </row>
    <row r="85" spans="1:10" ht="76.5">
      <c r="A85" s="13" t="s">
        <v>1187</v>
      </c>
      <c r="B85" s="13" t="s">
        <v>1111</v>
      </c>
      <c r="C85" s="13" t="s">
        <v>1058</v>
      </c>
      <c r="D85" s="13" t="s">
        <v>1188</v>
      </c>
      <c r="E85" s="13"/>
      <c r="F85" s="13" t="s">
        <v>229</v>
      </c>
      <c r="G85" s="13"/>
      <c r="H85" s="13" t="s">
        <v>605</v>
      </c>
      <c r="I85" s="13" t="s">
        <v>502</v>
      </c>
      <c r="J85" s="13"/>
    </row>
    <row r="86" spans="1:10" ht="114.75">
      <c r="A86" s="13" t="s">
        <v>1189</v>
      </c>
      <c r="B86" s="13" t="s">
        <v>1115</v>
      </c>
      <c r="C86" s="13" t="s">
        <v>1058</v>
      </c>
      <c r="D86" s="13" t="s">
        <v>1190</v>
      </c>
      <c r="E86" s="13"/>
      <c r="F86" s="13" t="s">
        <v>229</v>
      </c>
      <c r="G86" s="13"/>
      <c r="H86" s="13" t="s">
        <v>1191</v>
      </c>
      <c r="I86" s="13" t="s">
        <v>502</v>
      </c>
      <c r="J86" s="13"/>
    </row>
    <row r="87" spans="1:10" ht="114.75">
      <c r="A87" s="13" t="s">
        <v>1192</v>
      </c>
      <c r="B87" s="13" t="s">
        <v>1159</v>
      </c>
      <c r="C87" s="13" t="s">
        <v>1193</v>
      </c>
      <c r="D87" s="13" t="s">
        <v>1194</v>
      </c>
      <c r="E87" s="13"/>
      <c r="F87" s="13" t="s">
        <v>229</v>
      </c>
      <c r="G87" s="13"/>
      <c r="H87" s="13" t="s">
        <v>1195</v>
      </c>
      <c r="I87" s="13" t="s">
        <v>502</v>
      </c>
      <c r="J87" s="13"/>
    </row>
    <row r="88" spans="1:10" ht="102">
      <c r="A88" s="13" t="s">
        <v>1196</v>
      </c>
      <c r="B88" s="13" t="s">
        <v>575</v>
      </c>
      <c r="C88" s="13" t="s">
        <v>1072</v>
      </c>
      <c r="D88" s="13" t="s">
        <v>1197</v>
      </c>
      <c r="E88" s="13"/>
      <c r="F88" s="13" t="s">
        <v>229</v>
      </c>
      <c r="G88" s="13"/>
      <c r="H88" s="13" t="s">
        <v>1163</v>
      </c>
      <c r="I88" s="13" t="s">
        <v>502</v>
      </c>
      <c r="J88" s="13"/>
    </row>
    <row r="89" spans="1:10" ht="76.5">
      <c r="A89" s="13" t="s">
        <v>1198</v>
      </c>
      <c r="B89" s="13" t="s">
        <v>1159</v>
      </c>
      <c r="C89" s="13" t="s">
        <v>1076</v>
      </c>
      <c r="D89" s="13" t="s">
        <v>1199</v>
      </c>
      <c r="E89" s="13"/>
      <c r="F89" s="13" t="s">
        <v>229</v>
      </c>
      <c r="G89" s="13"/>
      <c r="H89" s="13" t="s">
        <v>1200</v>
      </c>
      <c r="I89" s="13" t="s">
        <v>502</v>
      </c>
      <c r="J89" s="13"/>
    </row>
    <row r="90" spans="1:10">
      <c r="A90" s="13"/>
      <c r="B90" s="13"/>
      <c r="C90" s="13"/>
      <c r="D90" s="13"/>
      <c r="E90" s="13"/>
      <c r="F90" s="13"/>
      <c r="G90" s="13"/>
      <c r="H90" s="13"/>
      <c r="I90" s="13"/>
      <c r="J90" s="13"/>
    </row>
    <row r="91" spans="1:10">
      <c r="A91" s="575" t="s">
        <v>1079</v>
      </c>
      <c r="B91" s="896"/>
      <c r="C91" s="896"/>
      <c r="D91" s="85"/>
      <c r="E91" s="85"/>
      <c r="F91" s="85"/>
      <c r="G91" s="85"/>
      <c r="H91" s="85"/>
      <c r="I91" s="85"/>
      <c r="J91" s="85"/>
    </row>
    <row r="92" spans="1:10">
      <c r="A92" s="50" t="s">
        <v>275</v>
      </c>
      <c r="B92" s="50" t="s">
        <v>895</v>
      </c>
      <c r="C92" s="50" t="s">
        <v>896</v>
      </c>
      <c r="D92" s="50" t="s">
        <v>148</v>
      </c>
      <c r="E92" s="50" t="s">
        <v>153</v>
      </c>
      <c r="F92" s="50" t="s">
        <v>155</v>
      </c>
      <c r="G92" s="50" t="s">
        <v>491</v>
      </c>
      <c r="H92" s="50" t="s">
        <v>897</v>
      </c>
      <c r="I92" s="50" t="s">
        <v>174</v>
      </c>
      <c r="J92" s="50" t="s">
        <v>11</v>
      </c>
    </row>
    <row r="93" spans="1:10" ht="63.75">
      <c r="A93" s="13" t="s">
        <v>682</v>
      </c>
      <c r="B93" s="13">
        <v>0.5</v>
      </c>
      <c r="C93" s="13">
        <v>0.5</v>
      </c>
      <c r="D93" s="13">
        <v>0.5</v>
      </c>
      <c r="E93" s="13">
        <v>0.5</v>
      </c>
      <c r="F93" s="13">
        <v>0.5</v>
      </c>
      <c r="G93" s="13" t="s">
        <v>677</v>
      </c>
      <c r="H93" s="13">
        <v>0.5</v>
      </c>
      <c r="I93" s="13" t="s">
        <v>1201</v>
      </c>
      <c r="J93" s="13" t="s">
        <v>1202</v>
      </c>
    </row>
    <row r="94" spans="1:10" ht="51">
      <c r="A94" s="13" t="s">
        <v>683</v>
      </c>
      <c r="B94" s="13">
        <v>0.5</v>
      </c>
      <c r="C94" s="13">
        <v>0.5</v>
      </c>
      <c r="D94" s="13">
        <v>0.5</v>
      </c>
      <c r="E94" s="13">
        <v>0.5</v>
      </c>
      <c r="F94" s="13">
        <v>0.5</v>
      </c>
      <c r="G94" s="13" t="s">
        <v>677</v>
      </c>
      <c r="H94" s="13">
        <v>0.5</v>
      </c>
      <c r="I94" s="13" t="s">
        <v>1201</v>
      </c>
      <c r="J94" s="13" t="s">
        <v>1203</v>
      </c>
    </row>
    <row r="95" spans="1:10" ht="51">
      <c r="A95" s="13" t="s">
        <v>684</v>
      </c>
      <c r="B95" s="13">
        <v>0.5</v>
      </c>
      <c r="C95" s="13">
        <v>0.5</v>
      </c>
      <c r="D95" s="13">
        <v>0.5</v>
      </c>
      <c r="E95" s="13">
        <v>0.5</v>
      </c>
      <c r="F95" s="13">
        <v>0.5</v>
      </c>
      <c r="G95" s="13" t="s">
        <v>677</v>
      </c>
      <c r="H95" s="13">
        <v>0.5</v>
      </c>
      <c r="I95" s="13" t="s">
        <v>1201</v>
      </c>
      <c r="J95" s="13" t="s">
        <v>1204</v>
      </c>
    </row>
    <row r="96" spans="1:10" ht="38.25">
      <c r="A96" s="13" t="s">
        <v>1124</v>
      </c>
      <c r="B96" s="13">
        <v>0.5</v>
      </c>
      <c r="C96" s="13">
        <v>0.5</v>
      </c>
      <c r="D96" s="13">
        <v>0.5</v>
      </c>
      <c r="E96" s="13">
        <v>0.5</v>
      </c>
      <c r="F96" s="13">
        <v>0.5</v>
      </c>
      <c r="G96" s="13" t="s">
        <v>677</v>
      </c>
      <c r="H96" s="13">
        <v>0.5</v>
      </c>
      <c r="I96" s="13" t="s">
        <v>1201</v>
      </c>
      <c r="J96" s="13" t="s">
        <v>1205</v>
      </c>
    </row>
    <row r="97" spans="1:10">
      <c r="A97" s="13"/>
      <c r="B97" s="13"/>
      <c r="C97" s="13"/>
      <c r="D97" s="13"/>
      <c r="E97" s="13"/>
      <c r="F97" s="13"/>
      <c r="G97" s="13"/>
      <c r="H97" s="13"/>
      <c r="I97" s="13"/>
      <c r="J97" s="13"/>
    </row>
    <row r="98" spans="1:10">
      <c r="A98" s="575" t="s">
        <v>1085</v>
      </c>
      <c r="B98" s="896"/>
      <c r="C98" s="896"/>
      <c r="D98" s="85"/>
      <c r="E98" s="85"/>
      <c r="F98" s="85"/>
      <c r="G98" s="85"/>
      <c r="H98" s="85"/>
      <c r="I98" s="85"/>
      <c r="J98" s="85"/>
    </row>
    <row r="99" spans="1:10" ht="51">
      <c r="A99" s="50" t="s">
        <v>905</v>
      </c>
      <c r="B99" s="50" t="s">
        <v>1206</v>
      </c>
      <c r="C99" s="50"/>
      <c r="D99" s="50"/>
      <c r="E99" s="50"/>
      <c r="F99" s="50"/>
      <c r="G99" s="50"/>
      <c r="H99" s="50"/>
      <c r="I99" s="50"/>
      <c r="J99" s="50"/>
    </row>
    <row r="100" spans="1:10">
      <c r="A100" s="13" t="s">
        <v>1086</v>
      </c>
      <c r="B100" s="594" t="s">
        <v>1207</v>
      </c>
      <c r="C100" s="896"/>
      <c r="D100" s="896"/>
      <c r="E100" s="896"/>
      <c r="F100" s="896"/>
      <c r="G100" s="896"/>
      <c r="H100" s="896"/>
      <c r="I100" s="896"/>
      <c r="J100" s="896"/>
    </row>
    <row r="101" spans="1:10" ht="25.5">
      <c r="A101" s="13" t="s">
        <v>1087</v>
      </c>
      <c r="B101" s="594" t="s">
        <v>1208</v>
      </c>
      <c r="C101" s="896"/>
      <c r="D101" s="896"/>
      <c r="E101" s="896"/>
      <c r="F101" s="896"/>
      <c r="G101" s="896"/>
      <c r="H101" s="896"/>
      <c r="I101" s="896"/>
      <c r="J101" s="896"/>
    </row>
    <row r="102" spans="1:10">
      <c r="A102" s="13" t="s">
        <v>1088</v>
      </c>
      <c r="B102" s="594" t="s">
        <v>1209</v>
      </c>
      <c r="C102" s="896"/>
      <c r="D102" s="896"/>
      <c r="E102" s="896"/>
      <c r="F102" s="896"/>
      <c r="G102" s="896"/>
      <c r="H102" s="896"/>
      <c r="I102" s="896"/>
      <c r="J102" s="896"/>
    </row>
    <row r="103" spans="1:10">
      <c r="A103" s="13" t="s">
        <v>1210</v>
      </c>
      <c r="B103" s="594" t="s">
        <v>1211</v>
      </c>
      <c r="C103" s="896"/>
      <c r="D103" s="896"/>
      <c r="E103" s="896"/>
      <c r="F103" s="896"/>
      <c r="G103" s="896"/>
      <c r="H103" s="896"/>
      <c r="I103" s="896"/>
      <c r="J103" s="896"/>
    </row>
    <row r="104" spans="1:10">
      <c r="A104" s="13" t="s">
        <v>1090</v>
      </c>
      <c r="B104" s="594" t="s">
        <v>1212</v>
      </c>
      <c r="C104" s="896"/>
      <c r="D104" s="896"/>
      <c r="E104" s="896"/>
      <c r="F104" s="896"/>
      <c r="G104" s="896"/>
      <c r="H104" s="896"/>
      <c r="I104" s="896"/>
      <c r="J104" s="896"/>
    </row>
    <row r="105" spans="1:10" ht="25.5">
      <c r="A105" s="13" t="s">
        <v>1091</v>
      </c>
      <c r="B105" s="594" t="s">
        <v>1213</v>
      </c>
      <c r="C105" s="896"/>
      <c r="D105" s="896"/>
      <c r="E105" s="896"/>
      <c r="F105" s="896"/>
      <c r="G105" s="896"/>
      <c r="H105" s="896"/>
      <c r="I105" s="896"/>
      <c r="J105" s="896"/>
    </row>
    <row r="106" spans="1:10">
      <c r="A106" s="13" t="s">
        <v>1092</v>
      </c>
      <c r="B106" s="594" t="s">
        <v>1214</v>
      </c>
      <c r="C106" s="896"/>
      <c r="D106" s="896"/>
      <c r="E106" s="896"/>
      <c r="F106" s="896"/>
      <c r="G106" s="896"/>
      <c r="H106" s="896"/>
      <c r="I106" s="896"/>
      <c r="J106" s="896"/>
    </row>
    <row r="107" spans="1:10" ht="15.75" thickBot="1"/>
    <row r="108" spans="1:10" ht="15" customHeight="1">
      <c r="A108" s="605" t="s">
        <v>5668</v>
      </c>
      <c r="B108" s="602"/>
      <c r="C108" s="602"/>
      <c r="D108" s="606"/>
      <c r="E108" s="602"/>
      <c r="F108" s="602"/>
      <c r="G108" s="606"/>
      <c r="H108" s="606"/>
      <c r="I108" s="606"/>
      <c r="J108" s="607"/>
    </row>
    <row r="109" spans="1:10" ht="30" customHeight="1">
      <c r="A109" s="321" t="s">
        <v>5610</v>
      </c>
      <c r="B109" s="322" t="s">
        <v>77</v>
      </c>
      <c r="C109" s="322" t="s">
        <v>5611</v>
      </c>
      <c r="D109" s="322" t="s">
        <v>5612</v>
      </c>
      <c r="E109" s="322" t="s">
        <v>5634</v>
      </c>
      <c r="F109" s="322" t="s">
        <v>5601</v>
      </c>
      <c r="G109" s="578" t="s">
        <v>5635</v>
      </c>
      <c r="H109" s="578"/>
      <c r="I109" s="578"/>
      <c r="J109" s="579"/>
    </row>
    <row r="110" spans="1:10" ht="25.5" customHeight="1">
      <c r="A110" s="323" t="s">
        <v>5613</v>
      </c>
      <c r="B110" s="333" t="s">
        <v>484</v>
      </c>
      <c r="C110" s="325">
        <v>0</v>
      </c>
      <c r="D110" s="325">
        <v>0</v>
      </c>
      <c r="E110" s="192" t="s">
        <v>5674</v>
      </c>
      <c r="F110" s="325">
        <f>IF(AND(C110&lt;&gt;"",D110&lt;&gt;""),D110-C110,"")</f>
        <v>0</v>
      </c>
      <c r="G110" s="608"/>
      <c r="H110" s="608"/>
      <c r="I110" s="608"/>
      <c r="J110" s="609"/>
    </row>
    <row r="111" spans="1:10" ht="25.5" customHeight="1">
      <c r="A111" s="326" t="s">
        <v>5614</v>
      </c>
      <c r="B111" s="333" t="s">
        <v>484</v>
      </c>
      <c r="C111" s="325">
        <v>0</v>
      </c>
      <c r="D111" s="327">
        <v>0</v>
      </c>
      <c r="E111" s="310" t="s">
        <v>5675</v>
      </c>
      <c r="F111" s="327">
        <f>IF(AND(C111&lt;&gt;"",D111&lt;&gt;""),D111-C111,"")</f>
        <v>0</v>
      </c>
      <c r="G111" s="610"/>
      <c r="H111" s="610"/>
      <c r="I111" s="610"/>
      <c r="J111" s="611"/>
    </row>
    <row r="112" spans="1:10" ht="15" customHeight="1">
      <c r="A112" s="323" t="s">
        <v>5615</v>
      </c>
      <c r="B112" s="333" t="s">
        <v>484</v>
      </c>
      <c r="C112" s="325">
        <v>0</v>
      </c>
      <c r="D112" s="327">
        <v>0</v>
      </c>
      <c r="E112" s="310" t="s">
        <v>5675</v>
      </c>
      <c r="F112" s="325">
        <f>IF(AND(C112&lt;&gt;"",D112&lt;&gt;""),D112-C112,"")</f>
        <v>0</v>
      </c>
      <c r="G112" s="328"/>
      <c r="H112" s="227"/>
      <c r="I112" s="227"/>
      <c r="J112" s="329"/>
    </row>
    <row r="113" spans="1:10" ht="15" customHeight="1">
      <c r="A113" s="326" t="s">
        <v>5616</v>
      </c>
      <c r="B113" s="333" t="s">
        <v>484</v>
      </c>
      <c r="C113" s="325">
        <v>0</v>
      </c>
      <c r="D113" s="327">
        <v>0</v>
      </c>
      <c r="E113" s="310" t="s">
        <v>5675</v>
      </c>
      <c r="F113" s="327">
        <f>IF(AND(C113&lt;&gt;"",D113&lt;&gt;""),D113-C113,"")</f>
        <v>0</v>
      </c>
      <c r="G113" s="610"/>
      <c r="H113" s="610"/>
      <c r="I113" s="610"/>
      <c r="J113" s="611"/>
    </row>
    <row r="114" spans="1:10" ht="15" customHeight="1">
      <c r="A114" s="323" t="s">
        <v>5168</v>
      </c>
      <c r="B114" s="333" t="s">
        <v>484</v>
      </c>
      <c r="C114" s="325">
        <v>0</v>
      </c>
      <c r="D114" s="327">
        <v>0</v>
      </c>
      <c r="E114" s="310" t="s">
        <v>5675</v>
      </c>
      <c r="F114" s="325">
        <f>IF(AND(C114&lt;&gt;"",D114&lt;&gt;""),D114-C114,"")</f>
        <v>0</v>
      </c>
      <c r="G114" s="328"/>
      <c r="H114" s="227"/>
      <c r="I114" s="227"/>
      <c r="J114" s="329"/>
    </row>
    <row r="115" spans="1:10" ht="15.75" customHeight="1">
      <c r="A115" s="585" t="s">
        <v>5636</v>
      </c>
      <c r="B115" s="586"/>
      <c r="C115" s="330">
        <f>IFERROR(AVERAGE(C110:C114),"")</f>
        <v>0</v>
      </c>
      <c r="D115" s="330">
        <f>IFERROR(AVERAGE(D110:D114),"")</f>
        <v>0</v>
      </c>
      <c r="E115" s="589" t="s">
        <v>5637</v>
      </c>
      <c r="F115" s="589"/>
      <c r="G115" s="589"/>
      <c r="H115" s="589"/>
      <c r="I115" s="589"/>
      <c r="J115" s="590"/>
    </row>
    <row r="116" spans="1:10" ht="20.25" customHeight="1">
      <c r="A116" s="331"/>
      <c r="B116" s="316"/>
      <c r="C116" s="316"/>
      <c r="D116" s="316"/>
      <c r="E116" s="316"/>
      <c r="F116" s="316"/>
      <c r="G116" s="316"/>
      <c r="H116" s="227"/>
      <c r="I116" s="227"/>
      <c r="J116" s="329"/>
    </row>
    <row r="117" spans="1:10">
      <c r="A117" s="574" t="s">
        <v>5669</v>
      </c>
      <c r="B117" s="582"/>
      <c r="C117" s="582"/>
      <c r="D117" s="575"/>
      <c r="E117" s="582"/>
      <c r="F117" s="582"/>
      <c r="G117" s="575"/>
      <c r="H117" s="575"/>
      <c r="I117" s="575"/>
      <c r="J117" s="576"/>
    </row>
    <row r="118" spans="1:10">
      <c r="A118" s="321" t="s">
        <v>4946</v>
      </c>
      <c r="B118" s="322" t="s">
        <v>77</v>
      </c>
      <c r="C118" s="322" t="s">
        <v>5676</v>
      </c>
      <c r="D118" s="322" t="s">
        <v>482</v>
      </c>
      <c r="E118" s="322" t="s">
        <v>572</v>
      </c>
      <c r="F118" s="322" t="s">
        <v>5639</v>
      </c>
      <c r="G118" s="578" t="s">
        <v>5640</v>
      </c>
      <c r="H118" s="578"/>
      <c r="I118" s="578"/>
      <c r="J118" s="579"/>
    </row>
    <row r="119" spans="1:10" ht="31.5" customHeight="1">
      <c r="A119" s="326" t="s">
        <v>5602</v>
      </c>
      <c r="B119" s="333" t="s">
        <v>484</v>
      </c>
      <c r="C119" s="332" t="s">
        <v>679</v>
      </c>
      <c r="D119" s="324" t="s">
        <v>679</v>
      </c>
      <c r="E119" s="332">
        <f>IF(D119="Yes",1,0)</f>
        <v>0</v>
      </c>
      <c r="F119" s="580"/>
      <c r="G119" s="580"/>
      <c r="H119" s="580"/>
      <c r="I119" s="580"/>
      <c r="J119" s="581"/>
    </row>
    <row r="120" spans="1:10" ht="20.25" customHeight="1">
      <c r="A120" s="323" t="s">
        <v>995</v>
      </c>
      <c r="B120" s="333" t="s">
        <v>484</v>
      </c>
      <c r="C120" s="332" t="s">
        <v>679</v>
      </c>
      <c r="D120" s="324" t="s">
        <v>679</v>
      </c>
      <c r="E120" s="324">
        <f t="shared" ref="E120:E126" si="0">IF(D120="Yes",1,0)</f>
        <v>0</v>
      </c>
      <c r="F120" s="580"/>
      <c r="G120" s="580"/>
      <c r="H120" s="580"/>
      <c r="I120" s="580"/>
      <c r="J120" s="581"/>
    </row>
    <row r="121" spans="1:10" ht="24.75" customHeight="1">
      <c r="A121" s="326" t="s">
        <v>5603</v>
      </c>
      <c r="B121" s="333" t="s">
        <v>484</v>
      </c>
      <c r="C121" s="332" t="s">
        <v>679</v>
      </c>
      <c r="D121" s="324" t="s">
        <v>679</v>
      </c>
      <c r="E121" s="332">
        <f t="shared" si="0"/>
        <v>0</v>
      </c>
      <c r="F121" s="580"/>
      <c r="G121" s="580"/>
      <c r="H121" s="580"/>
      <c r="I121" s="580"/>
      <c r="J121" s="581"/>
    </row>
    <row r="122" spans="1:10">
      <c r="A122" s="323" t="s">
        <v>5617</v>
      </c>
      <c r="B122" s="333" t="s">
        <v>484</v>
      </c>
      <c r="C122" s="332" t="s">
        <v>679</v>
      </c>
      <c r="D122" s="324" t="s">
        <v>679</v>
      </c>
      <c r="E122" s="324">
        <f t="shared" si="0"/>
        <v>0</v>
      </c>
      <c r="F122" s="580"/>
      <c r="G122" s="580"/>
      <c r="H122" s="580"/>
      <c r="I122" s="580"/>
      <c r="J122" s="581"/>
    </row>
    <row r="123" spans="1:10" ht="38.25">
      <c r="A123" s="326" t="s">
        <v>5618</v>
      </c>
      <c r="B123" s="333" t="s">
        <v>484</v>
      </c>
      <c r="C123" s="332" t="s">
        <v>679</v>
      </c>
      <c r="D123" s="324" t="s">
        <v>679</v>
      </c>
      <c r="E123" s="332">
        <f t="shared" si="0"/>
        <v>0</v>
      </c>
      <c r="F123" s="580"/>
      <c r="G123" s="580"/>
      <c r="H123" s="580"/>
      <c r="I123" s="580"/>
      <c r="J123" s="581"/>
    </row>
    <row r="124" spans="1:10" ht="25.5">
      <c r="A124" s="323" t="s">
        <v>5619</v>
      </c>
      <c r="B124" s="333" t="s">
        <v>484</v>
      </c>
      <c r="C124" s="332" t="s">
        <v>679</v>
      </c>
      <c r="D124" s="324" t="s">
        <v>679</v>
      </c>
      <c r="E124" s="324">
        <f t="shared" si="0"/>
        <v>0</v>
      </c>
      <c r="F124" s="580"/>
      <c r="G124" s="580"/>
      <c r="H124" s="580"/>
      <c r="I124" s="580"/>
      <c r="J124" s="581"/>
    </row>
    <row r="125" spans="1:10" ht="18.75" customHeight="1">
      <c r="A125" s="326" t="s">
        <v>5604</v>
      </c>
      <c r="B125" s="333" t="s">
        <v>484</v>
      </c>
      <c r="C125" s="332" t="s">
        <v>679</v>
      </c>
      <c r="D125" s="324" t="s">
        <v>679</v>
      </c>
      <c r="E125" s="332">
        <f t="shared" si="0"/>
        <v>0</v>
      </c>
      <c r="F125" s="580"/>
      <c r="G125" s="580"/>
      <c r="H125" s="580"/>
      <c r="I125" s="580"/>
      <c r="J125" s="581"/>
    </row>
    <row r="126" spans="1:10" ht="25.5">
      <c r="A126" s="323" t="s">
        <v>5605</v>
      </c>
      <c r="B126" s="333" t="s">
        <v>484</v>
      </c>
      <c r="C126" s="332" t="s">
        <v>679</v>
      </c>
      <c r="D126" s="324" t="s">
        <v>679</v>
      </c>
      <c r="E126" s="324">
        <f t="shared" si="0"/>
        <v>0</v>
      </c>
      <c r="F126" s="580"/>
      <c r="G126" s="580"/>
      <c r="H126" s="580"/>
      <c r="I126" s="580"/>
      <c r="J126" s="581"/>
    </row>
    <row r="127" spans="1:10" ht="28.5" customHeight="1">
      <c r="A127" s="585" t="s">
        <v>5641</v>
      </c>
      <c r="B127" s="586"/>
      <c r="C127" s="587" t="str">
        <f>IFERROR(SUM(E119:E126)/COUNTIF(C119:C126,"Yes"),"")</f>
        <v/>
      </c>
      <c r="D127" s="588"/>
      <c r="E127" s="589" t="s">
        <v>5642</v>
      </c>
      <c r="F127" s="589"/>
      <c r="G127" s="589"/>
      <c r="H127" s="589"/>
      <c r="I127" s="589"/>
      <c r="J127" s="590"/>
    </row>
    <row r="128" spans="1:10" ht="20.25" customHeight="1">
      <c r="A128" s="331"/>
      <c r="B128" s="316"/>
      <c r="C128" s="316"/>
      <c r="D128" s="316"/>
      <c r="E128" s="316"/>
      <c r="F128" s="316"/>
      <c r="G128" s="316"/>
      <c r="H128" s="227"/>
      <c r="I128" s="227"/>
      <c r="J128" s="329"/>
    </row>
    <row r="129" spans="1:10">
      <c r="A129" s="574" t="s">
        <v>5670</v>
      </c>
      <c r="B129" s="582"/>
      <c r="C129" s="582"/>
      <c r="D129" s="575"/>
      <c r="E129" s="582"/>
      <c r="F129" s="582"/>
      <c r="G129" s="575"/>
      <c r="H129" s="575"/>
      <c r="I129" s="575"/>
      <c r="J129" s="576"/>
    </row>
    <row r="130" spans="1:10" ht="30" customHeight="1">
      <c r="A130" s="321" t="s">
        <v>5643</v>
      </c>
      <c r="B130" s="322" t="s">
        <v>77</v>
      </c>
      <c r="C130" s="322" t="s">
        <v>5620</v>
      </c>
      <c r="D130" s="322" t="s">
        <v>5621</v>
      </c>
      <c r="E130" s="322" t="s">
        <v>5622</v>
      </c>
      <c r="F130" s="322" t="s">
        <v>5644</v>
      </c>
      <c r="G130" s="578" t="s">
        <v>5645</v>
      </c>
      <c r="H130" s="578"/>
      <c r="I130" s="578"/>
      <c r="J130" s="579"/>
    </row>
    <row r="131" spans="1:10" ht="25.5">
      <c r="A131" s="326" t="s">
        <v>5623</v>
      </c>
      <c r="B131" s="332" t="s">
        <v>484</v>
      </c>
      <c r="C131" s="332" t="s">
        <v>1096</v>
      </c>
      <c r="D131" s="332" t="s">
        <v>1096</v>
      </c>
      <c r="E131" s="332" t="s">
        <v>1096</v>
      </c>
      <c r="F131" s="332" t="s">
        <v>348</v>
      </c>
      <c r="G131" s="583"/>
      <c r="H131" s="583"/>
      <c r="I131" s="583"/>
      <c r="J131" s="584"/>
    </row>
    <row r="132" spans="1:10" ht="53.45" customHeight="1">
      <c r="A132" s="323" t="s">
        <v>5624</v>
      </c>
      <c r="B132" s="332" t="s">
        <v>484</v>
      </c>
      <c r="C132" s="332" t="s">
        <v>1096</v>
      </c>
      <c r="D132" s="332" t="s">
        <v>1096</v>
      </c>
      <c r="E132" s="332" t="s">
        <v>1096</v>
      </c>
      <c r="F132" s="332" t="s">
        <v>348</v>
      </c>
      <c r="G132" s="583"/>
      <c r="H132" s="583"/>
      <c r="I132" s="583"/>
      <c r="J132" s="584"/>
    </row>
    <row r="133" spans="1:10" ht="53.45" customHeight="1">
      <c r="A133" s="326" t="s">
        <v>5646</v>
      </c>
      <c r="B133" s="332" t="s">
        <v>484</v>
      </c>
      <c r="C133" s="332" t="s">
        <v>1096</v>
      </c>
      <c r="D133" s="332" t="s">
        <v>1096</v>
      </c>
      <c r="E133" s="332" t="s">
        <v>1096</v>
      </c>
      <c r="F133" s="332" t="s">
        <v>348</v>
      </c>
      <c r="G133" s="583"/>
      <c r="H133" s="583"/>
      <c r="I133" s="583"/>
      <c r="J133" s="584"/>
    </row>
    <row r="134" spans="1:10" ht="53.45" customHeight="1">
      <c r="A134" s="323" t="s">
        <v>5625</v>
      </c>
      <c r="B134" s="332" t="s">
        <v>484</v>
      </c>
      <c r="C134" s="332" t="s">
        <v>1096</v>
      </c>
      <c r="D134" s="332" t="s">
        <v>1096</v>
      </c>
      <c r="E134" s="332" t="s">
        <v>1096</v>
      </c>
      <c r="F134" s="332" t="s">
        <v>348</v>
      </c>
      <c r="G134" s="583"/>
      <c r="H134" s="583"/>
      <c r="I134" s="583"/>
      <c r="J134" s="584"/>
    </row>
    <row r="135" spans="1:10" ht="53.45" customHeight="1">
      <c r="A135" s="326" t="s">
        <v>5626</v>
      </c>
      <c r="B135" s="332" t="s">
        <v>484</v>
      </c>
      <c r="C135" s="332" t="s">
        <v>1096</v>
      </c>
      <c r="D135" s="332" t="s">
        <v>1096</v>
      </c>
      <c r="E135" s="332" t="s">
        <v>1096</v>
      </c>
      <c r="F135" s="332" t="s">
        <v>348</v>
      </c>
      <c r="G135" s="583"/>
      <c r="H135" s="583"/>
      <c r="I135" s="583"/>
      <c r="J135" s="584"/>
    </row>
    <row r="136" spans="1:10" ht="53.45" customHeight="1">
      <c r="A136" s="585" t="s">
        <v>5677</v>
      </c>
      <c r="B136" s="586"/>
      <c r="C136" s="587">
        <f>IFERROR(COUNTIF(E131:E135,"Yes")/COUNTA(A131:A135),"")</f>
        <v>0</v>
      </c>
      <c r="D136" s="588"/>
      <c r="E136" s="589" t="s">
        <v>5648</v>
      </c>
      <c r="F136" s="589"/>
      <c r="G136" s="589"/>
      <c r="H136" s="589"/>
      <c r="I136" s="589"/>
      <c r="J136" s="590"/>
    </row>
    <row r="137" spans="1:10" ht="20.25" customHeight="1">
      <c r="A137" s="331"/>
      <c r="B137" s="316"/>
      <c r="C137" s="316"/>
      <c r="D137" s="316"/>
      <c r="E137" s="316"/>
      <c r="F137" s="316"/>
      <c r="G137" s="599"/>
      <c r="H137" s="599"/>
      <c r="I137" s="599"/>
      <c r="J137" s="600"/>
    </row>
    <row r="138" spans="1:10" ht="53.45" customHeight="1">
      <c r="A138" s="574" t="s">
        <v>5671</v>
      </c>
      <c r="B138" s="582"/>
      <c r="C138" s="582"/>
      <c r="D138" s="575"/>
      <c r="E138" s="582"/>
      <c r="F138" s="582"/>
      <c r="G138" s="575"/>
      <c r="H138" s="575"/>
      <c r="I138" s="575"/>
      <c r="J138" s="576"/>
    </row>
    <row r="139" spans="1:10" ht="53.45" customHeight="1">
      <c r="A139" s="322" t="s">
        <v>5606</v>
      </c>
      <c r="B139" s="322" t="s">
        <v>77</v>
      </c>
      <c r="C139" s="322" t="s">
        <v>5627</v>
      </c>
      <c r="D139" s="322" t="s">
        <v>5628</v>
      </c>
      <c r="E139" s="322" t="s">
        <v>5629</v>
      </c>
      <c r="F139" s="322" t="s">
        <v>5630</v>
      </c>
      <c r="G139" s="578" t="s">
        <v>5678</v>
      </c>
      <c r="H139" s="578"/>
      <c r="I139" s="578"/>
      <c r="J139" s="578"/>
    </row>
    <row r="140" spans="1:10">
      <c r="A140" s="328" t="s">
        <v>153</v>
      </c>
      <c r="B140" s="324" t="s">
        <v>484</v>
      </c>
      <c r="C140" s="324"/>
      <c r="D140" s="324"/>
      <c r="E140" s="324"/>
      <c r="F140" s="325" t="str">
        <f>IFERROR(D140/C140,"")</f>
        <v/>
      </c>
      <c r="G140" s="572"/>
      <c r="H140" s="572"/>
      <c r="I140" s="572"/>
      <c r="J140" s="572"/>
    </row>
    <row r="141" spans="1:10">
      <c r="A141" s="335" t="s">
        <v>155</v>
      </c>
      <c r="B141" s="332" t="s">
        <v>484</v>
      </c>
      <c r="C141" s="332"/>
      <c r="D141" s="332"/>
      <c r="E141" s="332"/>
      <c r="F141" s="327" t="str">
        <f>IFERROR(D141/C141,"")</f>
        <v/>
      </c>
      <c r="G141" s="572"/>
      <c r="H141" s="572"/>
      <c r="I141" s="572"/>
      <c r="J141" s="572"/>
    </row>
    <row r="142" spans="1:10">
      <c r="A142" s="328" t="s">
        <v>4821</v>
      </c>
      <c r="B142" s="324" t="s">
        <v>484</v>
      </c>
      <c r="C142" s="324"/>
      <c r="D142" s="324"/>
      <c r="E142" s="324"/>
      <c r="F142" s="325" t="str">
        <f>IFERROR(D142/C142,"")</f>
        <v/>
      </c>
      <c r="G142" s="572"/>
      <c r="H142" s="572"/>
      <c r="I142" s="572"/>
      <c r="J142" s="572"/>
    </row>
    <row r="143" spans="1:10">
      <c r="A143" s="335" t="s">
        <v>957</v>
      </c>
      <c r="B143" s="332" t="s">
        <v>484</v>
      </c>
      <c r="C143" s="332"/>
      <c r="D143" s="332"/>
      <c r="E143" s="332"/>
      <c r="F143" s="327" t="str">
        <f>IFERROR(D143/C143,"")</f>
        <v/>
      </c>
      <c r="G143" s="572"/>
      <c r="H143" s="572"/>
      <c r="I143" s="572"/>
      <c r="J143" s="572"/>
    </row>
    <row r="144" spans="1:10">
      <c r="A144" s="597" t="s">
        <v>5649</v>
      </c>
      <c r="B144" s="597"/>
      <c r="C144" s="597"/>
      <c r="D144" s="597"/>
      <c r="E144" s="589" t="s">
        <v>5650</v>
      </c>
      <c r="F144" s="589"/>
      <c r="G144" s="589"/>
      <c r="H144" s="589"/>
      <c r="I144" s="589"/>
      <c r="J144" s="589"/>
    </row>
    <row r="145" spans="1:10">
      <c r="A145" s="597"/>
      <c r="B145" s="597"/>
      <c r="C145" s="597"/>
      <c r="D145" s="597"/>
      <c r="E145" s="589"/>
      <c r="F145" s="589"/>
      <c r="G145" s="589"/>
      <c r="H145" s="589"/>
      <c r="I145" s="589"/>
      <c r="J145" s="589"/>
    </row>
    <row r="146" spans="1:10">
      <c r="A146" s="575" t="s">
        <v>5672</v>
      </c>
      <c r="B146" s="575"/>
      <c r="C146" s="575"/>
      <c r="D146" s="575"/>
      <c r="E146" s="575"/>
      <c r="F146" s="575"/>
      <c r="G146" s="575"/>
      <c r="H146" s="575"/>
      <c r="I146" s="575"/>
      <c r="J146" s="575"/>
    </row>
    <row r="147" spans="1:10">
      <c r="A147" s="322" t="s">
        <v>4946</v>
      </c>
      <c r="B147" s="322" t="s">
        <v>77</v>
      </c>
      <c r="C147" s="322" t="s">
        <v>5638</v>
      </c>
      <c r="D147" s="322" t="s">
        <v>482</v>
      </c>
      <c r="E147" s="322" t="s">
        <v>572</v>
      </c>
      <c r="F147" s="322" t="s">
        <v>944</v>
      </c>
      <c r="G147" s="578" t="s">
        <v>5640</v>
      </c>
      <c r="H147" s="578"/>
      <c r="I147" s="578"/>
      <c r="J147" s="578"/>
    </row>
    <row r="148" spans="1:10" ht="25.5">
      <c r="A148" s="328" t="s">
        <v>5607</v>
      </c>
      <c r="B148" s="324" t="s">
        <v>484</v>
      </c>
      <c r="C148" s="324" t="s">
        <v>392</v>
      </c>
      <c r="D148" s="324" t="s">
        <v>1096</v>
      </c>
      <c r="E148" s="324">
        <f t="shared" ref="E148:E153" si="1">IF(D148="Yes",1,0)</f>
        <v>0</v>
      </c>
      <c r="F148" s="324"/>
      <c r="G148" s="572"/>
      <c r="H148" s="572"/>
      <c r="I148" s="572"/>
      <c r="J148" s="572"/>
    </row>
    <row r="149" spans="1:10">
      <c r="A149" s="335" t="s">
        <v>5608</v>
      </c>
      <c r="B149" s="324" t="s">
        <v>484</v>
      </c>
      <c r="C149" s="332" t="s">
        <v>392</v>
      </c>
      <c r="D149" s="324" t="s">
        <v>1096</v>
      </c>
      <c r="E149" s="332">
        <f t="shared" si="1"/>
        <v>0</v>
      </c>
      <c r="F149" s="332"/>
      <c r="G149" s="572"/>
      <c r="H149" s="572"/>
      <c r="I149" s="572"/>
      <c r="J149" s="572"/>
    </row>
    <row r="150" spans="1:10" ht="25.5">
      <c r="A150" s="328" t="s">
        <v>5609</v>
      </c>
      <c r="B150" s="324" t="s">
        <v>484</v>
      </c>
      <c r="C150" s="324" t="s">
        <v>392</v>
      </c>
      <c r="D150" s="324" t="s">
        <v>1096</v>
      </c>
      <c r="E150" s="324">
        <f t="shared" si="1"/>
        <v>0</v>
      </c>
      <c r="F150" s="324"/>
      <c r="G150" s="572"/>
      <c r="H150" s="572"/>
      <c r="I150" s="572"/>
      <c r="J150" s="572"/>
    </row>
    <row r="151" spans="1:10">
      <c r="A151" s="335" t="s">
        <v>5631</v>
      </c>
      <c r="B151" s="324" t="s">
        <v>484</v>
      </c>
      <c r="C151" s="332" t="s">
        <v>392</v>
      </c>
      <c r="D151" s="324" t="s">
        <v>1096</v>
      </c>
      <c r="E151" s="332">
        <f t="shared" si="1"/>
        <v>0</v>
      </c>
      <c r="F151" s="332"/>
      <c r="G151" s="572"/>
      <c r="H151" s="572"/>
      <c r="I151" s="572"/>
      <c r="J151" s="572"/>
    </row>
    <row r="152" spans="1:10" ht="27.75" customHeight="1">
      <c r="A152" s="328" t="s">
        <v>5632</v>
      </c>
      <c r="B152" s="324" t="s">
        <v>484</v>
      </c>
      <c r="C152" s="324" t="s">
        <v>392</v>
      </c>
      <c r="D152" s="324" t="s">
        <v>1096</v>
      </c>
      <c r="E152" s="324">
        <f t="shared" si="1"/>
        <v>0</v>
      </c>
      <c r="F152" s="324"/>
      <c r="G152" s="572"/>
      <c r="H152" s="572"/>
      <c r="I152" s="572"/>
      <c r="J152" s="572"/>
    </row>
    <row r="153" spans="1:10" ht="29.25" customHeight="1">
      <c r="A153" s="335" t="s">
        <v>5633</v>
      </c>
      <c r="B153" s="324" t="s">
        <v>484</v>
      </c>
      <c r="C153" s="332" t="s">
        <v>392</v>
      </c>
      <c r="D153" s="332" t="s">
        <v>1096</v>
      </c>
      <c r="E153" s="332">
        <f t="shared" si="1"/>
        <v>0</v>
      </c>
      <c r="F153" s="332"/>
      <c r="G153" s="572"/>
      <c r="H153" s="572"/>
      <c r="I153" s="572"/>
      <c r="J153" s="572"/>
    </row>
    <row r="154" spans="1:10" ht="15.75">
      <c r="A154" s="930" t="s">
        <v>5651</v>
      </c>
      <c r="B154" s="586"/>
      <c r="C154" s="587">
        <f>IFERROR(SUM(E148:E153)/COUNTIF(C148:C153,"Yes"),"")</f>
        <v>0</v>
      </c>
      <c r="D154" s="588"/>
      <c r="E154" s="589" t="s">
        <v>5652</v>
      </c>
      <c r="F154" s="589"/>
      <c r="G154" s="589"/>
      <c r="H154" s="589"/>
      <c r="I154" s="589"/>
      <c r="J154" s="589"/>
    </row>
    <row r="155" spans="1:10" ht="20.25" customHeight="1">
      <c r="A155" s="192"/>
      <c r="B155" s="192"/>
      <c r="C155" s="192"/>
      <c r="D155" s="192"/>
      <c r="E155" s="192"/>
      <c r="F155" s="192"/>
      <c r="G155" s="192"/>
      <c r="H155" s="192"/>
      <c r="I155" s="192"/>
      <c r="J155" s="192"/>
    </row>
    <row r="156" spans="1:10">
      <c r="A156" s="575" t="s">
        <v>5673</v>
      </c>
      <c r="B156" s="582"/>
      <c r="C156" s="582"/>
      <c r="D156" s="317"/>
      <c r="E156" s="317"/>
      <c r="F156" s="317"/>
      <c r="G156" s="317"/>
      <c r="H156" s="317"/>
      <c r="I156" s="317"/>
      <c r="J156" s="317"/>
    </row>
    <row r="157" spans="1:10" ht="38.25">
      <c r="A157" s="318" t="s">
        <v>905</v>
      </c>
      <c r="B157" s="318" t="s">
        <v>830</v>
      </c>
      <c r="C157" s="318"/>
      <c r="D157" s="318"/>
      <c r="E157" s="318"/>
      <c r="F157" s="318"/>
      <c r="G157" s="318"/>
      <c r="H157" s="318"/>
      <c r="I157" s="318"/>
      <c r="J157" s="318"/>
    </row>
    <row r="158" spans="1:10">
      <c r="A158" s="315" t="s">
        <v>1086</v>
      </c>
      <c r="B158" s="594" t="s">
        <v>3292</v>
      </c>
      <c r="C158" s="582"/>
      <c r="D158" s="582"/>
      <c r="E158" s="582"/>
      <c r="F158" s="582"/>
      <c r="G158" s="582"/>
      <c r="H158" s="582"/>
      <c r="I158" s="582"/>
      <c r="J158" s="582"/>
    </row>
    <row r="159" spans="1:10" ht="25.5">
      <c r="A159" s="315" t="s">
        <v>2090</v>
      </c>
      <c r="B159" s="594" t="s">
        <v>3293</v>
      </c>
      <c r="C159" s="582"/>
      <c r="D159" s="582"/>
      <c r="E159" s="582"/>
      <c r="F159" s="582"/>
      <c r="G159" s="582"/>
      <c r="H159" s="582"/>
      <c r="I159" s="582"/>
      <c r="J159" s="582"/>
    </row>
    <row r="160" spans="1:10">
      <c r="A160" s="315" t="s">
        <v>1089</v>
      </c>
      <c r="B160" s="594" t="s">
        <v>3294</v>
      </c>
      <c r="C160" s="582"/>
      <c r="D160" s="582"/>
      <c r="E160" s="582"/>
      <c r="F160" s="582"/>
      <c r="G160" s="582"/>
      <c r="H160" s="582"/>
      <c r="I160" s="582"/>
      <c r="J160" s="582"/>
    </row>
    <row r="161" spans="1:10">
      <c r="A161" s="315" t="s">
        <v>1090</v>
      </c>
      <c r="B161" s="594" t="s">
        <v>3295</v>
      </c>
      <c r="C161" s="582"/>
      <c r="D161" s="582"/>
      <c r="E161" s="582"/>
      <c r="F161" s="582"/>
      <c r="G161" s="582"/>
      <c r="H161" s="582"/>
      <c r="I161" s="582"/>
      <c r="J161" s="582"/>
    </row>
    <row r="162" spans="1:10">
      <c r="A162" s="315" t="s">
        <v>1088</v>
      </c>
      <c r="B162" s="594" t="s">
        <v>3296</v>
      </c>
      <c r="C162" s="582"/>
      <c r="D162" s="582"/>
      <c r="E162" s="582"/>
      <c r="F162" s="582"/>
      <c r="G162" s="582"/>
      <c r="H162" s="582"/>
      <c r="I162" s="582"/>
      <c r="J162" s="582"/>
    </row>
    <row r="163" spans="1:10" ht="25.5">
      <c r="A163" s="315" t="s">
        <v>3297</v>
      </c>
      <c r="B163" s="594" t="s">
        <v>3298</v>
      </c>
      <c r="C163" s="582"/>
      <c r="D163" s="582"/>
      <c r="E163" s="582"/>
      <c r="F163" s="582"/>
      <c r="G163" s="582"/>
      <c r="H163" s="582"/>
      <c r="I163" s="582"/>
      <c r="J163" s="582"/>
    </row>
    <row r="164" spans="1:10">
      <c r="A164" s="315" t="s">
        <v>1563</v>
      </c>
      <c r="B164" s="594" t="s">
        <v>1776</v>
      </c>
      <c r="C164" s="582"/>
      <c r="D164" s="582"/>
      <c r="E164" s="582"/>
      <c r="F164" s="582"/>
      <c r="G164" s="582"/>
      <c r="H164" s="582"/>
      <c r="I164" s="582"/>
      <c r="J164" s="582"/>
    </row>
    <row r="165" spans="1:10">
      <c r="A165" s="227"/>
      <c r="B165" s="227"/>
      <c r="C165" s="227"/>
      <c r="D165" s="227"/>
      <c r="E165" s="227"/>
      <c r="F165" s="227"/>
      <c r="G165" s="227"/>
      <c r="H165" s="227"/>
      <c r="I165" s="227"/>
      <c r="J165" s="227"/>
    </row>
    <row r="166" spans="1:10" ht="18">
      <c r="A166" s="598" t="s">
        <v>5562</v>
      </c>
      <c r="B166" s="598"/>
      <c r="C166" s="598"/>
      <c r="D166" s="598"/>
      <c r="E166" s="598"/>
      <c r="F166" s="598"/>
      <c r="G166" s="598"/>
      <c r="H166" s="598"/>
      <c r="I166" s="227"/>
      <c r="J166" s="227"/>
    </row>
    <row r="167" spans="1:10">
      <c r="A167" s="272" t="s">
        <v>2</v>
      </c>
      <c r="B167" s="591" t="s">
        <v>5563</v>
      </c>
      <c r="C167" s="591"/>
      <c r="D167" s="591"/>
      <c r="E167" s="591"/>
      <c r="F167" s="591"/>
      <c r="G167" s="591"/>
      <c r="H167" s="591"/>
      <c r="I167" s="227"/>
      <c r="J167" s="227"/>
    </row>
    <row r="168" spans="1:10">
      <c r="A168" s="272" t="s">
        <v>5564</v>
      </c>
      <c r="B168" s="591" t="s">
        <v>5565</v>
      </c>
      <c r="C168" s="591"/>
      <c r="D168" s="591"/>
      <c r="E168" s="591"/>
      <c r="F168" s="591"/>
      <c r="G168" s="591"/>
      <c r="H168" s="591"/>
      <c r="I168" s="227"/>
      <c r="J168" s="227"/>
    </row>
    <row r="169" spans="1:10">
      <c r="A169" s="192"/>
      <c r="B169" s="192"/>
      <c r="C169" s="192"/>
      <c r="D169" s="192"/>
      <c r="E169" s="192"/>
      <c r="F169" s="192"/>
      <c r="G169" s="192"/>
      <c r="H169" s="192"/>
      <c r="I169" s="227"/>
      <c r="J169" s="227"/>
    </row>
    <row r="170" spans="1:10">
      <c r="A170" s="319" t="s">
        <v>4946</v>
      </c>
      <c r="B170" s="319" t="s">
        <v>77</v>
      </c>
      <c r="C170" s="319" t="s">
        <v>5566</v>
      </c>
      <c r="D170" s="319" t="s">
        <v>263</v>
      </c>
      <c r="E170" s="319" t="s">
        <v>216</v>
      </c>
      <c r="F170" s="319" t="s">
        <v>5567</v>
      </c>
      <c r="G170" s="319" t="s">
        <v>5568</v>
      </c>
      <c r="H170" s="319" t="s">
        <v>5569</v>
      </c>
      <c r="I170" s="227"/>
      <c r="J170" s="227"/>
    </row>
    <row r="171" spans="1:10" ht="25.5">
      <c r="A171" s="273" t="s">
        <v>5570</v>
      </c>
      <c r="B171" s="274" t="s">
        <v>1096</v>
      </c>
      <c r="C171" s="273"/>
      <c r="D171" s="273"/>
      <c r="E171" s="273"/>
      <c r="F171" s="273"/>
      <c r="G171" s="275" t="str">
        <f t="shared" ref="G171:G178" si="2">IF(OR(B171="Yes",B171="N/A"),"🟢","🟡")</f>
        <v>🟡</v>
      </c>
      <c r="H171" s="273"/>
      <c r="I171" s="227"/>
      <c r="J171" s="227"/>
    </row>
    <row r="172" spans="1:10">
      <c r="A172" s="273" t="s">
        <v>5571</v>
      </c>
      <c r="B172" s="274" t="s">
        <v>1096</v>
      </c>
      <c r="C172" s="273"/>
      <c r="D172" s="273"/>
      <c r="E172" s="273"/>
      <c r="F172" s="273"/>
      <c r="G172" s="275" t="str">
        <f t="shared" si="2"/>
        <v>🟡</v>
      </c>
      <c r="H172" s="273"/>
      <c r="I172" s="227"/>
      <c r="J172" s="227"/>
    </row>
    <row r="173" spans="1:10">
      <c r="A173" s="273" t="s">
        <v>5572</v>
      </c>
      <c r="B173" s="274" t="s">
        <v>1096</v>
      </c>
      <c r="C173" s="273"/>
      <c r="D173" s="273"/>
      <c r="E173" s="273"/>
      <c r="F173" s="273"/>
      <c r="G173" s="275" t="str">
        <f t="shared" si="2"/>
        <v>🟡</v>
      </c>
      <c r="H173" s="273"/>
      <c r="I173" s="227"/>
      <c r="J173" s="227"/>
    </row>
    <row r="174" spans="1:10">
      <c r="A174" s="273" t="s">
        <v>5168</v>
      </c>
      <c r="B174" s="274" t="s">
        <v>1096</v>
      </c>
      <c r="C174" s="273"/>
      <c r="D174" s="273"/>
      <c r="E174" s="273"/>
      <c r="F174" s="273"/>
      <c r="G174" s="275" t="str">
        <f t="shared" si="2"/>
        <v>🟡</v>
      </c>
      <c r="H174" s="273"/>
      <c r="I174" s="227"/>
      <c r="J174" s="227"/>
    </row>
    <row r="175" spans="1:10">
      <c r="A175" s="273" t="s">
        <v>5573</v>
      </c>
      <c r="B175" s="274" t="s">
        <v>1096</v>
      </c>
      <c r="C175" s="273"/>
      <c r="D175" s="273"/>
      <c r="E175" s="273"/>
      <c r="F175" s="273"/>
      <c r="G175" s="275" t="str">
        <f t="shared" si="2"/>
        <v>🟡</v>
      </c>
      <c r="H175" s="273"/>
      <c r="I175" s="227"/>
      <c r="J175" s="227"/>
    </row>
    <row r="176" spans="1:10">
      <c r="A176" s="273" t="s">
        <v>5574</v>
      </c>
      <c r="B176" s="274" t="s">
        <v>1096</v>
      </c>
      <c r="C176" s="273"/>
      <c r="D176" s="273"/>
      <c r="E176" s="273"/>
      <c r="F176" s="273"/>
      <c r="G176" s="275" t="str">
        <f t="shared" si="2"/>
        <v>🟡</v>
      </c>
      <c r="H176" s="273"/>
      <c r="I176" s="227"/>
      <c r="J176" s="227"/>
    </row>
    <row r="177" spans="1:10">
      <c r="A177" s="273" t="s">
        <v>178</v>
      </c>
      <c r="B177" s="274" t="s">
        <v>1096</v>
      </c>
      <c r="C177" s="273"/>
      <c r="D177" s="273"/>
      <c r="E177" s="273"/>
      <c r="F177" s="273"/>
      <c r="G177" s="275" t="str">
        <f t="shared" si="2"/>
        <v>🟡</v>
      </c>
      <c r="H177" s="273"/>
      <c r="I177" s="227"/>
      <c r="J177" s="227"/>
    </row>
    <row r="178" spans="1:10" ht="25.5">
      <c r="A178" s="273" t="s">
        <v>5575</v>
      </c>
      <c r="B178" s="274" t="s">
        <v>1096</v>
      </c>
      <c r="C178" s="273"/>
      <c r="D178" s="273"/>
      <c r="E178" s="273"/>
      <c r="F178" s="273"/>
      <c r="G178" s="275" t="str">
        <f t="shared" si="2"/>
        <v>🟡</v>
      </c>
      <c r="H178" s="273"/>
      <c r="I178" s="227"/>
      <c r="J178" s="227"/>
    </row>
    <row r="179" spans="1:10">
      <c r="A179" s="320" t="s">
        <v>4946</v>
      </c>
      <c r="B179" s="320" t="s">
        <v>5583</v>
      </c>
      <c r="C179" s="192"/>
      <c r="D179" s="192"/>
      <c r="E179" s="320" t="s">
        <v>5584</v>
      </c>
      <c r="F179" s="192"/>
      <c r="G179" s="192"/>
      <c r="H179" s="192"/>
      <c r="I179" s="227"/>
      <c r="J179" s="227"/>
    </row>
    <row r="180" spans="1:10" ht="25.5">
      <c r="A180" s="287" t="s">
        <v>5570</v>
      </c>
      <c r="B180" s="577" t="s">
        <v>5585</v>
      </c>
      <c r="C180" s="577"/>
      <c r="D180" s="577"/>
      <c r="E180" s="577" t="s">
        <v>5586</v>
      </c>
      <c r="F180" s="577"/>
      <c r="G180" s="577"/>
      <c r="H180" s="192"/>
      <c r="I180" s="227"/>
      <c r="J180" s="227"/>
    </row>
    <row r="181" spans="1:10">
      <c r="A181" s="287" t="s">
        <v>5571</v>
      </c>
      <c r="B181" s="577" t="s">
        <v>5587</v>
      </c>
      <c r="C181" s="577"/>
      <c r="D181" s="577"/>
      <c r="E181" s="577" t="s">
        <v>5588</v>
      </c>
      <c r="F181" s="577"/>
      <c r="G181" s="577"/>
      <c r="H181" s="192"/>
      <c r="I181" s="227"/>
      <c r="J181" s="227"/>
    </row>
    <row r="182" spans="1:10">
      <c r="A182" s="287" t="s">
        <v>5572</v>
      </c>
      <c r="B182" s="577" t="s">
        <v>5589</v>
      </c>
      <c r="C182" s="577"/>
      <c r="D182" s="577"/>
      <c r="E182" s="577" t="s">
        <v>5590</v>
      </c>
      <c r="F182" s="577"/>
      <c r="G182" s="577"/>
      <c r="H182" s="192"/>
      <c r="I182" s="227"/>
      <c r="J182" s="227"/>
    </row>
    <row r="183" spans="1:10">
      <c r="A183" s="287" t="s">
        <v>5168</v>
      </c>
      <c r="B183" s="577" t="s">
        <v>5591</v>
      </c>
      <c r="C183" s="577"/>
      <c r="D183" s="577"/>
      <c r="E183" s="577" t="s">
        <v>5592</v>
      </c>
      <c r="F183" s="577"/>
      <c r="G183" s="577"/>
      <c r="H183" s="192"/>
      <c r="I183" s="227"/>
      <c r="J183" s="227"/>
    </row>
    <row r="184" spans="1:10">
      <c r="A184" s="287" t="s">
        <v>5573</v>
      </c>
      <c r="B184" s="577" t="s">
        <v>5593</v>
      </c>
      <c r="C184" s="577"/>
      <c r="D184" s="577"/>
      <c r="E184" s="577" t="s">
        <v>5594</v>
      </c>
      <c r="F184" s="577"/>
      <c r="G184" s="577"/>
      <c r="H184" s="192"/>
      <c r="I184" s="227"/>
      <c r="J184" s="227"/>
    </row>
    <row r="185" spans="1:10">
      <c r="A185" s="287" t="s">
        <v>5574</v>
      </c>
      <c r="B185" s="577" t="s">
        <v>5595</v>
      </c>
      <c r="C185" s="577"/>
      <c r="D185" s="577"/>
      <c r="E185" s="577" t="s">
        <v>5596</v>
      </c>
      <c r="F185" s="577"/>
      <c r="G185" s="577"/>
      <c r="H185" s="192"/>
      <c r="I185" s="227"/>
      <c r="J185" s="227"/>
    </row>
    <row r="186" spans="1:10">
      <c r="A186" s="287" t="s">
        <v>178</v>
      </c>
      <c r="B186" s="577" t="s">
        <v>5597</v>
      </c>
      <c r="C186" s="577"/>
      <c r="D186" s="577"/>
      <c r="E186" s="577" t="s">
        <v>5598</v>
      </c>
      <c r="F186" s="577"/>
      <c r="G186" s="577"/>
      <c r="H186" s="192"/>
      <c r="I186" s="227"/>
      <c r="J186" s="227"/>
    </row>
    <row r="187" spans="1:10" ht="25.5">
      <c r="A187" s="287" t="s">
        <v>5575</v>
      </c>
      <c r="B187" s="577" t="s">
        <v>5599</v>
      </c>
      <c r="C187" s="577"/>
      <c r="D187" s="577"/>
      <c r="E187" s="577" t="s">
        <v>5600</v>
      </c>
      <c r="F187" s="577"/>
      <c r="G187" s="577"/>
      <c r="H187" s="192"/>
      <c r="I187" s="227"/>
      <c r="J187" s="227"/>
    </row>
    <row r="188" spans="1:10">
      <c r="A188" s="272" t="s">
        <v>5576</v>
      </c>
      <c r="B188" s="276" t="str">
        <f>IF(COUNTIF(B171:B178,"No")=0,"🟢 PILOT COMPLETE / ACCEPTANCE READY","🟡 NOT COMPLETE — ACCEPTANCE GATES OPEN")</f>
        <v>🟡 NOT COMPLETE — ACCEPTANCE GATES OPEN</v>
      </c>
      <c r="C188" s="276"/>
      <c r="D188" s="276"/>
      <c r="E188" s="276"/>
      <c r="F188" s="276"/>
      <c r="G188" s="276"/>
      <c r="H188" s="276"/>
    </row>
    <row r="189" spans="1:10">
      <c r="A189" s="272" t="s">
        <v>5577</v>
      </c>
      <c r="B189" s="276">
        <f>COUNTIF(B171:B178,"No")</f>
        <v>8</v>
      </c>
      <c r="C189" s="276"/>
      <c r="D189" s="276"/>
      <c r="E189" s="276"/>
      <c r="F189" s="276"/>
      <c r="G189" s="276"/>
      <c r="H189" s="276"/>
    </row>
    <row r="190" spans="1:10">
      <c r="A190" s="272" t="s">
        <v>5578</v>
      </c>
      <c r="B190" s="276" t="str">
        <f>COUNTIF(B171:B178,"Yes")&amp;" / 8 Complete"</f>
        <v>0 / 8 Complete</v>
      </c>
      <c r="C190" s="276"/>
      <c r="D190" s="276"/>
      <c r="E190" s="276"/>
      <c r="F190" s="276"/>
      <c r="G190" s="276"/>
      <c r="H190" s="276"/>
    </row>
    <row r="191" spans="1:10" ht="90">
      <c r="A191" s="277" t="s">
        <v>5579</v>
      </c>
      <c r="B191" s="278" t="s">
        <v>5580</v>
      </c>
      <c r="C191" s="278"/>
      <c r="D191" s="278"/>
      <c r="E191" s="278"/>
      <c r="F191" s="278"/>
      <c r="G191" s="278"/>
      <c r="H191" s="278"/>
    </row>
    <row r="192" spans="1:10">
      <c r="A192" s="277"/>
      <c r="B192" s="278"/>
      <c r="C192" s="278"/>
      <c r="D192" s="278"/>
      <c r="E192" s="278"/>
      <c r="F192" s="278"/>
      <c r="G192" s="278"/>
      <c r="H192" s="278"/>
    </row>
    <row r="193" spans="1:10" ht="64.5">
      <c r="A193" s="277" t="s">
        <v>5581</v>
      </c>
      <c r="B193" s="278" t="s">
        <v>5582</v>
      </c>
      <c r="C193" s="278"/>
      <c r="D193" s="278"/>
      <c r="E193" s="278"/>
      <c r="F193" s="278"/>
      <c r="G193" s="278"/>
      <c r="H193" s="278"/>
    </row>
    <row r="194" spans="1:10">
      <c r="A194" s="575" t="s">
        <v>5694</v>
      </c>
      <c r="B194" s="575"/>
      <c r="C194" s="575"/>
      <c r="D194" s="575"/>
      <c r="E194" s="575"/>
      <c r="F194" s="575"/>
      <c r="G194" s="575"/>
      <c r="H194" s="575"/>
      <c r="I194" s="575"/>
      <c r="J194" s="575"/>
    </row>
    <row r="195" spans="1:10">
      <c r="A195" s="336" t="s">
        <v>5679</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5680</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5681</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5682</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5695</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5683</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5684</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5685</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5" t="s">
        <v>5696</v>
      </c>
      <c r="B215" s="575"/>
      <c r="C215" s="575"/>
      <c r="D215" s="575"/>
      <c r="E215" s="575"/>
      <c r="F215" s="575"/>
      <c r="G215" s="575"/>
      <c r="H215" s="575"/>
      <c r="I215" s="575"/>
      <c r="J215" s="575"/>
    </row>
    <row r="216" spans="1:10">
      <c r="A216" s="192"/>
      <c r="B216" s="192"/>
      <c r="C216" s="192"/>
      <c r="D216" s="192"/>
      <c r="E216" s="192"/>
      <c r="F216" s="192"/>
      <c r="G216" s="192"/>
      <c r="H216" s="192"/>
      <c r="I216" s="192"/>
      <c r="J216" s="192"/>
    </row>
    <row r="217" spans="1:10">
      <c r="A217" s="192" t="s">
        <v>5686</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5687</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5688</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5689</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575" t="s">
        <v>5697</v>
      </c>
      <c r="B227" s="575"/>
      <c r="C227" s="575"/>
      <c r="D227" s="575"/>
      <c r="E227" s="575"/>
      <c r="F227" s="575"/>
      <c r="G227" s="575"/>
      <c r="H227" s="575"/>
      <c r="I227" s="575"/>
      <c r="J227" s="575"/>
    </row>
    <row r="228" spans="1:10">
      <c r="A228" s="192"/>
      <c r="B228" s="192"/>
      <c r="C228" s="192"/>
      <c r="D228" s="192"/>
      <c r="E228" s="192"/>
      <c r="F228" s="192"/>
      <c r="G228" s="192"/>
      <c r="H228" s="192"/>
      <c r="I228" s="192"/>
      <c r="J228" s="192"/>
    </row>
    <row r="229" spans="1:10">
      <c r="A229" s="192" t="s">
        <v>5690</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5691</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5692</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t="s">
        <v>5693</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337"/>
      <c r="B247" s="337"/>
      <c r="C247" s="337"/>
      <c r="D247" s="337"/>
      <c r="E247" s="337"/>
      <c r="F247" s="337"/>
      <c r="G247" s="337"/>
      <c r="H247" s="337"/>
      <c r="I247" s="337"/>
      <c r="J247" s="337"/>
    </row>
    <row r="248" spans="1:10">
      <c r="A248" s="192"/>
      <c r="B248" s="192"/>
      <c r="C248" s="192"/>
      <c r="D248" s="192"/>
      <c r="E248" s="192"/>
      <c r="F248" s="192"/>
      <c r="G248" s="192"/>
      <c r="H248" s="192"/>
      <c r="I248" s="192"/>
      <c r="J248" s="192"/>
    </row>
    <row r="249" spans="1:10">
      <c r="A249" s="316"/>
      <c r="B249" s="316"/>
      <c r="C249" s="316"/>
      <c r="D249" s="316"/>
      <c r="E249" s="316"/>
      <c r="F249" s="316"/>
      <c r="G249" s="599"/>
      <c r="H249" s="599"/>
      <c r="I249" s="599"/>
      <c r="J249" s="599"/>
    </row>
  </sheetData>
  <mergeCells count="121">
    <mergeCell ref="A227:C227"/>
    <mergeCell ref="D227:F227"/>
    <mergeCell ref="G227:J227"/>
    <mergeCell ref="G249:J249"/>
    <mergeCell ref="A205:C205"/>
    <mergeCell ref="D205:F205"/>
    <mergeCell ref="G205:J205"/>
    <mergeCell ref="A215:C215"/>
    <mergeCell ref="D215:F215"/>
    <mergeCell ref="G215:J215"/>
    <mergeCell ref="B187:D187"/>
    <mergeCell ref="E187:G187"/>
    <mergeCell ref="A194:C194"/>
    <mergeCell ref="D194:F194"/>
    <mergeCell ref="G194:J194"/>
    <mergeCell ref="B184:D184"/>
    <mergeCell ref="E184:G184"/>
    <mergeCell ref="B185:D185"/>
    <mergeCell ref="E185:G185"/>
    <mergeCell ref="B186:D186"/>
    <mergeCell ref="E186:G186"/>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59:J159"/>
    <mergeCell ref="B160:J160"/>
    <mergeCell ref="B161:J161"/>
    <mergeCell ref="B162:J162"/>
    <mergeCell ref="B163:J163"/>
    <mergeCell ref="A154:B154"/>
    <mergeCell ref="C154:D154"/>
    <mergeCell ref="E154:J154"/>
    <mergeCell ref="A156:C156"/>
    <mergeCell ref="B158:J158"/>
    <mergeCell ref="G149:J149"/>
    <mergeCell ref="G150:J150"/>
    <mergeCell ref="G151:J151"/>
    <mergeCell ref="G152:J152"/>
    <mergeCell ref="G153:J153"/>
    <mergeCell ref="A146:C146"/>
    <mergeCell ref="D146:F146"/>
    <mergeCell ref="G146:J146"/>
    <mergeCell ref="G147:J147"/>
    <mergeCell ref="G148:J148"/>
    <mergeCell ref="G140:J140"/>
    <mergeCell ref="G141:J141"/>
    <mergeCell ref="G142:J142"/>
    <mergeCell ref="G143:J143"/>
    <mergeCell ref="A144:D145"/>
    <mergeCell ref="E144:J145"/>
    <mergeCell ref="G137:J137"/>
    <mergeCell ref="A138:C138"/>
    <mergeCell ref="D138:F138"/>
    <mergeCell ref="G138:J138"/>
    <mergeCell ref="G139:J139"/>
    <mergeCell ref="G132:J132"/>
    <mergeCell ref="G133:J133"/>
    <mergeCell ref="G134:J134"/>
    <mergeCell ref="G135:J135"/>
    <mergeCell ref="A136:B136"/>
    <mergeCell ref="C136:D136"/>
    <mergeCell ref="E136:J136"/>
    <mergeCell ref="A129:C129"/>
    <mergeCell ref="D129:F129"/>
    <mergeCell ref="G129:J129"/>
    <mergeCell ref="G130:J130"/>
    <mergeCell ref="G131:J131"/>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11:J111"/>
    <mergeCell ref="G113:J113"/>
    <mergeCell ref="A115:B115"/>
    <mergeCell ref="E115:J115"/>
    <mergeCell ref="A117:C117"/>
    <mergeCell ref="D117:F117"/>
    <mergeCell ref="G117:J117"/>
    <mergeCell ref="A108:C108"/>
    <mergeCell ref="D108:F108"/>
    <mergeCell ref="G108:J108"/>
    <mergeCell ref="G109:J109"/>
    <mergeCell ref="G110:J110"/>
    <mergeCell ref="B106:J106"/>
    <mergeCell ref="B100:J100"/>
    <mergeCell ref="A51:C51"/>
    <mergeCell ref="A98:C98"/>
    <mergeCell ref="B102:J102"/>
    <mergeCell ref="B105:J105"/>
    <mergeCell ref="A69:C69"/>
    <mergeCell ref="A8:C8"/>
    <mergeCell ref="A91:C91"/>
    <mergeCell ref="A1:J1"/>
    <mergeCell ref="B104:J104"/>
    <mergeCell ref="A44:C44"/>
    <mergeCell ref="A58:C58"/>
    <mergeCell ref="D6:J6"/>
    <mergeCell ref="A30:C30"/>
    <mergeCell ref="A16:C16"/>
    <mergeCell ref="A80:C80"/>
    <mergeCell ref="A37:C37"/>
    <mergeCell ref="B101:J101"/>
    <mergeCell ref="B103:J103"/>
    <mergeCell ref="A23:C23"/>
  </mergeCells>
  <conditionalFormatting sqref="B110:B114">
    <cfRule type="expression" dxfId="1386" priority="21">
      <formula>B110="Complete"</formula>
    </cfRule>
    <cfRule type="expression" dxfId="1385" priority="22">
      <formula>B110="In Progress"</formula>
    </cfRule>
    <cfRule type="expression" dxfId="1384" priority="23">
      <formula>B110="At Risk"</formula>
    </cfRule>
    <cfRule type="expression" dxfId="1383" priority="24">
      <formula>B110="Blocked"</formula>
    </cfRule>
    <cfRule type="expression" dxfId="1382" priority="25">
      <formula>B110="Not Started"</formula>
    </cfRule>
  </conditionalFormatting>
  <conditionalFormatting sqref="B119:B126">
    <cfRule type="expression" dxfId="1381" priority="1">
      <formula>B119="Complete"</formula>
    </cfRule>
    <cfRule type="expression" dxfId="1380" priority="2">
      <formula>B119="In Progress"</formula>
    </cfRule>
    <cfRule type="expression" dxfId="1379" priority="3">
      <formula>B119="At Risk"</formula>
    </cfRule>
    <cfRule type="expression" dxfId="1378" priority="4">
      <formula>B119="Blocked"</formula>
    </cfRule>
    <cfRule type="expression" dxfId="1377" priority="5">
      <formula>B119="Not Started"</formula>
    </cfRule>
  </conditionalFormatting>
  <conditionalFormatting sqref="B131:B135">
    <cfRule type="expression" dxfId="1376" priority="30">
      <formula>B131="Not Started"</formula>
    </cfRule>
    <cfRule type="expression" dxfId="1375" priority="29">
      <formula>B131="Blocked"</formula>
    </cfRule>
    <cfRule type="expression" dxfId="1374" priority="28">
      <formula>B131="At Risk"</formula>
    </cfRule>
    <cfRule type="expression" dxfId="1373" priority="27">
      <formula>B131="In Progress"</formula>
    </cfRule>
    <cfRule type="expression" dxfId="1372" priority="26">
      <formula>B131="Complete"</formula>
    </cfRule>
  </conditionalFormatting>
  <conditionalFormatting sqref="B140:B143">
    <cfRule type="expression" dxfId="1371" priority="6">
      <formula>B140="Complete"</formula>
    </cfRule>
    <cfRule type="expression" dxfId="1370" priority="7">
      <formula>B140="In Progress"</formula>
    </cfRule>
    <cfRule type="expression" dxfId="1369" priority="8">
      <formula>B140="At Risk"</formula>
    </cfRule>
    <cfRule type="expression" dxfId="1368" priority="9">
      <formula>B140="Blocked"</formula>
    </cfRule>
    <cfRule type="expression" dxfId="1367" priority="10">
      <formula>B140="Not Started"</formula>
    </cfRule>
  </conditionalFormatting>
  <conditionalFormatting sqref="B148:B153">
    <cfRule type="expression" dxfId="1366" priority="11">
      <formula>B148="Complete"</formula>
    </cfRule>
    <cfRule type="expression" dxfId="1365" priority="12">
      <formula>B148="In Progress"</formula>
    </cfRule>
    <cfRule type="expression" dxfId="1364" priority="13">
      <formula>B148="At Risk"</formula>
    </cfRule>
    <cfRule type="expression" dxfId="1363" priority="14">
      <formula>B148="Blocked"</formula>
    </cfRule>
    <cfRule type="expression" dxfId="1362" priority="15">
      <formula>B148="Not Started"</formula>
    </cfRule>
  </conditionalFormatting>
  <conditionalFormatting sqref="B171:B178">
    <cfRule type="expression" dxfId="1361" priority="109">
      <formula>B171="Yes"</formula>
    </cfRule>
    <cfRule type="expression" dxfId="1360" priority="110">
      <formula>B171="N/A"</formula>
    </cfRule>
    <cfRule type="expression" dxfId="1359" priority="111">
      <formula>B171="No"</formula>
    </cfRule>
  </conditionalFormatting>
  <conditionalFormatting sqref="B188:H188">
    <cfRule type="expression" dxfId="1358" priority="113">
      <formula>COUNTIF($B$6:$B$13,"No")&gt;0</formula>
    </cfRule>
    <cfRule type="expression" dxfId="1357" priority="112">
      <formula>COUNTIF($B$6:$B$13,"No")=0</formula>
    </cfRule>
  </conditionalFormatting>
  <conditionalFormatting sqref="C115:D115">
    <cfRule type="dataBar" priority="37">
      <dataBar>
        <cfvo type="num" val="0"/>
        <cfvo type="num" val="1"/>
        <color rgb="FF5B9BD5"/>
      </dataBar>
    </cfRule>
  </conditionalFormatting>
  <conditionalFormatting sqref="C119:D126">
    <cfRule type="expression" dxfId="1356" priority="32">
      <formula>C119="No"</formula>
    </cfRule>
    <cfRule type="expression" dxfId="1355" priority="31">
      <formula>C119="Yes"</formula>
    </cfRule>
    <cfRule type="expression" dxfId="1354"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353" priority="17">
      <formula>C148="No"</formula>
    </cfRule>
    <cfRule type="expression" dxfId="1352" priority="16">
      <formula>C148="Yes"</formula>
    </cfRule>
    <cfRule type="expression" dxfId="1351"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50" priority="114">
      <formula>E5="Pass"</formula>
    </cfRule>
    <cfRule type="expression" dxfId="1349" priority="115">
      <formula>E5="Verify"</formula>
    </cfRule>
    <cfRule type="expression" dxfId="1348" priority="116">
      <formula>E5="Fail"</formula>
    </cfRule>
    <cfRule type="expression" dxfId="1347" priority="117">
      <formula>E5="Not Started"</formula>
    </cfRule>
  </conditionalFormatting>
  <conditionalFormatting sqref="F3">
    <cfRule type="expression" dxfId="1346" priority="118">
      <formula>F3="Yes"</formula>
    </cfRule>
    <cfRule type="expression" dxfId="1345" priority="119">
      <formula>F3="No"</formula>
    </cfRule>
  </conditionalFormatting>
  <conditionalFormatting sqref="F131:F135">
    <cfRule type="expression" dxfId="1344" priority="35">
      <formula>F131="Fail"</formula>
    </cfRule>
    <cfRule type="expression" dxfId="1343" priority="36">
      <formula>F131="Pending"</formula>
    </cfRule>
    <cfRule type="expression" dxfId="1342" priority="34">
      <formula>F131="Pass"</formula>
    </cfRule>
  </conditionalFormatting>
  <conditionalFormatting sqref="F140:F143">
    <cfRule type="dataBar" priority="19">
      <dataBar>
        <cfvo type="num" val="0"/>
        <cfvo type="num" val="1"/>
        <color rgb="FF5B9BD5"/>
      </dataBar>
    </cfRule>
  </conditionalFormatting>
  <dataValidations count="5">
    <dataValidation type="list" sqref="D71:D78 B5:B6 F5 H5 H10:H15 J5 H101:I106 H156:I157 H159:I164 H16:I99 D5"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Lookup_Lists!$A$36:$A$42</xm:f>
          </x14:formula1>
          <xm:sqref>B110:B114 B119:B126 B148:B153</xm:sqref>
        </x14:dataValidation>
        <x14:dataValidation type="list" allowBlank="1" showInputMessage="1" showErrorMessage="1" xr:uid="{077C15E5-758D-424B-A70F-DF0828A8CA92}">
          <x14:formula1>
            <xm:f>Lookup_Lists!$L$37:$L$39</xm:f>
          </x14:formula1>
          <xm:sqref>C131:E135 J2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H92" sqref="H92:H95"/>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1215</v>
      </c>
      <c r="B1" s="896"/>
      <c r="C1" s="896"/>
      <c r="D1" s="896"/>
      <c r="E1" s="896"/>
      <c r="F1" s="896"/>
      <c r="G1" s="896"/>
      <c r="H1" s="896"/>
      <c r="I1" s="896"/>
      <c r="J1" s="896"/>
    </row>
    <row r="2" spans="1:10" s="223" customFormat="1">
      <c r="A2" s="219" t="s">
        <v>142</v>
      </c>
      <c r="B2" s="220" t="s">
        <v>625</v>
      </c>
      <c r="C2" s="219" t="s">
        <v>902</v>
      </c>
      <c r="D2" s="220" t="s">
        <v>1094</v>
      </c>
      <c r="E2" s="219" t="s">
        <v>151</v>
      </c>
      <c r="F2" s="220" t="s">
        <v>1095</v>
      </c>
      <c r="G2" s="219" t="s">
        <v>174</v>
      </c>
      <c r="H2" s="221">
        <v>0.5</v>
      </c>
      <c r="I2" s="219" t="s">
        <v>154</v>
      </c>
      <c r="J2" s="222" t="s">
        <v>1096</v>
      </c>
    </row>
    <row r="3" spans="1:10" s="227" customFormat="1" ht="25.5">
      <c r="A3" s="219" t="s">
        <v>903</v>
      </c>
      <c r="B3" s="224">
        <v>46199.632157418979</v>
      </c>
      <c r="C3" s="225" t="s">
        <v>904</v>
      </c>
      <c r="D3" s="226" t="s">
        <v>721</v>
      </c>
      <c r="E3" s="219" t="s">
        <v>905</v>
      </c>
      <c r="F3" s="226" t="s">
        <v>1216</v>
      </c>
      <c r="G3" s="219" t="s">
        <v>907</v>
      </c>
      <c r="H3" s="226" t="s">
        <v>908</v>
      </c>
      <c r="I3" s="219" t="s">
        <v>551</v>
      </c>
      <c r="J3" s="226" t="s">
        <v>1217</v>
      </c>
    </row>
    <row r="4" spans="1:10" s="227" customFormat="1" ht="357">
      <c r="A4" s="219" t="s">
        <v>161</v>
      </c>
      <c r="B4" s="226">
        <v>0</v>
      </c>
      <c r="C4" s="219" t="s">
        <v>199</v>
      </c>
      <c r="D4" s="226">
        <v>0</v>
      </c>
      <c r="E4" s="219" t="s">
        <v>179</v>
      </c>
      <c r="F4" s="226">
        <v>0</v>
      </c>
      <c r="G4" s="219" t="s">
        <v>870</v>
      </c>
      <c r="H4" s="228" t="s">
        <v>1218</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 customHeight="1">
      <c r="A6" s="234" t="s">
        <v>916</v>
      </c>
      <c r="B6" s="221" t="s">
        <v>677</v>
      </c>
      <c r="C6" s="235" t="s">
        <v>869</v>
      </c>
      <c r="D6" s="604" t="s">
        <v>1219</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2">
      <c r="A10" s="13" t="s">
        <v>625</v>
      </c>
      <c r="B10" s="13" t="s">
        <v>634</v>
      </c>
      <c r="C10" s="13" t="s">
        <v>919</v>
      </c>
      <c r="D10" s="13" t="s">
        <v>1220</v>
      </c>
      <c r="E10" s="13" t="s">
        <v>356</v>
      </c>
      <c r="F10" s="13">
        <v>2</v>
      </c>
      <c r="G10" s="13">
        <v>1</v>
      </c>
      <c r="H10" s="13" t="s">
        <v>677</v>
      </c>
      <c r="I10" s="13" t="s">
        <v>1221</v>
      </c>
      <c r="J10" s="13" t="s">
        <v>1222</v>
      </c>
    </row>
    <row r="11" spans="1:10" ht="89.25">
      <c r="A11" s="13" t="s">
        <v>625</v>
      </c>
      <c r="B11" s="13" t="s">
        <v>591</v>
      </c>
      <c r="C11" s="13" t="s">
        <v>923</v>
      </c>
      <c r="D11" s="13" t="s">
        <v>1112</v>
      </c>
      <c r="E11" s="13" t="s">
        <v>925</v>
      </c>
      <c r="F11" s="13">
        <v>1</v>
      </c>
      <c r="G11" s="13">
        <v>0</v>
      </c>
      <c r="H11" s="13" t="s">
        <v>677</v>
      </c>
      <c r="I11" s="13" t="s">
        <v>1223</v>
      </c>
      <c r="J11" s="13" t="s">
        <v>1224</v>
      </c>
    </row>
    <row r="12" spans="1:10" ht="102">
      <c r="A12" s="13" t="s">
        <v>625</v>
      </c>
      <c r="B12" s="13" t="s">
        <v>386</v>
      </c>
      <c r="C12" s="13" t="s">
        <v>919</v>
      </c>
      <c r="D12" s="13" t="s">
        <v>1225</v>
      </c>
      <c r="E12" s="13" t="s">
        <v>1226</v>
      </c>
      <c r="F12" s="13">
        <v>1</v>
      </c>
      <c r="G12" s="13">
        <v>0</v>
      </c>
      <c r="H12" s="13" t="s">
        <v>677</v>
      </c>
      <c r="I12" s="13" t="s">
        <v>1227</v>
      </c>
      <c r="J12" s="13" t="s">
        <v>1228</v>
      </c>
    </row>
    <row r="13" spans="1:10" ht="63.75">
      <c r="A13" s="13" t="s">
        <v>625</v>
      </c>
      <c r="B13" s="13" t="s">
        <v>1229</v>
      </c>
      <c r="C13" s="13" t="s">
        <v>919</v>
      </c>
      <c r="D13" s="13" t="s">
        <v>1230</v>
      </c>
      <c r="E13" s="13" t="s">
        <v>1231</v>
      </c>
      <c r="F13" s="13">
        <v>0</v>
      </c>
      <c r="G13" s="13">
        <v>0</v>
      </c>
      <c r="H13" s="13" t="s">
        <v>677</v>
      </c>
      <c r="I13" s="13" t="s">
        <v>1232</v>
      </c>
      <c r="J13" s="13" t="s">
        <v>1233</v>
      </c>
    </row>
    <row r="14" spans="1:10">
      <c r="A14" s="13"/>
      <c r="B14" s="13"/>
      <c r="C14" s="13"/>
      <c r="D14" s="13"/>
      <c r="E14" s="13"/>
      <c r="F14" s="13"/>
      <c r="G14" s="13"/>
      <c r="H14" s="13"/>
      <c r="I14" s="13"/>
      <c r="J14" s="13"/>
    </row>
    <row r="15" spans="1:10">
      <c r="A15" s="575" t="s">
        <v>936</v>
      </c>
      <c r="B15" s="896"/>
      <c r="C15" s="896"/>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89.25">
      <c r="A17" s="13" t="s">
        <v>634</v>
      </c>
      <c r="B17" s="13" t="s">
        <v>677</v>
      </c>
      <c r="C17" s="13" t="s">
        <v>677</v>
      </c>
      <c r="D17" s="13" t="s">
        <v>677</v>
      </c>
      <c r="E17" s="13" t="s">
        <v>677</v>
      </c>
      <c r="F17" s="13" t="s">
        <v>677</v>
      </c>
      <c r="G17" s="13" t="s">
        <v>677</v>
      </c>
      <c r="H17" s="13" t="s">
        <v>677</v>
      </c>
      <c r="I17" s="13" t="s">
        <v>677</v>
      </c>
      <c r="J17" s="13" t="s">
        <v>1234</v>
      </c>
    </row>
    <row r="18" spans="1:10" ht="63.75">
      <c r="A18" s="13" t="s">
        <v>591</v>
      </c>
      <c r="B18" s="13" t="s">
        <v>946</v>
      </c>
      <c r="C18" s="13" t="s">
        <v>946</v>
      </c>
      <c r="D18" s="13" t="s">
        <v>946</v>
      </c>
      <c r="E18" s="13" t="s">
        <v>677</v>
      </c>
      <c r="F18" s="13" t="s">
        <v>947</v>
      </c>
      <c r="G18" s="13" t="s">
        <v>677</v>
      </c>
      <c r="H18" s="13" t="s">
        <v>677</v>
      </c>
      <c r="I18" s="13" t="s">
        <v>677</v>
      </c>
      <c r="J18" s="13" t="s">
        <v>1235</v>
      </c>
    </row>
    <row r="19" spans="1:10" ht="63.75">
      <c r="A19" s="13" t="s">
        <v>386</v>
      </c>
      <c r="B19" s="13" t="s">
        <v>946</v>
      </c>
      <c r="C19" s="13" t="s">
        <v>946</v>
      </c>
      <c r="D19" s="13" t="s">
        <v>946</v>
      </c>
      <c r="E19" s="13" t="s">
        <v>677</v>
      </c>
      <c r="F19" s="13" t="s">
        <v>947</v>
      </c>
      <c r="G19" s="13" t="s">
        <v>677</v>
      </c>
      <c r="H19" s="13" t="s">
        <v>677</v>
      </c>
      <c r="I19" s="13" t="s">
        <v>677</v>
      </c>
      <c r="J19" s="13" t="s">
        <v>1236</v>
      </c>
    </row>
    <row r="20" spans="1:10" ht="51">
      <c r="A20" s="13" t="s">
        <v>1237</v>
      </c>
      <c r="B20" s="13" t="s">
        <v>946</v>
      </c>
      <c r="C20" s="13" t="s">
        <v>946</v>
      </c>
      <c r="D20" s="13" t="s">
        <v>946</v>
      </c>
      <c r="E20" s="13" t="s">
        <v>677</v>
      </c>
      <c r="F20" s="13" t="s">
        <v>1238</v>
      </c>
      <c r="G20" s="13" t="s">
        <v>677</v>
      </c>
      <c r="H20" s="13" t="s">
        <v>677</v>
      </c>
      <c r="I20" s="13" t="s">
        <v>677</v>
      </c>
      <c r="J20" s="13" t="s">
        <v>1239</v>
      </c>
    </row>
    <row r="21" spans="1:10">
      <c r="A21" s="13"/>
      <c r="B21" s="13"/>
      <c r="C21" s="13"/>
      <c r="D21" s="13"/>
      <c r="E21" s="13"/>
      <c r="F21" s="13"/>
      <c r="G21" s="13"/>
      <c r="H21" s="13"/>
      <c r="I21" s="13"/>
      <c r="J21" s="13"/>
    </row>
    <row r="22" spans="1:10">
      <c r="A22" s="575" t="s">
        <v>951</v>
      </c>
      <c r="B22" s="896"/>
      <c r="C22" s="896"/>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76.5">
      <c r="A24" s="13" t="s">
        <v>634</v>
      </c>
      <c r="B24" s="13" t="s">
        <v>677</v>
      </c>
      <c r="C24" s="13" t="s">
        <v>677</v>
      </c>
      <c r="D24" s="13" t="s">
        <v>677</v>
      </c>
      <c r="E24" s="13" t="s">
        <v>677</v>
      </c>
      <c r="F24" s="13" t="s">
        <v>677</v>
      </c>
      <c r="G24" s="13" t="s">
        <v>677</v>
      </c>
      <c r="H24" s="13" t="s">
        <v>677</v>
      </c>
      <c r="I24" s="13" t="s">
        <v>677</v>
      </c>
      <c r="J24" s="13" t="s">
        <v>1126</v>
      </c>
    </row>
    <row r="25" spans="1:10" ht="51">
      <c r="A25" s="13" t="s">
        <v>591</v>
      </c>
      <c r="B25" s="13" t="s">
        <v>946</v>
      </c>
      <c r="C25" s="13" t="s">
        <v>679</v>
      </c>
      <c r="D25" s="13" t="s">
        <v>947</v>
      </c>
      <c r="E25" s="13" t="s">
        <v>947</v>
      </c>
      <c r="F25" s="13" t="s">
        <v>677</v>
      </c>
      <c r="G25" s="13" t="s">
        <v>677</v>
      </c>
      <c r="H25" s="13" t="s">
        <v>677</v>
      </c>
      <c r="I25" s="13" t="s">
        <v>677</v>
      </c>
      <c r="J25" s="13" t="s">
        <v>1240</v>
      </c>
    </row>
    <row r="26" spans="1:10" ht="38.25">
      <c r="A26" s="13" t="s">
        <v>386</v>
      </c>
      <c r="B26" s="13" t="s">
        <v>946</v>
      </c>
      <c r="C26" s="13" t="s">
        <v>679</v>
      </c>
      <c r="D26" s="13" t="s">
        <v>947</v>
      </c>
      <c r="E26" s="13" t="s">
        <v>947</v>
      </c>
      <c r="F26" s="13" t="s">
        <v>677</v>
      </c>
      <c r="G26" s="13" t="s">
        <v>677</v>
      </c>
      <c r="H26" s="13" t="s">
        <v>677</v>
      </c>
      <c r="I26" s="13" t="s">
        <v>677</v>
      </c>
      <c r="J26" s="13" t="s">
        <v>1241</v>
      </c>
    </row>
    <row r="27" spans="1:10" ht="51">
      <c r="A27" s="13" t="s">
        <v>1237</v>
      </c>
      <c r="B27" s="13" t="s">
        <v>946</v>
      </c>
      <c r="C27" s="13" t="s">
        <v>679</v>
      </c>
      <c r="D27" s="13" t="s">
        <v>947</v>
      </c>
      <c r="E27" s="13" t="s">
        <v>947</v>
      </c>
      <c r="F27" s="13" t="s">
        <v>679</v>
      </c>
      <c r="G27" s="13" t="s">
        <v>677</v>
      </c>
      <c r="H27" s="13" t="s">
        <v>677</v>
      </c>
      <c r="I27" s="13" t="s">
        <v>677</v>
      </c>
      <c r="J27" s="13" t="s">
        <v>1242</v>
      </c>
    </row>
    <row r="28" spans="1:10">
      <c r="A28" s="13"/>
      <c r="B28" s="13"/>
      <c r="C28" s="13"/>
      <c r="D28" s="13"/>
      <c r="E28" s="13"/>
      <c r="F28" s="13"/>
      <c r="G28" s="13"/>
      <c r="H28" s="13"/>
      <c r="I28" s="13"/>
      <c r="J28" s="13"/>
    </row>
    <row r="29" spans="1:10">
      <c r="A29" s="575" t="s">
        <v>964</v>
      </c>
      <c r="B29" s="896"/>
      <c r="C29" s="896"/>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89.25">
      <c r="A31" s="13" t="s">
        <v>634</v>
      </c>
      <c r="B31" s="13" t="s">
        <v>1243</v>
      </c>
      <c r="C31" s="13" t="s">
        <v>677</v>
      </c>
      <c r="D31" s="13" t="s">
        <v>677</v>
      </c>
      <c r="E31" s="13" t="s">
        <v>677</v>
      </c>
      <c r="F31" s="13" t="s">
        <v>677</v>
      </c>
      <c r="G31" s="13" t="s">
        <v>677</v>
      </c>
      <c r="H31" s="13" t="s">
        <v>677</v>
      </c>
      <c r="I31" s="13" t="s">
        <v>677</v>
      </c>
      <c r="J31" s="13" t="s">
        <v>1244</v>
      </c>
    </row>
    <row r="32" spans="1:10" ht="51">
      <c r="A32" s="13" t="s">
        <v>591</v>
      </c>
      <c r="B32" s="13" t="s">
        <v>946</v>
      </c>
      <c r="C32" s="13" t="s">
        <v>677</v>
      </c>
      <c r="D32" s="13" t="s">
        <v>677</v>
      </c>
      <c r="E32" s="13" t="s">
        <v>677</v>
      </c>
      <c r="F32" s="13" t="s">
        <v>677</v>
      </c>
      <c r="G32" s="13" t="s">
        <v>677</v>
      </c>
      <c r="H32" s="13" t="s">
        <v>677</v>
      </c>
      <c r="I32" s="13" t="s">
        <v>677</v>
      </c>
      <c r="J32" s="13" t="s">
        <v>1245</v>
      </c>
    </row>
    <row r="33" spans="1:10" ht="51">
      <c r="A33" s="13" t="s">
        <v>386</v>
      </c>
      <c r="B33" s="13" t="s">
        <v>946</v>
      </c>
      <c r="C33" s="13" t="s">
        <v>677</v>
      </c>
      <c r="D33" s="13" t="s">
        <v>677</v>
      </c>
      <c r="E33" s="13" t="s">
        <v>677</v>
      </c>
      <c r="F33" s="13" t="s">
        <v>677</v>
      </c>
      <c r="G33" s="13" t="s">
        <v>677</v>
      </c>
      <c r="H33" s="13" t="s">
        <v>677</v>
      </c>
      <c r="I33" s="13" t="s">
        <v>677</v>
      </c>
      <c r="J33" s="13" t="s">
        <v>1246</v>
      </c>
    </row>
    <row r="34" spans="1:10" ht="38.25">
      <c r="A34" s="13" t="s">
        <v>1237</v>
      </c>
      <c r="B34" s="13" t="s">
        <v>679</v>
      </c>
      <c r="C34" s="13" t="s">
        <v>679</v>
      </c>
      <c r="D34" s="13" t="s">
        <v>679</v>
      </c>
      <c r="E34" s="13" t="s">
        <v>679</v>
      </c>
      <c r="F34" s="13" t="s">
        <v>679</v>
      </c>
      <c r="G34" s="13" t="s">
        <v>679</v>
      </c>
      <c r="H34" s="13" t="s">
        <v>679</v>
      </c>
      <c r="I34" s="13" t="s">
        <v>679</v>
      </c>
      <c r="J34" s="13" t="s">
        <v>1247</v>
      </c>
    </row>
    <row r="35" spans="1:10">
      <c r="A35" s="13"/>
      <c r="B35" s="13"/>
      <c r="C35" s="13"/>
      <c r="D35" s="13"/>
      <c r="E35" s="13"/>
      <c r="F35" s="13"/>
      <c r="G35" s="13"/>
      <c r="H35" s="13"/>
      <c r="I35" s="13"/>
      <c r="J35" s="13"/>
    </row>
    <row r="36" spans="1:10">
      <c r="A36" s="575" t="s">
        <v>977</v>
      </c>
      <c r="B36" s="896"/>
      <c r="C36" s="896"/>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76.5">
      <c r="A38" s="13" t="s">
        <v>634</v>
      </c>
      <c r="B38" s="13" t="s">
        <v>677</v>
      </c>
      <c r="C38" s="13" t="s">
        <v>985</v>
      </c>
      <c r="D38" s="13" t="s">
        <v>677</v>
      </c>
      <c r="E38" s="13" t="s">
        <v>677</v>
      </c>
      <c r="F38" s="13" t="s">
        <v>1248</v>
      </c>
      <c r="G38" s="13" t="s">
        <v>677</v>
      </c>
      <c r="H38" s="13" t="s">
        <v>677</v>
      </c>
      <c r="I38" s="13" t="s">
        <v>677</v>
      </c>
      <c r="J38" s="13" t="s">
        <v>1249</v>
      </c>
    </row>
    <row r="39" spans="1:10" ht="51">
      <c r="A39" s="13" t="s">
        <v>591</v>
      </c>
      <c r="B39" s="13" t="s">
        <v>988</v>
      </c>
      <c r="C39" s="13" t="s">
        <v>1250</v>
      </c>
      <c r="D39" s="13" t="s">
        <v>946</v>
      </c>
      <c r="E39" s="13" t="s">
        <v>677</v>
      </c>
      <c r="F39" s="13" t="s">
        <v>946</v>
      </c>
      <c r="G39" s="13" t="s">
        <v>677</v>
      </c>
      <c r="H39" s="13" t="s">
        <v>677</v>
      </c>
      <c r="I39" s="13" t="s">
        <v>677</v>
      </c>
      <c r="J39" s="13" t="s">
        <v>1251</v>
      </c>
    </row>
    <row r="40" spans="1:10" ht="51">
      <c r="A40" s="13" t="s">
        <v>386</v>
      </c>
      <c r="B40" s="13" t="s">
        <v>946</v>
      </c>
      <c r="C40" s="13" t="s">
        <v>946</v>
      </c>
      <c r="D40" s="13" t="s">
        <v>946</v>
      </c>
      <c r="E40" s="13" t="s">
        <v>677</v>
      </c>
      <c r="F40" s="13" t="s">
        <v>1252</v>
      </c>
      <c r="G40" s="13" t="s">
        <v>677</v>
      </c>
      <c r="H40" s="13" t="s">
        <v>677</v>
      </c>
      <c r="I40" s="13" t="s">
        <v>677</v>
      </c>
      <c r="J40" s="13" t="s">
        <v>1253</v>
      </c>
    </row>
    <row r="41" spans="1:10" ht="38.25">
      <c r="A41" s="13" t="s">
        <v>1237</v>
      </c>
      <c r="B41" s="13" t="s">
        <v>679</v>
      </c>
      <c r="C41" s="13" t="s">
        <v>679</v>
      </c>
      <c r="D41" s="13" t="s">
        <v>679</v>
      </c>
      <c r="E41" s="13" t="s">
        <v>679</v>
      </c>
      <c r="F41" s="13" t="s">
        <v>1254</v>
      </c>
      <c r="G41" s="13" t="s">
        <v>679</v>
      </c>
      <c r="H41" s="13" t="s">
        <v>1255</v>
      </c>
      <c r="I41" s="13" t="s">
        <v>677</v>
      </c>
      <c r="J41" s="13" t="s">
        <v>1256</v>
      </c>
    </row>
    <row r="42" spans="1:10">
      <c r="A42" s="13"/>
      <c r="B42" s="13"/>
      <c r="C42" s="13"/>
      <c r="D42" s="13"/>
      <c r="E42" s="13"/>
      <c r="F42" s="13"/>
      <c r="G42" s="13"/>
      <c r="H42" s="13"/>
      <c r="I42" s="13"/>
      <c r="J42" s="13"/>
    </row>
    <row r="43" spans="1:10">
      <c r="A43" s="575" t="s">
        <v>994</v>
      </c>
      <c r="B43" s="896"/>
      <c r="C43" s="896"/>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89.25">
      <c r="A45" s="13" t="s">
        <v>634</v>
      </c>
      <c r="B45" s="13" t="s">
        <v>677</v>
      </c>
      <c r="C45" s="13" t="s">
        <v>677</v>
      </c>
      <c r="D45" s="13" t="s">
        <v>677</v>
      </c>
      <c r="E45" s="13" t="s">
        <v>677</v>
      </c>
      <c r="F45" s="13" t="s">
        <v>677</v>
      </c>
      <c r="G45" s="13" t="s">
        <v>677</v>
      </c>
      <c r="H45" s="13" t="s">
        <v>677</v>
      </c>
      <c r="I45" s="13" t="s">
        <v>677</v>
      </c>
      <c r="J45" s="13" t="s">
        <v>1257</v>
      </c>
    </row>
    <row r="46" spans="1:10" ht="63.75">
      <c r="A46" s="13" t="s">
        <v>591</v>
      </c>
      <c r="B46" s="13" t="s">
        <v>1003</v>
      </c>
      <c r="C46" s="13" t="s">
        <v>988</v>
      </c>
      <c r="D46" s="13" t="s">
        <v>988</v>
      </c>
      <c r="E46" s="13" t="s">
        <v>677</v>
      </c>
      <c r="F46" s="13" t="s">
        <v>677</v>
      </c>
      <c r="G46" s="13" t="s">
        <v>677</v>
      </c>
      <c r="H46" s="13" t="s">
        <v>677</v>
      </c>
      <c r="I46" s="13" t="s">
        <v>677</v>
      </c>
      <c r="J46" s="13" t="s">
        <v>1258</v>
      </c>
    </row>
    <row r="47" spans="1:10" ht="63.75">
      <c r="A47" s="13" t="s">
        <v>386</v>
      </c>
      <c r="B47" s="13" t="s">
        <v>1003</v>
      </c>
      <c r="C47" s="13" t="s">
        <v>988</v>
      </c>
      <c r="D47" s="13" t="s">
        <v>988</v>
      </c>
      <c r="E47" s="13" t="s">
        <v>677</v>
      </c>
      <c r="F47" s="13" t="s">
        <v>677</v>
      </c>
      <c r="G47" s="13" t="s">
        <v>677</v>
      </c>
      <c r="H47" s="13" t="s">
        <v>677</v>
      </c>
      <c r="I47" s="13" t="s">
        <v>677</v>
      </c>
      <c r="J47" s="13" t="s">
        <v>1259</v>
      </c>
    </row>
    <row r="48" spans="1:10" ht="63.75">
      <c r="A48" s="13" t="s">
        <v>1237</v>
      </c>
      <c r="B48" s="13" t="s">
        <v>679</v>
      </c>
      <c r="C48" s="13" t="s">
        <v>1260</v>
      </c>
      <c r="D48" s="13" t="s">
        <v>679</v>
      </c>
      <c r="E48" s="13" t="s">
        <v>679</v>
      </c>
      <c r="F48" s="13" t="s">
        <v>677</v>
      </c>
      <c r="G48" s="13" t="s">
        <v>677</v>
      </c>
      <c r="H48" s="13" t="s">
        <v>677</v>
      </c>
      <c r="I48" s="13" t="s">
        <v>677</v>
      </c>
      <c r="J48" s="13" t="s">
        <v>1261</v>
      </c>
    </row>
    <row r="49" spans="1:10">
      <c r="A49" s="13"/>
      <c r="B49" s="13"/>
      <c r="C49" s="13"/>
      <c r="D49" s="13"/>
      <c r="E49" s="13"/>
      <c r="F49" s="13"/>
      <c r="G49" s="13"/>
      <c r="H49" s="13"/>
      <c r="I49" s="13"/>
      <c r="J49" s="13"/>
    </row>
    <row r="50" spans="1:10">
      <c r="A50" s="575" t="s">
        <v>1007</v>
      </c>
      <c r="B50" s="896"/>
      <c r="C50" s="896"/>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89.25">
      <c r="A52" s="13" t="s">
        <v>634</v>
      </c>
      <c r="B52" s="13" t="s">
        <v>677</v>
      </c>
      <c r="C52" s="13" t="s">
        <v>677</v>
      </c>
      <c r="D52" s="13" t="s">
        <v>677</v>
      </c>
      <c r="E52" s="13" t="s">
        <v>677</v>
      </c>
      <c r="F52" s="13" t="s">
        <v>677</v>
      </c>
      <c r="G52" s="13" t="s">
        <v>677</v>
      </c>
      <c r="H52" s="13" t="s">
        <v>677</v>
      </c>
      <c r="I52" s="13" t="s">
        <v>677</v>
      </c>
      <c r="J52" s="13" t="s">
        <v>1262</v>
      </c>
    </row>
    <row r="53" spans="1:10" ht="51">
      <c r="A53" s="13" t="s">
        <v>386</v>
      </c>
      <c r="B53" s="13" t="s">
        <v>946</v>
      </c>
      <c r="C53" s="13" t="s">
        <v>946</v>
      </c>
      <c r="D53" s="13" t="s">
        <v>946</v>
      </c>
      <c r="E53" s="13" t="s">
        <v>946</v>
      </c>
      <c r="F53" s="13" t="s">
        <v>1263</v>
      </c>
      <c r="G53" s="13" t="s">
        <v>677</v>
      </c>
      <c r="H53" s="13" t="s">
        <v>677</v>
      </c>
      <c r="I53" s="13" t="s">
        <v>677</v>
      </c>
      <c r="J53" s="13" t="s">
        <v>1264</v>
      </c>
    </row>
    <row r="54" spans="1:10" ht="38.25">
      <c r="A54" s="13" t="s">
        <v>591</v>
      </c>
      <c r="B54" s="13" t="s">
        <v>946</v>
      </c>
      <c r="C54" s="13" t="s">
        <v>946</v>
      </c>
      <c r="D54" s="13" t="s">
        <v>946</v>
      </c>
      <c r="E54" s="13" t="s">
        <v>946</v>
      </c>
      <c r="F54" s="13" t="s">
        <v>947</v>
      </c>
      <c r="G54" s="13" t="s">
        <v>947</v>
      </c>
      <c r="H54" s="13" t="s">
        <v>677</v>
      </c>
      <c r="I54" s="13" t="s">
        <v>677</v>
      </c>
      <c r="J54" s="13" t="s">
        <v>1265</v>
      </c>
    </row>
    <row r="55" spans="1:10" ht="51">
      <c r="A55" s="13" t="s">
        <v>1237</v>
      </c>
      <c r="B55" s="13" t="s">
        <v>1238</v>
      </c>
      <c r="C55" s="13" t="s">
        <v>1238</v>
      </c>
      <c r="D55" s="13" t="s">
        <v>1238</v>
      </c>
      <c r="E55" s="13" t="s">
        <v>1238</v>
      </c>
      <c r="F55" s="13" t="s">
        <v>947</v>
      </c>
      <c r="G55" s="13" t="s">
        <v>947</v>
      </c>
      <c r="H55" s="13" t="s">
        <v>677</v>
      </c>
      <c r="I55" s="13" t="s">
        <v>677</v>
      </c>
      <c r="J55" s="13" t="s">
        <v>1266</v>
      </c>
    </row>
    <row r="56" spans="1:10">
      <c r="A56" s="13"/>
      <c r="B56" s="13"/>
      <c r="C56" s="13"/>
      <c r="D56" s="13"/>
      <c r="E56" s="13"/>
      <c r="F56" s="13"/>
      <c r="G56" s="13"/>
      <c r="H56" s="13"/>
      <c r="I56" s="13"/>
      <c r="J56" s="13"/>
    </row>
    <row r="57" spans="1:10">
      <c r="A57" s="575" t="s">
        <v>1019</v>
      </c>
      <c r="B57" s="896"/>
      <c r="C57" s="896"/>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3.75">
      <c r="A59" s="13" t="s">
        <v>1267</v>
      </c>
      <c r="B59" s="13" t="s">
        <v>575</v>
      </c>
      <c r="C59" s="13" t="s">
        <v>1268</v>
      </c>
      <c r="D59" s="13" t="s">
        <v>391</v>
      </c>
      <c r="E59" s="13" t="s">
        <v>488</v>
      </c>
      <c r="F59" s="13">
        <v>6</v>
      </c>
      <c r="G59" s="13" t="s">
        <v>1022</v>
      </c>
      <c r="H59" s="13" t="s">
        <v>1023</v>
      </c>
      <c r="I59" s="13" t="s">
        <v>502</v>
      </c>
      <c r="J59" s="13" t="s">
        <v>1269</v>
      </c>
    </row>
    <row r="60" spans="1:10" ht="89.25">
      <c r="A60" s="13" t="s">
        <v>626</v>
      </c>
      <c r="B60" s="13" t="s">
        <v>627</v>
      </c>
      <c r="C60" s="13" t="s">
        <v>628</v>
      </c>
      <c r="D60" s="13" t="s">
        <v>492</v>
      </c>
      <c r="E60" s="13" t="s">
        <v>488</v>
      </c>
      <c r="F60" s="13">
        <v>8</v>
      </c>
      <c r="G60" s="13" t="s">
        <v>1270</v>
      </c>
      <c r="H60" s="13" t="s">
        <v>584</v>
      </c>
      <c r="I60" s="13" t="s">
        <v>502</v>
      </c>
      <c r="J60" s="13" t="s">
        <v>1271</v>
      </c>
    </row>
    <row r="61" spans="1:10" ht="76.5">
      <c r="A61" s="13" t="s">
        <v>633</v>
      </c>
      <c r="B61" s="13" t="s">
        <v>634</v>
      </c>
      <c r="C61" s="13" t="s">
        <v>614</v>
      </c>
      <c r="D61" s="13" t="s">
        <v>492</v>
      </c>
      <c r="E61" s="13" t="s">
        <v>488</v>
      </c>
      <c r="F61" s="13">
        <v>8</v>
      </c>
      <c r="G61" s="13" t="s">
        <v>1272</v>
      </c>
      <c r="H61" s="13" t="s">
        <v>592</v>
      </c>
      <c r="I61" s="13" t="s">
        <v>502</v>
      </c>
      <c r="J61" s="13" t="s">
        <v>1273</v>
      </c>
    </row>
    <row r="62" spans="1:10" ht="76.5">
      <c r="A62" s="13" t="s">
        <v>1274</v>
      </c>
      <c r="B62" s="13" t="s">
        <v>634</v>
      </c>
      <c r="C62" s="13" t="s">
        <v>1275</v>
      </c>
      <c r="D62" s="13" t="s">
        <v>391</v>
      </c>
      <c r="E62" s="13" t="s">
        <v>488</v>
      </c>
      <c r="F62" s="13">
        <v>6</v>
      </c>
      <c r="G62" s="13" t="s">
        <v>1276</v>
      </c>
      <c r="H62" s="13" t="s">
        <v>1032</v>
      </c>
      <c r="I62" s="13" t="s">
        <v>502</v>
      </c>
      <c r="J62" s="13" t="s">
        <v>1277</v>
      </c>
    </row>
    <row r="63" spans="1:10" ht="76.5">
      <c r="A63" s="13" t="s">
        <v>1278</v>
      </c>
      <c r="B63" s="13" t="s">
        <v>575</v>
      </c>
      <c r="C63" s="13" t="s">
        <v>1279</v>
      </c>
      <c r="D63" s="13" t="s">
        <v>391</v>
      </c>
      <c r="E63" s="13" t="s">
        <v>488</v>
      </c>
      <c r="F63" s="13">
        <v>6</v>
      </c>
      <c r="G63" s="13" t="s">
        <v>1036</v>
      </c>
      <c r="H63" s="13" t="s">
        <v>1037</v>
      </c>
      <c r="I63" s="13" t="s">
        <v>502</v>
      </c>
      <c r="J63" s="13" t="s">
        <v>1280</v>
      </c>
    </row>
    <row r="64" spans="1:10" ht="76.5">
      <c r="A64" s="13" t="s">
        <v>637</v>
      </c>
      <c r="B64" s="13" t="s">
        <v>575</v>
      </c>
      <c r="C64" s="13" t="s">
        <v>638</v>
      </c>
      <c r="D64" s="13" t="s">
        <v>492</v>
      </c>
      <c r="E64" s="13" t="s">
        <v>488</v>
      </c>
      <c r="F64" s="13">
        <v>8</v>
      </c>
      <c r="G64" s="13" t="s">
        <v>1281</v>
      </c>
      <c r="H64" s="13" t="s">
        <v>584</v>
      </c>
      <c r="I64" s="13" t="s">
        <v>502</v>
      </c>
      <c r="J64" s="13" t="s">
        <v>1282</v>
      </c>
    </row>
    <row r="65" spans="1:10" ht="89.25">
      <c r="A65" s="13" t="s">
        <v>1283</v>
      </c>
      <c r="B65" s="13" t="s">
        <v>1284</v>
      </c>
      <c r="C65" s="13" t="s">
        <v>1042</v>
      </c>
      <c r="D65" s="13" t="s">
        <v>391</v>
      </c>
      <c r="E65" s="13" t="s">
        <v>488</v>
      </c>
      <c r="F65" s="13">
        <v>6</v>
      </c>
      <c r="G65" s="13" t="s">
        <v>1285</v>
      </c>
      <c r="H65" s="13" t="s">
        <v>1044</v>
      </c>
      <c r="I65" s="13" t="s">
        <v>502</v>
      </c>
      <c r="J65" s="13" t="s">
        <v>1286</v>
      </c>
    </row>
    <row r="66" spans="1:10" ht="76.5">
      <c r="A66" s="13" t="s">
        <v>1287</v>
      </c>
      <c r="B66" s="13" t="s">
        <v>575</v>
      </c>
      <c r="C66" s="13" t="s">
        <v>1047</v>
      </c>
      <c r="D66" s="13" t="s">
        <v>391</v>
      </c>
      <c r="E66" s="13" t="s">
        <v>488</v>
      </c>
      <c r="F66" s="13">
        <v>6</v>
      </c>
      <c r="G66" s="13" t="s">
        <v>1048</v>
      </c>
      <c r="H66" s="13" t="s">
        <v>1049</v>
      </c>
      <c r="I66" s="13" t="s">
        <v>502</v>
      </c>
      <c r="J66" s="13" t="s">
        <v>1288</v>
      </c>
    </row>
    <row r="67" spans="1:10">
      <c r="A67" s="13"/>
      <c r="B67" s="13"/>
      <c r="C67" s="13"/>
      <c r="D67" s="13"/>
      <c r="E67" s="13"/>
      <c r="F67" s="13"/>
      <c r="G67" s="13"/>
      <c r="H67" s="13"/>
      <c r="I67" s="13"/>
      <c r="J67" s="13"/>
    </row>
    <row r="68" spans="1:10">
      <c r="A68" s="575" t="s">
        <v>1051</v>
      </c>
      <c r="B68" s="896"/>
      <c r="C68" s="896"/>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102">
      <c r="A70" s="13" t="s">
        <v>1289</v>
      </c>
      <c r="B70" s="13" t="s">
        <v>1290</v>
      </c>
      <c r="C70" s="13" t="s">
        <v>579</v>
      </c>
      <c r="D70" s="13" t="s">
        <v>502</v>
      </c>
      <c r="E70" s="13"/>
      <c r="F70" s="13"/>
      <c r="G70" s="13" t="s">
        <v>580</v>
      </c>
      <c r="H70" s="13"/>
      <c r="I70" s="13"/>
      <c r="J70" s="13"/>
    </row>
    <row r="71" spans="1:10" ht="63.75">
      <c r="A71" s="13" t="s">
        <v>1291</v>
      </c>
      <c r="B71" s="13" t="s">
        <v>1292</v>
      </c>
      <c r="C71" s="13" t="s">
        <v>1293</v>
      </c>
      <c r="D71" s="13" t="s">
        <v>502</v>
      </c>
      <c r="E71" s="13"/>
      <c r="F71" s="13"/>
      <c r="G71" s="13" t="s">
        <v>1294</v>
      </c>
      <c r="H71" s="13"/>
      <c r="I71" s="13"/>
      <c r="J71" s="13"/>
    </row>
    <row r="72" spans="1:10" ht="76.5">
      <c r="A72" s="13" t="s">
        <v>1295</v>
      </c>
      <c r="B72" s="13" t="s">
        <v>1296</v>
      </c>
      <c r="C72" s="13" t="s">
        <v>595</v>
      </c>
      <c r="D72" s="13" t="s">
        <v>502</v>
      </c>
      <c r="E72" s="13"/>
      <c r="F72" s="13"/>
      <c r="G72" s="13" t="s">
        <v>596</v>
      </c>
      <c r="H72" s="13"/>
      <c r="I72" s="13"/>
      <c r="J72" s="13"/>
    </row>
    <row r="73" spans="1:10" ht="63.75">
      <c r="A73" s="13" t="s">
        <v>1297</v>
      </c>
      <c r="B73" s="13" t="s">
        <v>1298</v>
      </c>
      <c r="C73" s="13" t="s">
        <v>601</v>
      </c>
      <c r="D73" s="13" t="s">
        <v>502</v>
      </c>
      <c r="E73" s="13"/>
      <c r="F73" s="13"/>
      <c r="G73" s="13" t="s">
        <v>602</v>
      </c>
      <c r="H73" s="13"/>
      <c r="I73" s="13"/>
      <c r="J73" s="13"/>
    </row>
    <row r="74" spans="1:10" ht="63.75">
      <c r="A74" s="13" t="s">
        <v>1299</v>
      </c>
      <c r="B74" s="13" t="s">
        <v>1300</v>
      </c>
      <c r="C74" s="13" t="s">
        <v>609</v>
      </c>
      <c r="D74" s="13" t="s">
        <v>502</v>
      </c>
      <c r="E74" s="13"/>
      <c r="F74" s="13"/>
      <c r="G74" s="13" t="s">
        <v>610</v>
      </c>
      <c r="H74" s="13"/>
      <c r="I74" s="13"/>
      <c r="J74" s="13"/>
    </row>
    <row r="75" spans="1:10" ht="76.5">
      <c r="A75" s="13" t="s">
        <v>1301</v>
      </c>
      <c r="B75" s="13" t="s">
        <v>1302</v>
      </c>
      <c r="C75" s="13" t="s">
        <v>616</v>
      </c>
      <c r="D75" s="13" t="s">
        <v>502</v>
      </c>
      <c r="E75" s="13"/>
      <c r="F75" s="13"/>
      <c r="G75" s="13" t="s">
        <v>617</v>
      </c>
      <c r="H75" s="13"/>
      <c r="I75" s="13"/>
      <c r="J75" s="13"/>
    </row>
    <row r="76" spans="1:10" ht="89.25">
      <c r="A76" s="13" t="s">
        <v>1303</v>
      </c>
      <c r="B76" s="13" t="s">
        <v>624</v>
      </c>
      <c r="C76" s="13" t="s">
        <v>622</v>
      </c>
      <c r="D76" s="13" t="s">
        <v>502</v>
      </c>
      <c r="E76" s="13"/>
      <c r="F76" s="13"/>
      <c r="G76" s="13" t="s">
        <v>623</v>
      </c>
      <c r="H76" s="13"/>
      <c r="I76" s="13"/>
      <c r="J76" s="13"/>
    </row>
    <row r="77" spans="1:10" ht="76.5">
      <c r="A77" s="13" t="s">
        <v>1304</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575" t="s">
        <v>1052</v>
      </c>
      <c r="B79" s="896"/>
      <c r="C79" s="896"/>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89.25">
      <c r="A81" s="13" t="s">
        <v>1305</v>
      </c>
      <c r="B81" s="13" t="s">
        <v>634</v>
      </c>
      <c r="C81" s="13" t="s">
        <v>1054</v>
      </c>
      <c r="D81" s="13" t="s">
        <v>1306</v>
      </c>
      <c r="E81" s="13"/>
      <c r="F81" s="13" t="s">
        <v>229</v>
      </c>
      <c r="G81" s="13"/>
      <c r="H81" s="13" t="s">
        <v>1307</v>
      </c>
      <c r="I81" s="13" t="s">
        <v>502</v>
      </c>
      <c r="J81" s="13"/>
    </row>
    <row r="82" spans="1:10" ht="102">
      <c r="A82" s="13" t="s">
        <v>1308</v>
      </c>
      <c r="B82" s="13" t="s">
        <v>591</v>
      </c>
      <c r="C82" s="13" t="s">
        <v>1058</v>
      </c>
      <c r="D82" s="13" t="s">
        <v>1309</v>
      </c>
      <c r="E82" s="13"/>
      <c r="F82" s="13" t="s">
        <v>229</v>
      </c>
      <c r="G82" s="13"/>
      <c r="H82" s="13" t="s">
        <v>1310</v>
      </c>
      <c r="I82" s="13" t="s">
        <v>502</v>
      </c>
      <c r="J82" s="13"/>
    </row>
    <row r="83" spans="1:10" ht="114.75">
      <c r="A83" s="13" t="s">
        <v>1311</v>
      </c>
      <c r="B83" s="13" t="s">
        <v>386</v>
      </c>
      <c r="C83" s="13" t="s">
        <v>1312</v>
      </c>
      <c r="D83" s="13" t="s">
        <v>1313</v>
      </c>
      <c r="E83" s="13"/>
      <c r="F83" s="13" t="s">
        <v>229</v>
      </c>
      <c r="G83" s="13"/>
      <c r="H83" s="13" t="s">
        <v>1314</v>
      </c>
      <c r="I83" s="13" t="s">
        <v>502</v>
      </c>
      <c r="J83" s="13"/>
    </row>
    <row r="84" spans="1:10" ht="102">
      <c r="A84" s="13" t="s">
        <v>1315</v>
      </c>
      <c r="B84" s="13" t="s">
        <v>1284</v>
      </c>
      <c r="C84" s="13" t="s">
        <v>1316</v>
      </c>
      <c r="D84" s="13" t="s">
        <v>1317</v>
      </c>
      <c r="E84" s="13"/>
      <c r="F84" s="13" t="s">
        <v>229</v>
      </c>
      <c r="G84" s="13"/>
      <c r="H84" s="13" t="s">
        <v>1318</v>
      </c>
      <c r="I84" s="13" t="s">
        <v>502</v>
      </c>
      <c r="J84" s="13"/>
    </row>
    <row r="85" spans="1:10" ht="102">
      <c r="A85" s="13" t="s">
        <v>1319</v>
      </c>
      <c r="B85" s="13" t="s">
        <v>634</v>
      </c>
      <c r="C85" s="13" t="s">
        <v>148</v>
      </c>
      <c r="D85" s="13" t="s">
        <v>1320</v>
      </c>
      <c r="E85" s="13"/>
      <c r="F85" s="13" t="s">
        <v>229</v>
      </c>
      <c r="G85" s="13"/>
      <c r="H85" s="13" t="s">
        <v>633</v>
      </c>
      <c r="I85" s="13" t="s">
        <v>502</v>
      </c>
      <c r="J85" s="13"/>
    </row>
    <row r="86" spans="1:10" ht="102">
      <c r="A86" s="13" t="s">
        <v>1321</v>
      </c>
      <c r="B86" s="13" t="s">
        <v>575</v>
      </c>
      <c r="C86" s="13" t="s">
        <v>1072</v>
      </c>
      <c r="D86" s="13" t="s">
        <v>1322</v>
      </c>
      <c r="E86" s="13"/>
      <c r="F86" s="13" t="s">
        <v>229</v>
      </c>
      <c r="G86" s="13"/>
      <c r="H86" s="13" t="s">
        <v>1278</v>
      </c>
      <c r="I86" s="13" t="s">
        <v>502</v>
      </c>
      <c r="J86" s="13"/>
    </row>
    <row r="87" spans="1:10" ht="102">
      <c r="A87" s="13" t="s">
        <v>1323</v>
      </c>
      <c r="B87" s="13" t="s">
        <v>1237</v>
      </c>
      <c r="C87" s="13" t="s">
        <v>1324</v>
      </c>
      <c r="D87" s="13" t="s">
        <v>1325</v>
      </c>
      <c r="E87" s="13"/>
      <c r="F87" s="13" t="s">
        <v>229</v>
      </c>
      <c r="G87" s="13"/>
      <c r="H87" s="13" t="s">
        <v>637</v>
      </c>
      <c r="I87" s="13" t="s">
        <v>502</v>
      </c>
      <c r="J87" s="13"/>
    </row>
    <row r="88" spans="1:10" ht="76.5">
      <c r="A88" s="13" t="s">
        <v>1326</v>
      </c>
      <c r="B88" s="13" t="s">
        <v>1327</v>
      </c>
      <c r="C88" s="13" t="s">
        <v>1328</v>
      </c>
      <c r="D88" s="13" t="s">
        <v>1329</v>
      </c>
      <c r="E88" s="13"/>
      <c r="F88" s="13" t="s">
        <v>229</v>
      </c>
      <c r="G88" s="13"/>
      <c r="H88" s="13" t="s">
        <v>1330</v>
      </c>
      <c r="I88" s="13" t="s">
        <v>502</v>
      </c>
      <c r="J88" s="13"/>
    </row>
    <row r="89" spans="1:10">
      <c r="A89" s="13"/>
      <c r="B89" s="13"/>
      <c r="C89" s="13"/>
      <c r="D89" s="13"/>
      <c r="E89" s="13"/>
      <c r="F89" s="13"/>
      <c r="G89" s="13"/>
      <c r="H89" s="13"/>
      <c r="I89" s="13"/>
      <c r="J89" s="13"/>
    </row>
    <row r="90" spans="1:10">
      <c r="A90" s="575" t="s">
        <v>1079</v>
      </c>
      <c r="B90" s="896"/>
      <c r="C90" s="896"/>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3.75">
      <c r="A92" s="13" t="s">
        <v>634</v>
      </c>
      <c r="B92" s="550">
        <v>0.5</v>
      </c>
      <c r="C92" s="550">
        <v>0.5</v>
      </c>
      <c r="D92" s="550">
        <v>0.5</v>
      </c>
      <c r="E92" s="550">
        <v>0.5</v>
      </c>
      <c r="F92" s="550">
        <v>0.5</v>
      </c>
      <c r="G92" s="13" t="s">
        <v>677</v>
      </c>
      <c r="H92" s="550">
        <v>0.5</v>
      </c>
      <c r="I92" s="13" t="s">
        <v>1201</v>
      </c>
      <c r="J92" s="13" t="s">
        <v>1331</v>
      </c>
    </row>
    <row r="93" spans="1:10" ht="38.25">
      <c r="A93" s="13" t="s">
        <v>591</v>
      </c>
      <c r="B93" s="550">
        <v>0.5</v>
      </c>
      <c r="C93" s="550">
        <v>0.5</v>
      </c>
      <c r="D93" s="550">
        <v>0.5</v>
      </c>
      <c r="E93" s="550">
        <v>0.5</v>
      </c>
      <c r="F93" s="550">
        <v>0.5</v>
      </c>
      <c r="G93" s="13" t="s">
        <v>677</v>
      </c>
      <c r="H93" s="550">
        <v>0.5</v>
      </c>
      <c r="I93" s="13" t="s">
        <v>1201</v>
      </c>
      <c r="J93" s="13" t="s">
        <v>1082</v>
      </c>
    </row>
    <row r="94" spans="1:10" ht="51">
      <c r="A94" s="13" t="s">
        <v>386</v>
      </c>
      <c r="B94" s="550">
        <v>0.5</v>
      </c>
      <c r="C94" s="550">
        <v>0.5</v>
      </c>
      <c r="D94" s="550">
        <v>0.5</v>
      </c>
      <c r="E94" s="550">
        <v>0.5</v>
      </c>
      <c r="F94" s="550">
        <v>0.5</v>
      </c>
      <c r="G94" s="13" t="s">
        <v>677</v>
      </c>
      <c r="H94" s="550">
        <v>0.5</v>
      </c>
      <c r="I94" s="13" t="s">
        <v>1201</v>
      </c>
      <c r="J94" s="13" t="s">
        <v>1332</v>
      </c>
    </row>
    <row r="95" spans="1:10" ht="38.25">
      <c r="A95" s="13" t="s">
        <v>1237</v>
      </c>
      <c r="B95" s="550">
        <v>0.5</v>
      </c>
      <c r="C95" s="550">
        <v>0.5</v>
      </c>
      <c r="D95" s="13" t="s">
        <v>679</v>
      </c>
      <c r="E95" s="550">
        <v>0.5</v>
      </c>
      <c r="F95" s="550">
        <v>0.5</v>
      </c>
      <c r="G95" s="13" t="s">
        <v>677</v>
      </c>
      <c r="H95" s="550">
        <v>0.5</v>
      </c>
      <c r="I95" s="13" t="s">
        <v>1201</v>
      </c>
      <c r="J95" s="13" t="s">
        <v>1333</v>
      </c>
    </row>
    <row r="96" spans="1:10">
      <c r="A96" s="13"/>
      <c r="B96" s="13"/>
      <c r="C96" s="13"/>
      <c r="D96" s="13"/>
      <c r="E96" s="13"/>
      <c r="F96" s="13"/>
      <c r="G96" s="13"/>
      <c r="H96" s="13"/>
      <c r="I96" s="13"/>
      <c r="J96" s="13"/>
    </row>
    <row r="97" spans="1:10">
      <c r="A97" s="575" t="s">
        <v>1085</v>
      </c>
      <c r="B97" s="896"/>
      <c r="C97" s="896"/>
      <c r="D97" s="85"/>
      <c r="E97" s="85"/>
      <c r="F97" s="85"/>
      <c r="G97" s="85"/>
      <c r="H97" s="85"/>
      <c r="I97" s="85"/>
      <c r="J97" s="85"/>
    </row>
    <row r="98" spans="1:10" ht="51">
      <c r="A98" s="50" t="s">
        <v>905</v>
      </c>
      <c r="B98" s="50" t="s">
        <v>1334</v>
      </c>
      <c r="C98" s="50"/>
      <c r="D98" s="50"/>
      <c r="E98" s="50"/>
      <c r="F98" s="50"/>
      <c r="G98" s="50"/>
      <c r="H98" s="50"/>
      <c r="I98" s="50"/>
      <c r="J98" s="50"/>
    </row>
    <row r="99" spans="1:10">
      <c r="A99" s="13" t="s">
        <v>1086</v>
      </c>
      <c r="B99" s="594" t="s">
        <v>1335</v>
      </c>
      <c r="C99" s="896"/>
      <c r="D99" s="896"/>
      <c r="E99" s="896"/>
      <c r="F99" s="896"/>
      <c r="G99" s="896"/>
      <c r="H99" s="896"/>
      <c r="I99" s="896"/>
      <c r="J99" s="896"/>
    </row>
    <row r="100" spans="1:10" ht="25.5">
      <c r="A100" s="13" t="s">
        <v>1087</v>
      </c>
      <c r="B100" s="594" t="s">
        <v>1336</v>
      </c>
      <c r="C100" s="896"/>
      <c r="D100" s="896"/>
      <c r="E100" s="896"/>
      <c r="F100" s="896"/>
      <c r="G100" s="896"/>
      <c r="H100" s="896"/>
      <c r="I100" s="896"/>
      <c r="J100" s="896"/>
    </row>
    <row r="101" spans="1:10">
      <c r="A101" s="13" t="s">
        <v>1088</v>
      </c>
      <c r="B101" s="594" t="s">
        <v>1337</v>
      </c>
      <c r="C101" s="896"/>
      <c r="D101" s="896"/>
      <c r="E101" s="896"/>
      <c r="F101" s="896"/>
      <c r="G101" s="896"/>
      <c r="H101" s="896"/>
      <c r="I101" s="896"/>
      <c r="J101" s="896"/>
    </row>
    <row r="102" spans="1:10">
      <c r="A102" s="13" t="s">
        <v>1210</v>
      </c>
      <c r="B102" s="594" t="s">
        <v>1338</v>
      </c>
      <c r="C102" s="896"/>
      <c r="D102" s="896"/>
      <c r="E102" s="896"/>
      <c r="F102" s="896"/>
      <c r="G102" s="896"/>
      <c r="H102" s="896"/>
      <c r="I102" s="896"/>
      <c r="J102" s="896"/>
    </row>
    <row r="103" spans="1:10">
      <c r="A103" s="13" t="s">
        <v>1090</v>
      </c>
      <c r="B103" s="594" t="s">
        <v>1339</v>
      </c>
      <c r="C103" s="896"/>
      <c r="D103" s="896"/>
      <c r="E103" s="896"/>
      <c r="F103" s="896"/>
      <c r="G103" s="896"/>
      <c r="H103" s="896"/>
      <c r="I103" s="896"/>
      <c r="J103" s="896"/>
    </row>
    <row r="104" spans="1:10" ht="25.5">
      <c r="A104" s="13" t="s">
        <v>1091</v>
      </c>
      <c r="B104" s="594" t="s">
        <v>1340</v>
      </c>
      <c r="C104" s="896"/>
      <c r="D104" s="896"/>
      <c r="E104" s="896"/>
      <c r="F104" s="896"/>
      <c r="G104" s="896"/>
      <c r="H104" s="896"/>
      <c r="I104" s="896"/>
      <c r="J104" s="896"/>
    </row>
    <row r="105" spans="1:10">
      <c r="A105" s="13" t="s">
        <v>1092</v>
      </c>
      <c r="B105" s="594" t="s">
        <v>1341</v>
      </c>
      <c r="C105" s="896"/>
      <c r="D105" s="896"/>
      <c r="E105" s="896"/>
      <c r="F105" s="896"/>
      <c r="G105" s="896"/>
      <c r="H105" s="896"/>
      <c r="I105" s="896"/>
      <c r="J105" s="896"/>
    </row>
    <row r="106" spans="1:10" ht="15.75" thickBot="1"/>
    <row r="107" spans="1:10">
      <c r="A107" s="605" t="s">
        <v>5668</v>
      </c>
      <c r="B107" s="602"/>
      <c r="C107" s="602"/>
      <c r="D107" s="606"/>
      <c r="E107" s="602"/>
      <c r="F107" s="602"/>
      <c r="G107" s="606"/>
      <c r="H107" s="606"/>
      <c r="I107" s="606"/>
      <c r="J107" s="607"/>
    </row>
    <row r="108" spans="1:10">
      <c r="A108" s="321" t="s">
        <v>5610</v>
      </c>
      <c r="B108" s="322" t="s">
        <v>77</v>
      </c>
      <c r="C108" s="322" t="s">
        <v>5611</v>
      </c>
      <c r="D108" s="322" t="s">
        <v>5612</v>
      </c>
      <c r="E108" s="322" t="s">
        <v>5634</v>
      </c>
      <c r="F108" s="322" t="s">
        <v>5601</v>
      </c>
      <c r="G108" s="578" t="s">
        <v>5635</v>
      </c>
      <c r="H108" s="578"/>
      <c r="I108" s="578"/>
      <c r="J108" s="579"/>
    </row>
    <row r="109" spans="1:10" ht="25.5">
      <c r="A109" s="323" t="s">
        <v>5613</v>
      </c>
      <c r="B109" s="333" t="s">
        <v>484</v>
      </c>
      <c r="C109" s="325">
        <v>0</v>
      </c>
      <c r="D109" s="325">
        <v>0</v>
      </c>
      <c r="E109" s="192" t="s">
        <v>5674</v>
      </c>
      <c r="F109" s="325">
        <f>IF(AND(C109&lt;&gt;"",D109&lt;&gt;""),D109-C109,"")</f>
        <v>0</v>
      </c>
      <c r="G109" s="608"/>
      <c r="H109" s="608"/>
      <c r="I109" s="608"/>
      <c r="J109" s="609"/>
    </row>
    <row r="110" spans="1:10" ht="25.5">
      <c r="A110" s="326" t="s">
        <v>5614</v>
      </c>
      <c r="B110" s="333" t="s">
        <v>484</v>
      </c>
      <c r="C110" s="325">
        <v>0</v>
      </c>
      <c r="D110" s="327">
        <v>0</v>
      </c>
      <c r="E110" s="310" t="s">
        <v>5675</v>
      </c>
      <c r="F110" s="327">
        <f>IF(AND(C110&lt;&gt;"",D110&lt;&gt;""),D110-C110,"")</f>
        <v>0</v>
      </c>
      <c r="G110" s="610"/>
      <c r="H110" s="610"/>
      <c r="I110" s="610"/>
      <c r="J110" s="611"/>
    </row>
    <row r="111" spans="1:10">
      <c r="A111" s="323" t="s">
        <v>5615</v>
      </c>
      <c r="B111" s="333" t="s">
        <v>484</v>
      </c>
      <c r="C111" s="325">
        <v>0</v>
      </c>
      <c r="D111" s="327">
        <v>0</v>
      </c>
      <c r="E111" s="310" t="s">
        <v>5675</v>
      </c>
      <c r="F111" s="325">
        <f>IF(AND(C111&lt;&gt;"",D111&lt;&gt;""),D111-C111,"")</f>
        <v>0</v>
      </c>
      <c r="G111" s="328"/>
      <c r="H111" s="227"/>
      <c r="I111" s="227"/>
      <c r="J111" s="329"/>
    </row>
    <row r="112" spans="1:10">
      <c r="A112" s="326" t="s">
        <v>5616</v>
      </c>
      <c r="B112" s="333" t="s">
        <v>484</v>
      </c>
      <c r="C112" s="325">
        <v>0</v>
      </c>
      <c r="D112" s="327">
        <v>0</v>
      </c>
      <c r="E112" s="310" t="s">
        <v>5675</v>
      </c>
      <c r="F112" s="327">
        <f>IF(AND(C112&lt;&gt;"",D112&lt;&gt;""),D112-C112,"")</f>
        <v>0</v>
      </c>
      <c r="G112" s="610"/>
      <c r="H112" s="610"/>
      <c r="I112" s="610"/>
      <c r="J112" s="611"/>
    </row>
    <row r="113" spans="1:10">
      <c r="A113" s="323" t="s">
        <v>5168</v>
      </c>
      <c r="B113" s="333" t="s">
        <v>484</v>
      </c>
      <c r="C113" s="325">
        <v>0</v>
      </c>
      <c r="D113" s="327">
        <v>0</v>
      </c>
      <c r="E113" s="310" t="s">
        <v>5675</v>
      </c>
      <c r="F113" s="325">
        <f>IF(AND(C113&lt;&gt;"",D113&lt;&gt;""),D113-C113,"")</f>
        <v>0</v>
      </c>
      <c r="G113" s="328"/>
      <c r="H113" s="227"/>
      <c r="I113" s="227"/>
      <c r="J113" s="329"/>
    </row>
    <row r="114" spans="1:10" ht="15.75">
      <c r="A114" s="585" t="s">
        <v>5636</v>
      </c>
      <c r="B114" s="586"/>
      <c r="C114" s="330">
        <f>IFERROR(AVERAGE(C109:C113),"")</f>
        <v>0</v>
      </c>
      <c r="D114" s="330">
        <f>IFERROR(AVERAGE(D109:D113),"")</f>
        <v>0</v>
      </c>
      <c r="E114" s="589" t="s">
        <v>5637</v>
      </c>
      <c r="F114" s="589"/>
      <c r="G114" s="589"/>
      <c r="H114" s="589"/>
      <c r="I114" s="589"/>
      <c r="J114" s="590"/>
    </row>
    <row r="115" spans="1:10">
      <c r="A115" s="331"/>
      <c r="B115" s="316"/>
      <c r="C115" s="316"/>
      <c r="D115" s="316"/>
      <c r="E115" s="316"/>
      <c r="F115" s="316"/>
      <c r="G115" s="316"/>
      <c r="H115" s="227"/>
      <c r="I115" s="227"/>
      <c r="J115" s="329"/>
    </row>
    <row r="116" spans="1:10">
      <c r="A116" s="574" t="s">
        <v>5669</v>
      </c>
      <c r="B116" s="582"/>
      <c r="C116" s="582"/>
      <c r="D116" s="575"/>
      <c r="E116" s="582"/>
      <c r="F116" s="582"/>
      <c r="G116" s="575"/>
      <c r="H116" s="575"/>
      <c r="I116" s="575"/>
      <c r="J116" s="576"/>
    </row>
    <row r="117" spans="1:10">
      <c r="A117" s="321" t="s">
        <v>4946</v>
      </c>
      <c r="B117" s="322" t="s">
        <v>77</v>
      </c>
      <c r="C117" s="322" t="s">
        <v>5676</v>
      </c>
      <c r="D117" s="322" t="s">
        <v>482</v>
      </c>
      <c r="E117" s="322" t="s">
        <v>572</v>
      </c>
      <c r="F117" s="322" t="s">
        <v>5639</v>
      </c>
      <c r="G117" s="578" t="s">
        <v>5640</v>
      </c>
      <c r="H117" s="578"/>
      <c r="I117" s="578"/>
      <c r="J117" s="579"/>
    </row>
    <row r="118" spans="1:10" ht="25.5">
      <c r="A118" s="326" t="s">
        <v>5602</v>
      </c>
      <c r="B118" s="333" t="s">
        <v>484</v>
      </c>
      <c r="C118" s="332" t="s">
        <v>679</v>
      </c>
      <c r="D118" s="324" t="s">
        <v>679</v>
      </c>
      <c r="E118" s="332">
        <f>IF(D118="Yes",1,0)</f>
        <v>0</v>
      </c>
      <c r="F118" s="580"/>
      <c r="G118" s="580"/>
      <c r="H118" s="580"/>
      <c r="I118" s="580"/>
      <c r="J118" s="581"/>
    </row>
    <row r="119" spans="1:10">
      <c r="A119" s="323" t="s">
        <v>995</v>
      </c>
      <c r="B119" s="333" t="s">
        <v>484</v>
      </c>
      <c r="C119" s="332" t="s">
        <v>679</v>
      </c>
      <c r="D119" s="324" t="s">
        <v>679</v>
      </c>
      <c r="E119" s="324">
        <f t="shared" ref="E119:E125" si="0">IF(D119="Yes",1,0)</f>
        <v>0</v>
      </c>
      <c r="F119" s="580"/>
      <c r="G119" s="580"/>
      <c r="H119" s="580"/>
      <c r="I119" s="580"/>
      <c r="J119" s="581"/>
    </row>
    <row r="120" spans="1:10">
      <c r="A120" s="326" t="s">
        <v>5603</v>
      </c>
      <c r="B120" s="333" t="s">
        <v>484</v>
      </c>
      <c r="C120" s="332" t="s">
        <v>679</v>
      </c>
      <c r="D120" s="324" t="s">
        <v>679</v>
      </c>
      <c r="E120" s="332">
        <f t="shared" si="0"/>
        <v>0</v>
      </c>
      <c r="F120" s="580"/>
      <c r="G120" s="580"/>
      <c r="H120" s="580"/>
      <c r="I120" s="580"/>
      <c r="J120" s="581"/>
    </row>
    <row r="121" spans="1:10">
      <c r="A121" s="323" t="s">
        <v>5617</v>
      </c>
      <c r="B121" s="333" t="s">
        <v>484</v>
      </c>
      <c r="C121" s="332" t="s">
        <v>679</v>
      </c>
      <c r="D121" s="324" t="s">
        <v>679</v>
      </c>
      <c r="E121" s="324">
        <f t="shared" si="0"/>
        <v>0</v>
      </c>
      <c r="F121" s="580"/>
      <c r="G121" s="580"/>
      <c r="H121" s="580"/>
      <c r="I121" s="580"/>
      <c r="J121" s="581"/>
    </row>
    <row r="122" spans="1:10" ht="38.25">
      <c r="A122" s="326" t="s">
        <v>5618</v>
      </c>
      <c r="B122" s="333" t="s">
        <v>484</v>
      </c>
      <c r="C122" s="332" t="s">
        <v>679</v>
      </c>
      <c r="D122" s="324" t="s">
        <v>679</v>
      </c>
      <c r="E122" s="332">
        <f t="shared" si="0"/>
        <v>0</v>
      </c>
      <c r="F122" s="580"/>
      <c r="G122" s="580"/>
      <c r="H122" s="580"/>
      <c r="I122" s="580"/>
      <c r="J122" s="581"/>
    </row>
    <row r="123" spans="1:10" ht="25.5">
      <c r="A123" s="323" t="s">
        <v>5619</v>
      </c>
      <c r="B123" s="333" t="s">
        <v>484</v>
      </c>
      <c r="C123" s="332" t="s">
        <v>679</v>
      </c>
      <c r="D123" s="324" t="s">
        <v>679</v>
      </c>
      <c r="E123" s="324">
        <f t="shared" si="0"/>
        <v>0</v>
      </c>
      <c r="F123" s="580"/>
      <c r="G123" s="580"/>
      <c r="H123" s="580"/>
      <c r="I123" s="580"/>
      <c r="J123" s="581"/>
    </row>
    <row r="124" spans="1:10">
      <c r="A124" s="326" t="s">
        <v>5604</v>
      </c>
      <c r="B124" s="333" t="s">
        <v>484</v>
      </c>
      <c r="C124" s="332" t="s">
        <v>679</v>
      </c>
      <c r="D124" s="324" t="s">
        <v>679</v>
      </c>
      <c r="E124" s="332">
        <f t="shared" si="0"/>
        <v>0</v>
      </c>
      <c r="F124" s="580"/>
      <c r="G124" s="580"/>
      <c r="H124" s="580"/>
      <c r="I124" s="580"/>
      <c r="J124" s="581"/>
    </row>
    <row r="125" spans="1:10" ht="25.5">
      <c r="A125" s="323" t="s">
        <v>5605</v>
      </c>
      <c r="B125" s="333" t="s">
        <v>484</v>
      </c>
      <c r="C125" s="332" t="s">
        <v>679</v>
      </c>
      <c r="D125" s="324" t="s">
        <v>679</v>
      </c>
      <c r="E125" s="324">
        <f t="shared" si="0"/>
        <v>0</v>
      </c>
      <c r="F125" s="580"/>
      <c r="G125" s="580"/>
      <c r="H125" s="580"/>
      <c r="I125" s="580"/>
      <c r="J125" s="581"/>
    </row>
    <row r="126" spans="1:10" ht="15.75">
      <c r="A126" s="585" t="s">
        <v>5641</v>
      </c>
      <c r="B126" s="586"/>
      <c r="C126" s="587" t="str">
        <f>IFERROR(SUM(E118:E125)/COUNTIF(C118:C125,"Yes"),"")</f>
        <v/>
      </c>
      <c r="D126" s="588"/>
      <c r="E126" s="589" t="s">
        <v>5642</v>
      </c>
      <c r="F126" s="589"/>
      <c r="G126" s="589"/>
      <c r="H126" s="589"/>
      <c r="I126" s="589"/>
      <c r="J126" s="590"/>
    </row>
    <row r="127" spans="1:10">
      <c r="A127" s="331"/>
      <c r="B127" s="316"/>
      <c r="C127" s="316"/>
      <c r="D127" s="316"/>
      <c r="E127" s="316"/>
      <c r="F127" s="316"/>
      <c r="G127" s="316"/>
      <c r="H127" s="227"/>
      <c r="I127" s="227"/>
      <c r="J127" s="329"/>
    </row>
    <row r="128" spans="1:10">
      <c r="A128" s="574" t="s">
        <v>5670</v>
      </c>
      <c r="B128" s="582"/>
      <c r="C128" s="582"/>
      <c r="D128" s="575"/>
      <c r="E128" s="582"/>
      <c r="F128" s="582"/>
      <c r="G128" s="575"/>
      <c r="H128" s="575"/>
      <c r="I128" s="575"/>
      <c r="J128" s="576"/>
    </row>
    <row r="129" spans="1:10">
      <c r="A129" s="321" t="s">
        <v>5643</v>
      </c>
      <c r="B129" s="322" t="s">
        <v>77</v>
      </c>
      <c r="C129" s="322" t="s">
        <v>5620</v>
      </c>
      <c r="D129" s="322" t="s">
        <v>5621</v>
      </c>
      <c r="E129" s="322" t="s">
        <v>5622</v>
      </c>
      <c r="F129" s="322" t="s">
        <v>5644</v>
      </c>
      <c r="G129" s="578" t="s">
        <v>5645</v>
      </c>
      <c r="H129" s="578"/>
      <c r="I129" s="578"/>
      <c r="J129" s="579"/>
    </row>
    <row r="130" spans="1:10" ht="25.5">
      <c r="A130" s="326" t="s">
        <v>5623</v>
      </c>
      <c r="B130" s="332" t="s">
        <v>484</v>
      </c>
      <c r="C130" s="332" t="s">
        <v>1096</v>
      </c>
      <c r="D130" s="332" t="s">
        <v>1096</v>
      </c>
      <c r="E130" s="332" t="s">
        <v>1096</v>
      </c>
      <c r="F130" s="332" t="s">
        <v>348</v>
      </c>
      <c r="G130" s="583"/>
      <c r="H130" s="583"/>
      <c r="I130" s="583"/>
      <c r="J130" s="584"/>
    </row>
    <row r="131" spans="1:10">
      <c r="A131" s="323" t="s">
        <v>5624</v>
      </c>
      <c r="B131" s="332" t="s">
        <v>484</v>
      </c>
      <c r="C131" s="332" t="s">
        <v>1096</v>
      </c>
      <c r="D131" s="332" t="s">
        <v>1096</v>
      </c>
      <c r="E131" s="332" t="s">
        <v>1096</v>
      </c>
      <c r="F131" s="332" t="s">
        <v>348</v>
      </c>
      <c r="G131" s="583"/>
      <c r="H131" s="583"/>
      <c r="I131" s="583"/>
      <c r="J131" s="584"/>
    </row>
    <row r="132" spans="1:10">
      <c r="A132" s="326" t="s">
        <v>5646</v>
      </c>
      <c r="B132" s="332" t="s">
        <v>484</v>
      </c>
      <c r="C132" s="332" t="s">
        <v>1096</v>
      </c>
      <c r="D132" s="332" t="s">
        <v>1096</v>
      </c>
      <c r="E132" s="332" t="s">
        <v>1096</v>
      </c>
      <c r="F132" s="332" t="s">
        <v>348</v>
      </c>
      <c r="G132" s="583"/>
      <c r="H132" s="583"/>
      <c r="I132" s="583"/>
      <c r="J132" s="584"/>
    </row>
    <row r="133" spans="1:10">
      <c r="A133" s="323" t="s">
        <v>5625</v>
      </c>
      <c r="B133" s="332" t="s">
        <v>484</v>
      </c>
      <c r="C133" s="332" t="s">
        <v>1096</v>
      </c>
      <c r="D133" s="332" t="s">
        <v>1096</v>
      </c>
      <c r="E133" s="332" t="s">
        <v>1096</v>
      </c>
      <c r="F133" s="332" t="s">
        <v>348</v>
      </c>
      <c r="G133" s="583"/>
      <c r="H133" s="583"/>
      <c r="I133" s="583"/>
      <c r="J133" s="584"/>
    </row>
    <row r="134" spans="1:10" ht="25.5">
      <c r="A134" s="326" t="s">
        <v>5626</v>
      </c>
      <c r="B134" s="332" t="s">
        <v>484</v>
      </c>
      <c r="C134" s="332" t="s">
        <v>1096</v>
      </c>
      <c r="D134" s="332" t="s">
        <v>1096</v>
      </c>
      <c r="E134" s="332" t="s">
        <v>1096</v>
      </c>
      <c r="F134" s="332" t="s">
        <v>348</v>
      </c>
      <c r="G134" s="583"/>
      <c r="H134" s="583"/>
      <c r="I134" s="583"/>
      <c r="J134" s="584"/>
    </row>
    <row r="135" spans="1:10" ht="15.75">
      <c r="A135" s="585" t="s">
        <v>5677</v>
      </c>
      <c r="B135" s="586"/>
      <c r="C135" s="587">
        <f>IFERROR(COUNTIF(E130:E134,"Yes")/COUNTA(A130:A134),"")</f>
        <v>0</v>
      </c>
      <c r="D135" s="588"/>
      <c r="E135" s="589" t="s">
        <v>5648</v>
      </c>
      <c r="F135" s="589"/>
      <c r="G135" s="589"/>
      <c r="H135" s="589"/>
      <c r="I135" s="589"/>
      <c r="J135" s="590"/>
    </row>
    <row r="136" spans="1:10">
      <c r="A136" s="331"/>
      <c r="B136" s="316"/>
      <c r="C136" s="316"/>
      <c r="D136" s="316"/>
      <c r="E136" s="316"/>
      <c r="F136" s="316"/>
      <c r="G136" s="599"/>
      <c r="H136" s="599"/>
      <c r="I136" s="599"/>
      <c r="J136" s="600"/>
    </row>
    <row r="137" spans="1:10">
      <c r="A137" s="574" t="s">
        <v>5671</v>
      </c>
      <c r="B137" s="582"/>
      <c r="C137" s="582"/>
      <c r="D137" s="575"/>
      <c r="E137" s="582"/>
      <c r="F137" s="582"/>
      <c r="G137" s="575"/>
      <c r="H137" s="575"/>
      <c r="I137" s="575"/>
      <c r="J137" s="576"/>
    </row>
    <row r="138" spans="1:10">
      <c r="A138" s="322" t="s">
        <v>5606</v>
      </c>
      <c r="B138" s="322" t="s">
        <v>77</v>
      </c>
      <c r="C138" s="322" t="s">
        <v>5627</v>
      </c>
      <c r="D138" s="322" t="s">
        <v>5628</v>
      </c>
      <c r="E138" s="322" t="s">
        <v>5629</v>
      </c>
      <c r="F138" s="322" t="s">
        <v>5630</v>
      </c>
      <c r="G138" s="578" t="s">
        <v>5678</v>
      </c>
      <c r="H138" s="578"/>
      <c r="I138" s="578"/>
      <c r="J138" s="578"/>
    </row>
    <row r="139" spans="1:10">
      <c r="A139" s="328" t="s">
        <v>153</v>
      </c>
      <c r="B139" s="324" t="s">
        <v>484</v>
      </c>
      <c r="C139" s="324"/>
      <c r="D139" s="324"/>
      <c r="E139" s="324"/>
      <c r="F139" s="325" t="str">
        <f>IFERROR(D139/C139,"")</f>
        <v/>
      </c>
      <c r="G139" s="572"/>
      <c r="H139" s="572"/>
      <c r="I139" s="572"/>
      <c r="J139" s="572"/>
    </row>
    <row r="140" spans="1:10">
      <c r="A140" s="335" t="s">
        <v>155</v>
      </c>
      <c r="B140" s="332" t="s">
        <v>484</v>
      </c>
      <c r="C140" s="332"/>
      <c r="D140" s="332"/>
      <c r="E140" s="332"/>
      <c r="F140" s="327" t="str">
        <f>IFERROR(D140/C140,"")</f>
        <v/>
      </c>
      <c r="G140" s="572"/>
      <c r="H140" s="572"/>
      <c r="I140" s="572"/>
      <c r="J140" s="572"/>
    </row>
    <row r="141" spans="1:10">
      <c r="A141" s="328" t="s">
        <v>4821</v>
      </c>
      <c r="B141" s="324" t="s">
        <v>484</v>
      </c>
      <c r="C141" s="324"/>
      <c r="D141" s="324"/>
      <c r="E141" s="324"/>
      <c r="F141" s="325" t="str">
        <f>IFERROR(D141/C141,"")</f>
        <v/>
      </c>
      <c r="G141" s="572"/>
      <c r="H141" s="572"/>
      <c r="I141" s="572"/>
      <c r="J141" s="572"/>
    </row>
    <row r="142" spans="1:10">
      <c r="A142" s="335" t="s">
        <v>957</v>
      </c>
      <c r="B142" s="332" t="s">
        <v>484</v>
      </c>
      <c r="C142" s="332"/>
      <c r="D142" s="332"/>
      <c r="E142" s="332"/>
      <c r="F142" s="327" t="str">
        <f>IFERROR(D142/C142,"")</f>
        <v/>
      </c>
      <c r="G142" s="572"/>
      <c r="H142" s="572"/>
      <c r="I142" s="572"/>
      <c r="J142" s="572"/>
    </row>
    <row r="143" spans="1:10">
      <c r="A143" s="597" t="s">
        <v>5649</v>
      </c>
      <c r="B143" s="597"/>
      <c r="C143" s="597"/>
      <c r="D143" s="597"/>
      <c r="E143" s="589" t="s">
        <v>5650</v>
      </c>
      <c r="F143" s="589"/>
      <c r="G143" s="589"/>
      <c r="H143" s="589"/>
      <c r="I143" s="589"/>
      <c r="J143" s="589"/>
    </row>
    <row r="144" spans="1:10">
      <c r="A144" s="597"/>
      <c r="B144" s="597"/>
      <c r="C144" s="597"/>
      <c r="D144" s="597"/>
      <c r="E144" s="589"/>
      <c r="F144" s="589"/>
      <c r="G144" s="589"/>
      <c r="H144" s="589"/>
      <c r="I144" s="589"/>
      <c r="J144" s="589"/>
    </row>
    <row r="145" spans="1:10">
      <c r="A145" s="575" t="s">
        <v>5672</v>
      </c>
      <c r="B145" s="575"/>
      <c r="C145" s="575"/>
      <c r="D145" s="575"/>
      <c r="E145" s="575"/>
      <c r="F145" s="575"/>
      <c r="G145" s="575"/>
      <c r="H145" s="575"/>
      <c r="I145" s="575"/>
      <c r="J145" s="575"/>
    </row>
    <row r="146" spans="1:10">
      <c r="A146" s="322" t="s">
        <v>4946</v>
      </c>
      <c r="B146" s="322" t="s">
        <v>77</v>
      </c>
      <c r="C146" s="322" t="s">
        <v>5638</v>
      </c>
      <c r="D146" s="322" t="s">
        <v>482</v>
      </c>
      <c r="E146" s="322" t="s">
        <v>572</v>
      </c>
      <c r="F146" s="322" t="s">
        <v>944</v>
      </c>
      <c r="G146" s="578" t="s">
        <v>5640</v>
      </c>
      <c r="H146" s="578"/>
      <c r="I146" s="578"/>
      <c r="J146" s="578"/>
    </row>
    <row r="147" spans="1:10" ht="25.5">
      <c r="A147" s="328" t="s">
        <v>5607</v>
      </c>
      <c r="B147" s="324" t="s">
        <v>484</v>
      </c>
      <c r="C147" s="324" t="s">
        <v>392</v>
      </c>
      <c r="D147" s="324" t="s">
        <v>1096</v>
      </c>
      <c r="E147" s="324">
        <f t="shared" ref="E147:E152" si="1">IF(D147="Yes",1,0)</f>
        <v>0</v>
      </c>
      <c r="F147" s="324"/>
      <c r="G147" s="572"/>
      <c r="H147" s="572"/>
      <c r="I147" s="572"/>
      <c r="J147" s="572"/>
    </row>
    <row r="148" spans="1:10">
      <c r="A148" s="335" t="s">
        <v>5608</v>
      </c>
      <c r="B148" s="324" t="s">
        <v>484</v>
      </c>
      <c r="C148" s="332" t="s">
        <v>392</v>
      </c>
      <c r="D148" s="324" t="s">
        <v>1096</v>
      </c>
      <c r="E148" s="332">
        <f t="shared" si="1"/>
        <v>0</v>
      </c>
      <c r="F148" s="332"/>
      <c r="G148" s="572"/>
      <c r="H148" s="572"/>
      <c r="I148" s="572"/>
      <c r="J148" s="572"/>
    </row>
    <row r="149" spans="1:10" ht="25.5">
      <c r="A149" s="328" t="s">
        <v>5609</v>
      </c>
      <c r="B149" s="324" t="s">
        <v>484</v>
      </c>
      <c r="C149" s="324" t="s">
        <v>392</v>
      </c>
      <c r="D149" s="324" t="s">
        <v>1096</v>
      </c>
      <c r="E149" s="324">
        <f t="shared" si="1"/>
        <v>0</v>
      </c>
      <c r="F149" s="324"/>
      <c r="G149" s="572"/>
      <c r="H149" s="572"/>
      <c r="I149" s="572"/>
      <c r="J149" s="572"/>
    </row>
    <row r="150" spans="1:10">
      <c r="A150" s="335" t="s">
        <v>5631</v>
      </c>
      <c r="B150" s="324" t="s">
        <v>484</v>
      </c>
      <c r="C150" s="332" t="s">
        <v>392</v>
      </c>
      <c r="D150" s="324" t="s">
        <v>1096</v>
      </c>
      <c r="E150" s="332">
        <f t="shared" si="1"/>
        <v>0</v>
      </c>
      <c r="F150" s="332"/>
      <c r="G150" s="572"/>
      <c r="H150" s="572"/>
      <c r="I150" s="572"/>
      <c r="J150" s="572"/>
    </row>
    <row r="151" spans="1:10" ht="25.5">
      <c r="A151" s="328" t="s">
        <v>5632</v>
      </c>
      <c r="B151" s="324" t="s">
        <v>484</v>
      </c>
      <c r="C151" s="324" t="s">
        <v>392</v>
      </c>
      <c r="D151" s="324" t="s">
        <v>1096</v>
      </c>
      <c r="E151" s="324">
        <f t="shared" si="1"/>
        <v>0</v>
      </c>
      <c r="F151" s="324"/>
      <c r="G151" s="572"/>
      <c r="H151" s="572"/>
      <c r="I151" s="572"/>
      <c r="J151" s="572"/>
    </row>
    <row r="152" spans="1:10" ht="25.5">
      <c r="A152" s="335" t="s">
        <v>5633</v>
      </c>
      <c r="B152" s="324" t="s">
        <v>484</v>
      </c>
      <c r="C152" s="332" t="s">
        <v>392</v>
      </c>
      <c r="D152" s="332" t="s">
        <v>1096</v>
      </c>
      <c r="E152" s="332">
        <f t="shared" si="1"/>
        <v>0</v>
      </c>
      <c r="F152" s="332"/>
      <c r="G152" s="572"/>
      <c r="H152" s="572"/>
      <c r="I152" s="572"/>
      <c r="J152" s="572"/>
    </row>
    <row r="153" spans="1:10" ht="15.75">
      <c r="A153" s="930" t="s">
        <v>5651</v>
      </c>
      <c r="B153" s="586"/>
      <c r="C153" s="587">
        <f>IFERROR(SUM(E147:E152)/COUNTIF(C147:C152,"Yes"),"")</f>
        <v>0</v>
      </c>
      <c r="D153" s="588"/>
      <c r="E153" s="589" t="s">
        <v>5652</v>
      </c>
      <c r="F153" s="589"/>
      <c r="G153" s="589"/>
      <c r="H153" s="589"/>
      <c r="I153" s="589"/>
      <c r="J153" s="589"/>
    </row>
    <row r="154" spans="1:10">
      <c r="A154" s="192"/>
      <c r="B154" s="192"/>
      <c r="C154" s="192"/>
      <c r="D154" s="192"/>
      <c r="E154" s="192"/>
      <c r="F154" s="192"/>
      <c r="G154" s="192"/>
      <c r="H154" s="192"/>
      <c r="I154" s="192"/>
      <c r="J154" s="192"/>
    </row>
    <row r="155" spans="1:10">
      <c r="A155" s="575" t="s">
        <v>5673</v>
      </c>
      <c r="B155" s="582"/>
      <c r="C155" s="582"/>
      <c r="D155" s="317"/>
      <c r="E155" s="317"/>
      <c r="F155" s="317"/>
      <c r="G155" s="317"/>
      <c r="H155" s="317"/>
      <c r="I155" s="317"/>
      <c r="J155" s="317"/>
    </row>
    <row r="156" spans="1:10" ht="38.25">
      <c r="A156" s="318" t="s">
        <v>905</v>
      </c>
      <c r="B156" s="318" t="s">
        <v>830</v>
      </c>
      <c r="C156" s="318"/>
      <c r="D156" s="318"/>
      <c r="E156" s="318"/>
      <c r="F156" s="318"/>
      <c r="G156" s="318"/>
      <c r="H156" s="318"/>
      <c r="I156" s="318"/>
      <c r="J156" s="318"/>
    </row>
    <row r="157" spans="1:10">
      <c r="A157" s="315" t="s">
        <v>1086</v>
      </c>
      <c r="B157" s="594" t="s">
        <v>3292</v>
      </c>
      <c r="C157" s="582"/>
      <c r="D157" s="582"/>
      <c r="E157" s="582"/>
      <c r="F157" s="582"/>
      <c r="G157" s="582"/>
      <c r="H157" s="582"/>
      <c r="I157" s="582"/>
      <c r="J157" s="582"/>
    </row>
    <row r="158" spans="1:10" ht="25.5">
      <c r="A158" s="315" t="s">
        <v>2090</v>
      </c>
      <c r="B158" s="594" t="s">
        <v>3293</v>
      </c>
      <c r="C158" s="582"/>
      <c r="D158" s="582"/>
      <c r="E158" s="582"/>
      <c r="F158" s="582"/>
      <c r="G158" s="582"/>
      <c r="H158" s="582"/>
      <c r="I158" s="582"/>
      <c r="J158" s="582"/>
    </row>
    <row r="159" spans="1:10">
      <c r="A159" s="315" t="s">
        <v>1089</v>
      </c>
      <c r="B159" s="594" t="s">
        <v>3294</v>
      </c>
      <c r="C159" s="582"/>
      <c r="D159" s="582"/>
      <c r="E159" s="582"/>
      <c r="F159" s="582"/>
      <c r="G159" s="582"/>
      <c r="H159" s="582"/>
      <c r="I159" s="582"/>
      <c r="J159" s="582"/>
    </row>
    <row r="160" spans="1:10">
      <c r="A160" s="315" t="s">
        <v>1090</v>
      </c>
      <c r="B160" s="594" t="s">
        <v>3295</v>
      </c>
      <c r="C160" s="582"/>
      <c r="D160" s="582"/>
      <c r="E160" s="582"/>
      <c r="F160" s="582"/>
      <c r="G160" s="582"/>
      <c r="H160" s="582"/>
      <c r="I160" s="582"/>
      <c r="J160" s="582"/>
    </row>
    <row r="161" spans="1:10">
      <c r="A161" s="315" t="s">
        <v>1088</v>
      </c>
      <c r="B161" s="594" t="s">
        <v>3296</v>
      </c>
      <c r="C161" s="582"/>
      <c r="D161" s="582"/>
      <c r="E161" s="582"/>
      <c r="F161" s="582"/>
      <c r="G161" s="582"/>
      <c r="H161" s="582"/>
      <c r="I161" s="582"/>
      <c r="J161" s="582"/>
    </row>
    <row r="162" spans="1:10" ht="25.5">
      <c r="A162" s="315" t="s">
        <v>3297</v>
      </c>
      <c r="B162" s="594" t="s">
        <v>3298</v>
      </c>
      <c r="C162" s="582"/>
      <c r="D162" s="582"/>
      <c r="E162" s="582"/>
      <c r="F162" s="582"/>
      <c r="G162" s="582"/>
      <c r="H162" s="582"/>
      <c r="I162" s="582"/>
      <c r="J162" s="582"/>
    </row>
    <row r="163" spans="1:10">
      <c r="A163" s="315" t="s">
        <v>1563</v>
      </c>
      <c r="B163" s="594" t="s">
        <v>1776</v>
      </c>
      <c r="C163" s="582"/>
      <c r="D163" s="582"/>
      <c r="E163" s="582"/>
      <c r="F163" s="582"/>
      <c r="G163" s="582"/>
      <c r="H163" s="582"/>
      <c r="I163" s="582"/>
      <c r="J163" s="582"/>
    </row>
    <row r="164" spans="1:10">
      <c r="A164" s="227"/>
      <c r="B164" s="227"/>
      <c r="C164" s="227"/>
      <c r="D164" s="227"/>
      <c r="E164" s="227"/>
      <c r="F164" s="227"/>
      <c r="G164" s="227"/>
      <c r="H164" s="227"/>
      <c r="I164" s="227"/>
      <c r="J164" s="227"/>
    </row>
    <row r="165" spans="1:10" ht="18">
      <c r="A165" s="598" t="s">
        <v>5562</v>
      </c>
      <c r="B165" s="598"/>
      <c r="C165" s="598"/>
      <c r="D165" s="598"/>
      <c r="E165" s="598"/>
      <c r="F165" s="598"/>
      <c r="G165" s="598"/>
      <c r="H165" s="598"/>
      <c r="I165" s="227"/>
      <c r="J165" s="227"/>
    </row>
    <row r="166" spans="1:10">
      <c r="A166" s="272" t="s">
        <v>2</v>
      </c>
      <c r="B166" s="591" t="s">
        <v>5563</v>
      </c>
      <c r="C166" s="591"/>
      <c r="D166" s="591"/>
      <c r="E166" s="591"/>
      <c r="F166" s="591"/>
      <c r="G166" s="591"/>
      <c r="H166" s="591"/>
      <c r="I166" s="227"/>
      <c r="J166" s="227"/>
    </row>
    <row r="167" spans="1:10">
      <c r="A167" s="272" t="s">
        <v>5564</v>
      </c>
      <c r="B167" s="591" t="s">
        <v>5565</v>
      </c>
      <c r="C167" s="591"/>
      <c r="D167" s="591"/>
      <c r="E167" s="591"/>
      <c r="F167" s="591"/>
      <c r="G167" s="591"/>
      <c r="H167" s="591"/>
      <c r="I167" s="227"/>
      <c r="J167" s="227"/>
    </row>
    <row r="168" spans="1:10">
      <c r="A168" s="192"/>
      <c r="B168" s="192"/>
      <c r="C168" s="192"/>
      <c r="D168" s="192"/>
      <c r="E168" s="192"/>
      <c r="F168" s="192"/>
      <c r="G168" s="192"/>
      <c r="H168" s="192"/>
      <c r="I168" s="227"/>
      <c r="J168" s="227"/>
    </row>
    <row r="169" spans="1:10">
      <c r="A169" s="319" t="s">
        <v>4946</v>
      </c>
      <c r="B169" s="319" t="s">
        <v>77</v>
      </c>
      <c r="C169" s="319" t="s">
        <v>5566</v>
      </c>
      <c r="D169" s="319" t="s">
        <v>263</v>
      </c>
      <c r="E169" s="319" t="s">
        <v>216</v>
      </c>
      <c r="F169" s="319" t="s">
        <v>5567</v>
      </c>
      <c r="G169" s="319" t="s">
        <v>5568</v>
      </c>
      <c r="H169" s="319" t="s">
        <v>5569</v>
      </c>
      <c r="I169" s="227"/>
      <c r="J169" s="227"/>
    </row>
    <row r="170" spans="1:10" ht="25.5">
      <c r="A170" s="273" t="s">
        <v>5570</v>
      </c>
      <c r="B170" s="274" t="s">
        <v>1096</v>
      </c>
      <c r="C170" s="273"/>
      <c r="D170" s="273"/>
      <c r="E170" s="273"/>
      <c r="F170" s="273"/>
      <c r="G170" s="275" t="str">
        <f t="shared" ref="G170:G177" si="2">IF(OR(B170="Yes",B170="N/A"),"🟢","🟡")</f>
        <v>🟡</v>
      </c>
      <c r="H170" s="273"/>
      <c r="I170" s="227"/>
      <c r="J170" s="227"/>
    </row>
    <row r="171" spans="1:10">
      <c r="A171" s="273" t="s">
        <v>5571</v>
      </c>
      <c r="B171" s="274" t="s">
        <v>1096</v>
      </c>
      <c r="C171" s="273"/>
      <c r="D171" s="273"/>
      <c r="E171" s="273"/>
      <c r="F171" s="273"/>
      <c r="G171" s="275" t="str">
        <f t="shared" si="2"/>
        <v>🟡</v>
      </c>
      <c r="H171" s="273"/>
      <c r="I171" s="227"/>
      <c r="J171" s="227"/>
    </row>
    <row r="172" spans="1:10">
      <c r="A172" s="273" t="s">
        <v>5572</v>
      </c>
      <c r="B172" s="274" t="s">
        <v>1096</v>
      </c>
      <c r="C172" s="273"/>
      <c r="D172" s="273"/>
      <c r="E172" s="273"/>
      <c r="F172" s="273"/>
      <c r="G172" s="275" t="str">
        <f t="shared" si="2"/>
        <v>🟡</v>
      </c>
      <c r="H172" s="273"/>
      <c r="I172" s="227"/>
      <c r="J172" s="227"/>
    </row>
    <row r="173" spans="1:10">
      <c r="A173" s="273" t="s">
        <v>5168</v>
      </c>
      <c r="B173" s="274" t="s">
        <v>1096</v>
      </c>
      <c r="C173" s="273"/>
      <c r="D173" s="273"/>
      <c r="E173" s="273"/>
      <c r="F173" s="273"/>
      <c r="G173" s="275" t="str">
        <f t="shared" si="2"/>
        <v>🟡</v>
      </c>
      <c r="H173" s="273"/>
      <c r="I173" s="227"/>
      <c r="J173" s="227"/>
    </row>
    <row r="174" spans="1:10">
      <c r="A174" s="273" t="s">
        <v>5573</v>
      </c>
      <c r="B174" s="274" t="s">
        <v>1096</v>
      </c>
      <c r="C174" s="273"/>
      <c r="D174" s="273"/>
      <c r="E174" s="273"/>
      <c r="F174" s="273"/>
      <c r="G174" s="275" t="str">
        <f t="shared" si="2"/>
        <v>🟡</v>
      </c>
      <c r="H174" s="273"/>
      <c r="I174" s="227"/>
      <c r="J174" s="227"/>
    </row>
    <row r="175" spans="1:10">
      <c r="A175" s="273" t="s">
        <v>5574</v>
      </c>
      <c r="B175" s="274" t="s">
        <v>1096</v>
      </c>
      <c r="C175" s="273"/>
      <c r="D175" s="273"/>
      <c r="E175" s="273"/>
      <c r="F175" s="273"/>
      <c r="G175" s="275" t="str">
        <f t="shared" si="2"/>
        <v>🟡</v>
      </c>
      <c r="H175" s="273"/>
      <c r="I175" s="227"/>
      <c r="J175" s="227"/>
    </row>
    <row r="176" spans="1:10">
      <c r="A176" s="273" t="s">
        <v>178</v>
      </c>
      <c r="B176" s="274" t="s">
        <v>1096</v>
      </c>
      <c r="C176" s="273"/>
      <c r="D176" s="273"/>
      <c r="E176" s="273"/>
      <c r="F176" s="273"/>
      <c r="G176" s="275" t="str">
        <f t="shared" si="2"/>
        <v>🟡</v>
      </c>
      <c r="H176" s="273"/>
      <c r="I176" s="227"/>
      <c r="J176" s="227"/>
    </row>
    <row r="177" spans="1:10" ht="25.5">
      <c r="A177" s="273" t="s">
        <v>5575</v>
      </c>
      <c r="B177" s="274" t="s">
        <v>1096</v>
      </c>
      <c r="C177" s="273"/>
      <c r="D177" s="273"/>
      <c r="E177" s="273"/>
      <c r="F177" s="273"/>
      <c r="G177" s="275" t="str">
        <f t="shared" si="2"/>
        <v>🟡</v>
      </c>
      <c r="H177" s="273"/>
      <c r="I177" s="227"/>
      <c r="J177" s="227"/>
    </row>
    <row r="178" spans="1:10">
      <c r="A178" s="320" t="s">
        <v>4946</v>
      </c>
      <c r="B178" s="320" t="s">
        <v>5583</v>
      </c>
      <c r="C178" s="192"/>
      <c r="D178" s="192"/>
      <c r="E178" s="320" t="s">
        <v>5584</v>
      </c>
      <c r="F178" s="192"/>
      <c r="G178" s="192"/>
      <c r="H178" s="192"/>
      <c r="I178" s="227"/>
      <c r="J178" s="227"/>
    </row>
    <row r="179" spans="1:10" ht="25.5">
      <c r="A179" s="287" t="s">
        <v>5570</v>
      </c>
      <c r="B179" s="577" t="s">
        <v>5585</v>
      </c>
      <c r="C179" s="577"/>
      <c r="D179" s="577"/>
      <c r="E179" s="577" t="s">
        <v>5586</v>
      </c>
      <c r="F179" s="577"/>
      <c r="G179" s="577"/>
      <c r="H179" s="192"/>
      <c r="I179" s="227"/>
      <c r="J179" s="227"/>
    </row>
    <row r="180" spans="1:10">
      <c r="A180" s="287" t="s">
        <v>5571</v>
      </c>
      <c r="B180" s="577" t="s">
        <v>5587</v>
      </c>
      <c r="C180" s="577"/>
      <c r="D180" s="577"/>
      <c r="E180" s="577" t="s">
        <v>5588</v>
      </c>
      <c r="F180" s="577"/>
      <c r="G180" s="577"/>
      <c r="H180" s="192"/>
      <c r="I180" s="227"/>
      <c r="J180" s="227"/>
    </row>
    <row r="181" spans="1:10">
      <c r="A181" s="287" t="s">
        <v>5572</v>
      </c>
      <c r="B181" s="577" t="s">
        <v>5589</v>
      </c>
      <c r="C181" s="577"/>
      <c r="D181" s="577"/>
      <c r="E181" s="577" t="s">
        <v>5590</v>
      </c>
      <c r="F181" s="577"/>
      <c r="G181" s="577"/>
      <c r="H181" s="192"/>
      <c r="I181" s="227"/>
      <c r="J181" s="227"/>
    </row>
    <row r="182" spans="1:10">
      <c r="A182" s="287" t="s">
        <v>5168</v>
      </c>
      <c r="B182" s="577" t="s">
        <v>5591</v>
      </c>
      <c r="C182" s="577"/>
      <c r="D182" s="577"/>
      <c r="E182" s="577" t="s">
        <v>5592</v>
      </c>
      <c r="F182" s="577"/>
      <c r="G182" s="577"/>
      <c r="H182" s="192"/>
      <c r="I182" s="227"/>
      <c r="J182" s="227"/>
    </row>
    <row r="183" spans="1:10">
      <c r="A183" s="287" t="s">
        <v>5573</v>
      </c>
      <c r="B183" s="577" t="s">
        <v>5593</v>
      </c>
      <c r="C183" s="577"/>
      <c r="D183" s="577"/>
      <c r="E183" s="577" t="s">
        <v>5594</v>
      </c>
      <c r="F183" s="577"/>
      <c r="G183" s="577"/>
      <c r="H183" s="192"/>
      <c r="I183" s="227"/>
      <c r="J183" s="227"/>
    </row>
    <row r="184" spans="1:10">
      <c r="A184" s="287" t="s">
        <v>5574</v>
      </c>
      <c r="B184" s="577" t="s">
        <v>5595</v>
      </c>
      <c r="C184" s="577"/>
      <c r="D184" s="577"/>
      <c r="E184" s="577" t="s">
        <v>5596</v>
      </c>
      <c r="F184" s="577"/>
      <c r="G184" s="577"/>
      <c r="H184" s="192"/>
      <c r="I184" s="227"/>
      <c r="J184" s="227"/>
    </row>
    <row r="185" spans="1:10">
      <c r="A185" s="287" t="s">
        <v>178</v>
      </c>
      <c r="B185" s="577" t="s">
        <v>5597</v>
      </c>
      <c r="C185" s="577"/>
      <c r="D185" s="577"/>
      <c r="E185" s="577" t="s">
        <v>5598</v>
      </c>
      <c r="F185" s="577"/>
      <c r="G185" s="577"/>
      <c r="H185" s="192"/>
      <c r="I185" s="227"/>
      <c r="J185" s="227"/>
    </row>
    <row r="186" spans="1:10" ht="25.5">
      <c r="A186" s="287" t="s">
        <v>5575</v>
      </c>
      <c r="B186" s="577" t="s">
        <v>5599</v>
      </c>
      <c r="C186" s="577"/>
      <c r="D186" s="577"/>
      <c r="E186" s="577" t="s">
        <v>5600</v>
      </c>
      <c r="F186" s="577"/>
      <c r="G186" s="577"/>
      <c r="H186" s="192"/>
      <c r="I186" s="227"/>
      <c r="J186" s="227"/>
    </row>
    <row r="187" spans="1:10">
      <c r="A187" s="272" t="s">
        <v>5576</v>
      </c>
      <c r="B187" s="276" t="str">
        <f>IF(COUNTIF(B170:B177,"No")=0,"🟢 PILOT COMPLETE / ACCEPTANCE READY","🟡 NOT COMPLETE — ACCEPTANCE GATES OPEN")</f>
        <v>🟡 NOT COMPLETE — ACCEPTANCE GATES OPEN</v>
      </c>
      <c r="C187" s="276"/>
      <c r="D187" s="276"/>
      <c r="E187" s="276"/>
      <c r="F187" s="276"/>
      <c r="G187" s="276"/>
      <c r="H187" s="276"/>
    </row>
    <row r="188" spans="1:10">
      <c r="A188" s="272" t="s">
        <v>5577</v>
      </c>
      <c r="B188" s="276">
        <f>COUNTIF(B170:B177,"No")</f>
        <v>8</v>
      </c>
      <c r="C188" s="276"/>
      <c r="D188" s="276"/>
      <c r="E188" s="276"/>
      <c r="F188" s="276"/>
      <c r="G188" s="276"/>
      <c r="H188" s="276"/>
    </row>
    <row r="189" spans="1:10">
      <c r="A189" s="272" t="s">
        <v>5578</v>
      </c>
      <c r="B189" s="276" t="str">
        <f>COUNTIF(B170:B177,"Yes")&amp;" / 8 Complete"</f>
        <v>0 / 8 Complete</v>
      </c>
      <c r="C189" s="276"/>
      <c r="D189" s="276"/>
      <c r="E189" s="276"/>
      <c r="F189" s="276"/>
      <c r="G189" s="276"/>
      <c r="H189" s="276"/>
    </row>
    <row r="190" spans="1:10" ht="90">
      <c r="A190" s="277" t="s">
        <v>5579</v>
      </c>
      <c r="B190" s="278" t="s">
        <v>5580</v>
      </c>
      <c r="C190" s="278"/>
      <c r="D190" s="278"/>
      <c r="E190" s="278"/>
      <c r="F190" s="278"/>
      <c r="G190" s="278"/>
      <c r="H190" s="278"/>
    </row>
    <row r="191" spans="1:10">
      <c r="A191" s="277"/>
      <c r="B191" s="278"/>
      <c r="C191" s="278"/>
      <c r="D191" s="278"/>
      <c r="E191" s="278"/>
      <c r="F191" s="278"/>
      <c r="G191" s="278"/>
      <c r="H191" s="278"/>
    </row>
    <row r="192" spans="1:10" ht="64.5">
      <c r="A192" s="277" t="s">
        <v>5581</v>
      </c>
      <c r="B192" s="278" t="s">
        <v>5582</v>
      </c>
      <c r="C192" s="278"/>
      <c r="D192" s="278"/>
      <c r="E192" s="278"/>
      <c r="F192" s="278"/>
      <c r="G192" s="278"/>
      <c r="H192" s="278"/>
    </row>
    <row r="193" spans="1:10">
      <c r="A193" s="575" t="s">
        <v>5694</v>
      </c>
      <c r="B193" s="575"/>
      <c r="C193" s="575"/>
      <c r="D193" s="575"/>
      <c r="E193" s="575"/>
      <c r="F193" s="575"/>
      <c r="G193" s="575"/>
      <c r="H193" s="575"/>
      <c r="I193" s="575"/>
      <c r="J193" s="575"/>
    </row>
    <row r="194" spans="1:10">
      <c r="A194" s="336" t="s">
        <v>5679</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t="s">
        <v>5680</v>
      </c>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t="s">
        <v>5681</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5682</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575" t="s">
        <v>5695</v>
      </c>
      <c r="B204" s="575"/>
      <c r="C204" s="575"/>
      <c r="D204" s="575"/>
      <c r="E204" s="575"/>
      <c r="F204" s="575"/>
      <c r="G204" s="575"/>
      <c r="H204" s="575"/>
      <c r="I204" s="575"/>
      <c r="J204" s="575"/>
    </row>
    <row r="205" spans="1:10">
      <c r="A205" s="192"/>
      <c r="B205" s="192"/>
      <c r="C205" s="192"/>
      <c r="D205" s="192"/>
      <c r="E205" s="192"/>
      <c r="F205" s="192"/>
      <c r="G205" s="192"/>
      <c r="H205" s="192"/>
      <c r="I205" s="192"/>
      <c r="J205" s="192"/>
    </row>
    <row r="206" spans="1:10">
      <c r="A206" s="192" t="s">
        <v>5683</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t="s">
        <v>5684</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5685</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575" t="s">
        <v>5696</v>
      </c>
      <c r="B214" s="575"/>
      <c r="C214" s="575"/>
      <c r="D214" s="575"/>
      <c r="E214" s="575"/>
      <c r="F214" s="575"/>
      <c r="G214" s="575"/>
      <c r="H214" s="575"/>
      <c r="I214" s="575"/>
      <c r="J214" s="575"/>
    </row>
    <row r="215" spans="1:10">
      <c r="A215" s="192"/>
      <c r="B215" s="192"/>
      <c r="C215" s="192"/>
      <c r="D215" s="192"/>
      <c r="E215" s="192"/>
      <c r="F215" s="192"/>
      <c r="G215" s="192"/>
      <c r="H215" s="192"/>
      <c r="I215" s="192"/>
      <c r="J215" s="192"/>
    </row>
    <row r="216" spans="1:10">
      <c r="A216" s="192" t="s">
        <v>5686</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5687</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5688</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5689</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575" t="s">
        <v>5697</v>
      </c>
      <c r="B226" s="575"/>
      <c r="C226" s="575"/>
      <c r="D226" s="575"/>
      <c r="E226" s="575"/>
      <c r="F226" s="575"/>
      <c r="G226" s="575"/>
      <c r="H226" s="575"/>
      <c r="I226" s="575"/>
      <c r="J226" s="575"/>
    </row>
    <row r="227" spans="1:10">
      <c r="A227" s="192"/>
      <c r="B227" s="192"/>
      <c r="C227" s="192"/>
      <c r="D227" s="192"/>
      <c r="E227" s="192"/>
      <c r="F227" s="192"/>
      <c r="G227" s="192"/>
      <c r="H227" s="192"/>
      <c r="I227" s="192"/>
      <c r="J227" s="192"/>
    </row>
    <row r="228" spans="1:10">
      <c r="A228" s="192" t="s">
        <v>5690</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192" t="s">
        <v>5691</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5692</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5693</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337"/>
      <c r="B238" s="337"/>
      <c r="C238" s="337"/>
      <c r="D238" s="337"/>
      <c r="E238" s="337"/>
      <c r="F238" s="337"/>
      <c r="G238" s="337"/>
      <c r="H238" s="337"/>
      <c r="I238" s="337"/>
      <c r="J238" s="337"/>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192"/>
      <c r="B247" s="192"/>
      <c r="C247" s="192"/>
      <c r="D247" s="192"/>
      <c r="E247" s="192"/>
      <c r="F247" s="192"/>
      <c r="G247" s="192"/>
      <c r="H247" s="192"/>
      <c r="I247" s="192"/>
      <c r="J247" s="192"/>
    </row>
    <row r="248" spans="1:10">
      <c r="A248" s="316"/>
      <c r="B248" s="316"/>
      <c r="C248" s="316"/>
      <c r="D248" s="316"/>
      <c r="E248" s="316"/>
      <c r="F248" s="316"/>
      <c r="G248" s="599"/>
      <c r="H248" s="599"/>
      <c r="I248" s="599"/>
      <c r="J248" s="599"/>
    </row>
  </sheetData>
  <mergeCells count="121">
    <mergeCell ref="A226:C226"/>
    <mergeCell ref="D226:F226"/>
    <mergeCell ref="G226:J226"/>
    <mergeCell ref="G248:J248"/>
    <mergeCell ref="A204:C204"/>
    <mergeCell ref="D204:F204"/>
    <mergeCell ref="G204:J204"/>
    <mergeCell ref="A214:C214"/>
    <mergeCell ref="D214:F214"/>
    <mergeCell ref="G214:J214"/>
    <mergeCell ref="B186:D186"/>
    <mergeCell ref="E186:G186"/>
    <mergeCell ref="A193:C193"/>
    <mergeCell ref="D193:F193"/>
    <mergeCell ref="G193:J193"/>
    <mergeCell ref="B183:D183"/>
    <mergeCell ref="E183:G183"/>
    <mergeCell ref="B184:D184"/>
    <mergeCell ref="E184:G184"/>
    <mergeCell ref="B185:D185"/>
    <mergeCell ref="E185:G185"/>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58:J158"/>
    <mergeCell ref="B159:J159"/>
    <mergeCell ref="B160:J160"/>
    <mergeCell ref="B161:J161"/>
    <mergeCell ref="B162:J162"/>
    <mergeCell ref="A153:B153"/>
    <mergeCell ref="C153:D153"/>
    <mergeCell ref="E153:J153"/>
    <mergeCell ref="A155:C155"/>
    <mergeCell ref="B157:J157"/>
    <mergeCell ref="G148:J148"/>
    <mergeCell ref="G149:J149"/>
    <mergeCell ref="G150:J150"/>
    <mergeCell ref="G151:J151"/>
    <mergeCell ref="G152:J152"/>
    <mergeCell ref="A145:C145"/>
    <mergeCell ref="D145:F145"/>
    <mergeCell ref="G145:J145"/>
    <mergeCell ref="G146:J146"/>
    <mergeCell ref="G147:J147"/>
    <mergeCell ref="G139:J139"/>
    <mergeCell ref="G140:J140"/>
    <mergeCell ref="G141:J141"/>
    <mergeCell ref="G142:J142"/>
    <mergeCell ref="A143:D144"/>
    <mergeCell ref="E143:J144"/>
    <mergeCell ref="G136:J136"/>
    <mergeCell ref="A137:C137"/>
    <mergeCell ref="D137:F137"/>
    <mergeCell ref="G137:J137"/>
    <mergeCell ref="G138:J138"/>
    <mergeCell ref="G131:J131"/>
    <mergeCell ref="G132:J132"/>
    <mergeCell ref="G133:J133"/>
    <mergeCell ref="G134:J134"/>
    <mergeCell ref="A135:B135"/>
    <mergeCell ref="C135:D135"/>
    <mergeCell ref="E135:J135"/>
    <mergeCell ref="A128:C128"/>
    <mergeCell ref="D128:F128"/>
    <mergeCell ref="G128:J128"/>
    <mergeCell ref="G129:J129"/>
    <mergeCell ref="G130:J130"/>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10:J110"/>
    <mergeCell ref="G112:J112"/>
    <mergeCell ref="A114:B114"/>
    <mergeCell ref="E114:J114"/>
    <mergeCell ref="A116:C116"/>
    <mergeCell ref="D116:F116"/>
    <mergeCell ref="G116:J116"/>
    <mergeCell ref="A107:C107"/>
    <mergeCell ref="D107:F107"/>
    <mergeCell ref="G107:J107"/>
    <mergeCell ref="G108:J108"/>
    <mergeCell ref="G109:J109"/>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s>
  <conditionalFormatting sqref="A9:J14 A16:J21 A23:J28 A30:J35 A37:J42 A44:J49 A51:J56 A58:J67 A69:J78 A80:J89 A91:J95">
    <cfRule type="expression" dxfId="1341" priority="117">
      <formula>A2="Verify"</formula>
    </cfRule>
    <cfRule type="expression" dxfId="1340" priority="116">
      <formula>A2="Pass"</formula>
    </cfRule>
    <cfRule type="expression" dxfId="1339" priority="118">
      <formula>A2="Fail"</formula>
    </cfRule>
  </conditionalFormatting>
  <conditionalFormatting sqref="B109:B113">
    <cfRule type="expression" dxfId="1338" priority="21">
      <formula>B109="Complete"</formula>
    </cfRule>
    <cfRule type="expression" dxfId="1337" priority="22">
      <formula>B109="In Progress"</formula>
    </cfRule>
    <cfRule type="expression" dxfId="1336" priority="23">
      <formula>B109="At Risk"</formula>
    </cfRule>
    <cfRule type="expression" dxfId="1335" priority="24">
      <formula>B109="Blocked"</formula>
    </cfRule>
    <cfRule type="expression" dxfId="1334" priority="25">
      <formula>B109="Not Started"</formula>
    </cfRule>
  </conditionalFormatting>
  <conditionalFormatting sqref="B118:B125">
    <cfRule type="expression" dxfId="1333" priority="1">
      <formula>B118="Complete"</formula>
    </cfRule>
    <cfRule type="expression" dxfId="1332" priority="2">
      <formula>B118="In Progress"</formula>
    </cfRule>
    <cfRule type="expression" dxfId="1331" priority="3">
      <formula>B118="At Risk"</formula>
    </cfRule>
    <cfRule type="expression" dxfId="1330" priority="4">
      <formula>B118="Blocked"</formula>
    </cfRule>
    <cfRule type="expression" dxfId="1329" priority="5">
      <formula>B118="Not Started"</formula>
    </cfRule>
  </conditionalFormatting>
  <conditionalFormatting sqref="B130:B134">
    <cfRule type="expression" dxfId="1328" priority="29">
      <formula>B130="Blocked"</formula>
    </cfRule>
    <cfRule type="expression" dxfId="1327" priority="27">
      <formula>B130="In Progress"</formula>
    </cfRule>
    <cfRule type="expression" dxfId="1326" priority="28">
      <formula>B130="At Risk"</formula>
    </cfRule>
    <cfRule type="expression" dxfId="1325" priority="26">
      <formula>B130="Complete"</formula>
    </cfRule>
    <cfRule type="expression" dxfId="1324" priority="30">
      <formula>B130="Not Started"</formula>
    </cfRule>
  </conditionalFormatting>
  <conditionalFormatting sqref="B139:B142">
    <cfRule type="expression" dxfId="1323" priority="6">
      <formula>B139="Complete"</formula>
    </cfRule>
    <cfRule type="expression" dxfId="1322" priority="8">
      <formula>B139="At Risk"</formula>
    </cfRule>
    <cfRule type="expression" dxfId="1321" priority="9">
      <formula>B139="Blocked"</formula>
    </cfRule>
    <cfRule type="expression" dxfId="1320" priority="10">
      <formula>B139="Not Started"</formula>
    </cfRule>
    <cfRule type="expression" dxfId="1319" priority="7">
      <formula>B139="In Progress"</formula>
    </cfRule>
  </conditionalFormatting>
  <conditionalFormatting sqref="B147:B152">
    <cfRule type="expression" dxfId="1318" priority="11">
      <formula>B147="Complete"</formula>
    </cfRule>
    <cfRule type="expression" dxfId="1317" priority="12">
      <formula>B147="In Progress"</formula>
    </cfRule>
    <cfRule type="expression" dxfId="1316" priority="13">
      <formula>B147="At Risk"</formula>
    </cfRule>
    <cfRule type="expression" dxfId="1315" priority="14">
      <formula>B147="Blocked"</formula>
    </cfRule>
    <cfRule type="expression" dxfId="1314" priority="15">
      <formula>B147="Not Started"</formula>
    </cfRule>
  </conditionalFormatting>
  <conditionalFormatting sqref="B170:B177">
    <cfRule type="expression" dxfId="1313" priority="82">
      <formula>B170="Yes"</formula>
    </cfRule>
    <cfRule type="expression" dxfId="1312" priority="84">
      <formula>B170="No"</formula>
    </cfRule>
    <cfRule type="expression" dxfId="1311" priority="83">
      <formula>B170="N/A"</formula>
    </cfRule>
  </conditionalFormatting>
  <conditionalFormatting sqref="B187:H187">
    <cfRule type="expression" dxfId="1310" priority="85">
      <formula>COUNTIF($B$6:$B$13,"No")=0</formula>
    </cfRule>
    <cfRule type="expression" dxfId="1309"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08" priority="31">
      <formula>C118="Yes"</formula>
    </cfRule>
    <cfRule type="expression" dxfId="1307" priority="32">
      <formula>C118="No"</formula>
    </cfRule>
    <cfRule type="expression" dxfId="1306"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05" priority="18">
      <formula>C147="N/A"</formula>
    </cfRule>
    <cfRule type="expression" dxfId="1304" priority="17">
      <formula>C147="No"</formula>
    </cfRule>
    <cfRule type="expression" dxfId="1303" priority="16">
      <formula>C147="Yes"</formula>
    </cfRule>
  </conditionalFormatting>
  <conditionalFormatting sqref="C153:D153">
    <cfRule type="dataBar" priority="20">
      <dataBar>
        <cfvo type="num" val="0"/>
        <cfvo type="num" val="1"/>
        <color rgb="FF5B9BD5"/>
      </dataBar>
    </cfRule>
  </conditionalFormatting>
  <conditionalFormatting sqref="E5 G5 I5">
    <cfRule type="expression" dxfId="1302" priority="87">
      <formula>E5="Pass"</formula>
    </cfRule>
    <cfRule type="expression" dxfId="1301" priority="88">
      <formula>E5="Verify"</formula>
    </cfRule>
    <cfRule type="expression" dxfId="1300" priority="90">
      <formula>E5="Not Started"</formula>
    </cfRule>
    <cfRule type="expression" dxfId="1299" priority="89">
      <formula>E5="Fail"</formula>
    </cfRule>
  </conditionalFormatting>
  <conditionalFormatting sqref="F3">
    <cfRule type="expression" dxfId="1298" priority="91">
      <formula>F3="Yes"</formula>
    </cfRule>
    <cfRule type="expression" dxfId="1297" priority="92">
      <formula>F3="No"</formula>
    </cfRule>
  </conditionalFormatting>
  <conditionalFormatting sqref="F130:F134">
    <cfRule type="expression" dxfId="1296" priority="34">
      <formula>F130="Pass"</formula>
    </cfRule>
    <cfRule type="expression" dxfId="1295" priority="35">
      <formula>F130="Fail"</formula>
    </cfRule>
    <cfRule type="expression" dxfId="1294"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Lookup_Lists!$L$37:$L$39</xm:f>
          </x14:formula1>
          <xm:sqref>C130:E134 J2</xm:sqref>
        </x14:dataValidation>
        <x14:dataValidation type="list" allowBlank="1" showInputMessage="1" showErrorMessage="1" xr:uid="{2659673D-055C-40BA-B8CC-5B24B3236EA3}">
          <x14:formula1>
            <xm:f>Lookup_Lists!$A$36:$A$42</xm:f>
          </x14:formula1>
          <xm:sqref>B109:B113 B118:B125 B147:B152</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topLeftCell="A126" workbookViewId="0">
      <selection activeCell="C100" sqref="C100:C10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1342</v>
      </c>
      <c r="B1" s="896"/>
      <c r="C1" s="896"/>
      <c r="D1" s="896"/>
      <c r="E1" s="896"/>
      <c r="F1" s="896"/>
      <c r="G1" s="896"/>
      <c r="H1" s="896"/>
      <c r="I1" s="896"/>
      <c r="J1" s="896"/>
    </row>
    <row r="2" spans="1:10" s="223" customFormat="1">
      <c r="A2" s="219" t="s">
        <v>142</v>
      </c>
      <c r="B2" s="220" t="s">
        <v>641</v>
      </c>
      <c r="C2" s="219" t="s">
        <v>902</v>
      </c>
      <c r="D2" s="220" t="s">
        <v>1094</v>
      </c>
      <c r="E2" s="219" t="s">
        <v>151</v>
      </c>
      <c r="F2" s="220" t="s">
        <v>1095</v>
      </c>
      <c r="G2" s="219" t="s">
        <v>174</v>
      </c>
      <c r="H2" s="221">
        <v>0.5</v>
      </c>
      <c r="I2" s="219" t="s">
        <v>154</v>
      </c>
      <c r="J2" s="222" t="s">
        <v>1096</v>
      </c>
    </row>
    <row r="3" spans="1:10" s="227" customFormat="1" ht="25.5">
      <c r="A3" s="219" t="s">
        <v>903</v>
      </c>
      <c r="B3" s="224">
        <v>46198.56512392361</v>
      </c>
      <c r="C3" s="225" t="s">
        <v>904</v>
      </c>
      <c r="D3" s="226" t="s">
        <v>721</v>
      </c>
      <c r="E3" s="219" t="s">
        <v>905</v>
      </c>
      <c r="F3" s="226" t="s">
        <v>1343</v>
      </c>
      <c r="G3" s="219" t="s">
        <v>907</v>
      </c>
      <c r="H3" s="226" t="s">
        <v>908</v>
      </c>
      <c r="I3" s="219" t="s">
        <v>551</v>
      </c>
      <c r="J3" s="226" t="s">
        <v>1344</v>
      </c>
    </row>
    <row r="4" spans="1:10" s="227" customFormat="1" ht="102">
      <c r="A4" s="219" t="s">
        <v>161</v>
      </c>
      <c r="B4" s="226">
        <v>0</v>
      </c>
      <c r="C4" s="219" t="s">
        <v>199</v>
      </c>
      <c r="D4" s="226">
        <v>0</v>
      </c>
      <c r="E4" s="219" t="s">
        <v>179</v>
      </c>
      <c r="F4" s="226">
        <v>0</v>
      </c>
      <c r="G4" s="219" t="s">
        <v>870</v>
      </c>
      <c r="H4" s="228" t="s">
        <v>1345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604" t="s">
        <v>1346</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38.25">
      <c r="A10" s="13" t="s">
        <v>641</v>
      </c>
      <c r="B10" s="13" t="s">
        <v>20</v>
      </c>
      <c r="C10" s="13" t="s">
        <v>923</v>
      </c>
      <c r="D10" s="13" t="s">
        <v>1347</v>
      </c>
      <c r="E10" s="13" t="s">
        <v>369</v>
      </c>
      <c r="F10" s="13">
        <v>2</v>
      </c>
      <c r="G10" s="13">
        <v>0</v>
      </c>
      <c r="H10" s="13" t="s">
        <v>677</v>
      </c>
      <c r="I10" s="13" t="s">
        <v>1348</v>
      </c>
      <c r="J10" s="13" t="s">
        <v>1349</v>
      </c>
    </row>
    <row r="11" spans="1:10" ht="63.75">
      <c r="A11" s="13" t="s">
        <v>641</v>
      </c>
      <c r="B11" s="13" t="s">
        <v>682</v>
      </c>
      <c r="C11" s="13" t="s">
        <v>919</v>
      </c>
      <c r="D11" s="13" t="s">
        <v>1350</v>
      </c>
      <c r="E11" s="13" t="s">
        <v>369</v>
      </c>
      <c r="F11" s="13">
        <v>1</v>
      </c>
      <c r="G11" s="13">
        <v>1</v>
      </c>
      <c r="H11" s="13" t="s">
        <v>677</v>
      </c>
      <c r="I11" s="13" t="s">
        <v>1351</v>
      </c>
      <c r="J11" s="13" t="s">
        <v>1352</v>
      </c>
    </row>
    <row r="12" spans="1:10" ht="51">
      <c r="A12" s="13" t="s">
        <v>641</v>
      </c>
      <c r="B12" s="13" t="s">
        <v>1353</v>
      </c>
      <c r="C12" s="13" t="s">
        <v>933</v>
      </c>
      <c r="D12" s="13" t="s">
        <v>1354</v>
      </c>
      <c r="E12" s="13" t="s">
        <v>369</v>
      </c>
      <c r="F12" s="13">
        <v>1</v>
      </c>
      <c r="G12" s="13">
        <v>1</v>
      </c>
      <c r="H12" s="13" t="s">
        <v>677</v>
      </c>
      <c r="I12" s="13" t="s">
        <v>1355</v>
      </c>
      <c r="J12" s="13" t="s">
        <v>1356</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38.25">
      <c r="A16" s="13" t="s">
        <v>20</v>
      </c>
      <c r="B16" s="122" t="s">
        <v>677</v>
      </c>
      <c r="C16" s="122" t="s">
        <v>677</v>
      </c>
      <c r="D16" s="122" t="s">
        <v>677</v>
      </c>
      <c r="E16" s="122" t="s">
        <v>677</v>
      </c>
      <c r="F16" s="122" t="s">
        <v>677</v>
      </c>
      <c r="G16" s="122" t="s">
        <v>677</v>
      </c>
      <c r="H16" s="122" t="s">
        <v>677</v>
      </c>
      <c r="I16" s="122" t="s">
        <v>677</v>
      </c>
      <c r="J16" s="13" t="s">
        <v>1357</v>
      </c>
    </row>
    <row r="17" spans="1:10" ht="51">
      <c r="A17" s="13" t="s">
        <v>682</v>
      </c>
      <c r="B17" s="122" t="s">
        <v>677</v>
      </c>
      <c r="C17" s="122" t="s">
        <v>677</v>
      </c>
      <c r="D17" s="122" t="s">
        <v>677</v>
      </c>
      <c r="E17" s="122" t="s">
        <v>677</v>
      </c>
      <c r="F17" s="122" t="s">
        <v>677</v>
      </c>
      <c r="G17" s="122" t="s">
        <v>677</v>
      </c>
      <c r="H17" s="122" t="s">
        <v>677</v>
      </c>
      <c r="I17" s="122" t="s">
        <v>677</v>
      </c>
      <c r="J17" s="13" t="s">
        <v>1358</v>
      </c>
    </row>
    <row r="18" spans="1:10" ht="38.25">
      <c r="A18" s="13" t="s">
        <v>1353</v>
      </c>
      <c r="B18" s="122" t="s">
        <v>677</v>
      </c>
      <c r="C18" s="122" t="s">
        <v>677</v>
      </c>
      <c r="D18" s="122" t="s">
        <v>677</v>
      </c>
      <c r="E18" s="122" t="s">
        <v>677</v>
      </c>
      <c r="F18" s="122" t="s">
        <v>677</v>
      </c>
      <c r="G18" s="122" t="s">
        <v>677</v>
      </c>
      <c r="H18" s="122" t="s">
        <v>677</v>
      </c>
      <c r="I18" s="122" t="s">
        <v>677</v>
      </c>
      <c r="J18" s="13" t="s">
        <v>1359</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38.25">
      <c r="A22" s="13" t="s">
        <v>20</v>
      </c>
      <c r="B22" s="122" t="s">
        <v>677</v>
      </c>
      <c r="C22" s="122" t="s">
        <v>677</v>
      </c>
      <c r="D22" s="122" t="s">
        <v>677</v>
      </c>
      <c r="E22" s="122" t="s">
        <v>677</v>
      </c>
      <c r="F22" s="122" t="s">
        <v>677</v>
      </c>
      <c r="G22" s="122" t="s">
        <v>677</v>
      </c>
      <c r="H22" s="122" t="s">
        <v>677</v>
      </c>
      <c r="I22" s="122" t="s">
        <v>677</v>
      </c>
      <c r="J22" s="13" t="s">
        <v>1360</v>
      </c>
    </row>
    <row r="23" spans="1:10" ht="38.25">
      <c r="A23" s="13" t="s">
        <v>682</v>
      </c>
      <c r="B23" s="122" t="s">
        <v>677</v>
      </c>
      <c r="C23" s="122" t="s">
        <v>677</v>
      </c>
      <c r="D23" s="122" t="s">
        <v>677</v>
      </c>
      <c r="E23" s="122" t="s">
        <v>677</v>
      </c>
      <c r="F23" s="122" t="s">
        <v>677</v>
      </c>
      <c r="G23" s="122" t="s">
        <v>677</v>
      </c>
      <c r="H23" s="122" t="s">
        <v>677</v>
      </c>
      <c r="I23" s="122" t="s">
        <v>677</v>
      </c>
      <c r="J23" s="13" t="s">
        <v>1361</v>
      </c>
    </row>
    <row r="24" spans="1:10" ht="38.25">
      <c r="A24" s="13" t="s">
        <v>1353</v>
      </c>
      <c r="B24" s="122" t="s">
        <v>677</v>
      </c>
      <c r="C24" s="122" t="s">
        <v>677</v>
      </c>
      <c r="D24" s="122" t="s">
        <v>677</v>
      </c>
      <c r="E24" s="122" t="s">
        <v>677</v>
      </c>
      <c r="F24" s="122" t="s">
        <v>677</v>
      </c>
      <c r="G24" s="122" t="s">
        <v>677</v>
      </c>
      <c r="H24" s="122" t="s">
        <v>677</v>
      </c>
      <c r="I24" s="122" t="s">
        <v>677</v>
      </c>
      <c r="J24" s="13" t="s">
        <v>1362</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20</v>
      </c>
      <c r="B28" s="122" t="s">
        <v>677</v>
      </c>
      <c r="C28" s="122" t="s">
        <v>677</v>
      </c>
      <c r="D28" s="122" t="s">
        <v>677</v>
      </c>
      <c r="E28" s="122" t="s">
        <v>677</v>
      </c>
      <c r="F28" s="122" t="s">
        <v>677</v>
      </c>
      <c r="G28" s="122" t="s">
        <v>677</v>
      </c>
      <c r="H28" s="122" t="s">
        <v>677</v>
      </c>
      <c r="I28" s="122" t="s">
        <v>677</v>
      </c>
      <c r="J28" s="13" t="s">
        <v>1363</v>
      </c>
    </row>
    <row r="29" spans="1:10" ht="38.25">
      <c r="A29" s="13" t="s">
        <v>682</v>
      </c>
      <c r="B29" s="122" t="s">
        <v>677</v>
      </c>
      <c r="C29" s="122" t="s">
        <v>677</v>
      </c>
      <c r="D29" s="122" t="s">
        <v>677</v>
      </c>
      <c r="E29" s="122" t="s">
        <v>677</v>
      </c>
      <c r="F29" s="122" t="s">
        <v>677</v>
      </c>
      <c r="G29" s="122" t="s">
        <v>677</v>
      </c>
      <c r="H29" s="122" t="s">
        <v>677</v>
      </c>
      <c r="I29" s="122" t="s">
        <v>677</v>
      </c>
      <c r="J29" s="13" t="s">
        <v>1364</v>
      </c>
    </row>
    <row r="30" spans="1:10" ht="38.25">
      <c r="A30" s="13" t="s">
        <v>1353</v>
      </c>
      <c r="B30" s="122" t="s">
        <v>677</v>
      </c>
      <c r="C30" s="122" t="s">
        <v>677</v>
      </c>
      <c r="D30" s="122" t="s">
        <v>677</v>
      </c>
      <c r="E30" s="122" t="s">
        <v>677</v>
      </c>
      <c r="F30" s="122" t="s">
        <v>677</v>
      </c>
      <c r="G30" s="122" t="s">
        <v>677</v>
      </c>
      <c r="H30" s="122" t="s">
        <v>677</v>
      </c>
      <c r="I30" s="122" t="s">
        <v>677</v>
      </c>
      <c r="J30" s="13" t="s">
        <v>1365</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51">
      <c r="A34" s="13" t="s">
        <v>20</v>
      </c>
      <c r="B34" s="122" t="s">
        <v>677</v>
      </c>
      <c r="C34" s="13" t="s">
        <v>1366</v>
      </c>
      <c r="D34" s="122" t="s">
        <v>677</v>
      </c>
      <c r="E34" s="122" t="s">
        <v>677</v>
      </c>
      <c r="F34" s="13" t="s">
        <v>1367</v>
      </c>
      <c r="G34" s="122" t="s">
        <v>677</v>
      </c>
      <c r="H34" s="122" t="s">
        <v>677</v>
      </c>
      <c r="I34" s="122" t="s">
        <v>677</v>
      </c>
      <c r="J34" s="13" t="s">
        <v>1368</v>
      </c>
    </row>
    <row r="35" spans="1:10" ht="38.25">
      <c r="A35" s="13" t="s">
        <v>682</v>
      </c>
      <c r="B35" s="122" t="s">
        <v>677</v>
      </c>
      <c r="C35" s="13" t="s">
        <v>1366</v>
      </c>
      <c r="D35" s="122" t="s">
        <v>677</v>
      </c>
      <c r="E35" s="122" t="s">
        <v>677</v>
      </c>
      <c r="F35" s="13" t="s">
        <v>1369</v>
      </c>
      <c r="G35" s="122" t="s">
        <v>677</v>
      </c>
      <c r="H35" s="122" t="s">
        <v>677</v>
      </c>
      <c r="I35" s="122" t="s">
        <v>677</v>
      </c>
      <c r="J35" s="13" t="s">
        <v>1370</v>
      </c>
    </row>
    <row r="36" spans="1:10" ht="38.25">
      <c r="A36" s="13" t="s">
        <v>1353</v>
      </c>
      <c r="B36" s="122" t="s">
        <v>677</v>
      </c>
      <c r="C36" s="13" t="s">
        <v>1366</v>
      </c>
      <c r="D36" s="122" t="s">
        <v>677</v>
      </c>
      <c r="E36" s="122" t="s">
        <v>677</v>
      </c>
      <c r="F36" s="13" t="s">
        <v>1371</v>
      </c>
      <c r="G36" s="122" t="s">
        <v>677</v>
      </c>
      <c r="H36" s="122" t="s">
        <v>677</v>
      </c>
      <c r="I36" s="122" t="s">
        <v>677</v>
      </c>
      <c r="J36" s="13" t="s">
        <v>1372</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3.75">
      <c r="A40" s="13" t="s">
        <v>20</v>
      </c>
      <c r="B40" s="122" t="s">
        <v>677</v>
      </c>
      <c r="C40" s="122" t="s">
        <v>677</v>
      </c>
      <c r="D40" s="122" t="s">
        <v>677</v>
      </c>
      <c r="E40" s="122" t="s">
        <v>677</v>
      </c>
      <c r="F40" s="122" t="s">
        <v>677</v>
      </c>
      <c r="G40" s="122" t="s">
        <v>677</v>
      </c>
      <c r="H40" s="122" t="s">
        <v>677</v>
      </c>
      <c r="I40" s="122" t="s">
        <v>677</v>
      </c>
      <c r="J40" s="13" t="s">
        <v>1373</v>
      </c>
    </row>
    <row r="41" spans="1:10" ht="63.75">
      <c r="A41" s="13" t="s">
        <v>682</v>
      </c>
      <c r="B41" s="122" t="s">
        <v>677</v>
      </c>
      <c r="C41" s="122" t="s">
        <v>677</v>
      </c>
      <c r="D41" s="122" t="s">
        <v>677</v>
      </c>
      <c r="E41" s="122" t="s">
        <v>677</v>
      </c>
      <c r="F41" s="122" t="s">
        <v>677</v>
      </c>
      <c r="G41" s="122" t="s">
        <v>677</v>
      </c>
      <c r="H41" s="122" t="s">
        <v>677</v>
      </c>
      <c r="I41" s="122" t="s">
        <v>677</v>
      </c>
      <c r="J41" s="13" t="s">
        <v>1374</v>
      </c>
    </row>
    <row r="42" spans="1:10" ht="38.25">
      <c r="A42" s="13" t="s">
        <v>1353</v>
      </c>
      <c r="B42" s="122" t="s">
        <v>677</v>
      </c>
      <c r="C42" s="122" t="s">
        <v>677</v>
      </c>
      <c r="D42" s="122" t="s">
        <v>677</v>
      </c>
      <c r="E42" s="122" t="s">
        <v>677</v>
      </c>
      <c r="F42" s="122" t="s">
        <v>677</v>
      </c>
      <c r="G42" s="122" t="s">
        <v>677</v>
      </c>
      <c r="H42" s="122" t="s">
        <v>677</v>
      </c>
      <c r="I42" s="122" t="s">
        <v>677</v>
      </c>
      <c r="J42" s="13" t="s">
        <v>1375</v>
      </c>
    </row>
    <row r="43" spans="1:10" s="127" customFormat="1">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25.5">
      <c r="A46" s="13" t="s">
        <v>20</v>
      </c>
      <c r="B46" s="122" t="s">
        <v>677</v>
      </c>
      <c r="C46" s="122" t="s">
        <v>677</v>
      </c>
      <c r="D46" s="122" t="s">
        <v>677</v>
      </c>
      <c r="E46" s="122" t="s">
        <v>677</v>
      </c>
      <c r="F46" s="122" t="s">
        <v>677</v>
      </c>
      <c r="G46" s="122" t="s">
        <v>677</v>
      </c>
      <c r="H46" s="122" t="s">
        <v>677</v>
      </c>
      <c r="I46" s="122" t="s">
        <v>677</v>
      </c>
      <c r="J46" s="13" t="s">
        <v>1376</v>
      </c>
    </row>
    <row r="47" spans="1:10" ht="38.25">
      <c r="A47" s="13" t="s">
        <v>682</v>
      </c>
      <c r="B47" s="122" t="s">
        <v>677</v>
      </c>
      <c r="C47" s="122" t="s">
        <v>677</v>
      </c>
      <c r="D47" s="122" t="s">
        <v>677</v>
      </c>
      <c r="E47" s="122" t="s">
        <v>677</v>
      </c>
      <c r="F47" s="122" t="s">
        <v>677</v>
      </c>
      <c r="G47" s="122" t="s">
        <v>677</v>
      </c>
      <c r="H47" s="122" t="s">
        <v>677</v>
      </c>
      <c r="I47" s="122" t="s">
        <v>677</v>
      </c>
      <c r="J47" s="13" t="s">
        <v>1377</v>
      </c>
    </row>
    <row r="48" spans="1:10" ht="25.5">
      <c r="A48" s="13" t="s">
        <v>1353</v>
      </c>
      <c r="B48" s="122" t="s">
        <v>677</v>
      </c>
      <c r="C48" s="122" t="s">
        <v>677</v>
      </c>
      <c r="D48" s="122" t="s">
        <v>677</v>
      </c>
      <c r="E48" s="122" t="s">
        <v>677</v>
      </c>
      <c r="F48" s="122" t="s">
        <v>677</v>
      </c>
      <c r="G48" s="122" t="s">
        <v>677</v>
      </c>
      <c r="H48" s="122" t="s">
        <v>677</v>
      </c>
      <c r="I48" s="122" t="s">
        <v>677</v>
      </c>
      <c r="J48" s="13" t="s">
        <v>1378</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1379</v>
      </c>
      <c r="B52" s="13" t="s">
        <v>575</v>
      </c>
      <c r="C52" s="13" t="s">
        <v>1380</v>
      </c>
      <c r="D52" s="13" t="s">
        <v>391</v>
      </c>
      <c r="E52" s="13" t="s">
        <v>488</v>
      </c>
      <c r="F52" s="13">
        <v>6</v>
      </c>
      <c r="G52" s="13" t="s">
        <v>1381</v>
      </c>
      <c r="H52" s="13" t="s">
        <v>1382</v>
      </c>
      <c r="I52" s="13" t="s">
        <v>502</v>
      </c>
      <c r="J52" s="13" t="s">
        <v>1383</v>
      </c>
    </row>
    <row r="53" spans="1:10" ht="63.75">
      <c r="A53" s="13" t="s">
        <v>1384</v>
      </c>
      <c r="B53" s="13" t="s">
        <v>20</v>
      </c>
      <c r="C53" s="13" t="s">
        <v>1385</v>
      </c>
      <c r="D53" s="13" t="s">
        <v>391</v>
      </c>
      <c r="E53" s="13" t="s">
        <v>488</v>
      </c>
      <c r="F53" s="13">
        <v>6</v>
      </c>
      <c r="G53" s="13" t="s">
        <v>1386</v>
      </c>
      <c r="H53" s="13" t="s">
        <v>1023</v>
      </c>
      <c r="I53" s="13" t="s">
        <v>502</v>
      </c>
      <c r="J53" s="13" t="s">
        <v>1387</v>
      </c>
    </row>
    <row r="54" spans="1:10" ht="63.75">
      <c r="A54" s="13" t="s">
        <v>1388</v>
      </c>
      <c r="B54" s="13" t="s">
        <v>682</v>
      </c>
      <c r="C54" s="13" t="s">
        <v>1389</v>
      </c>
      <c r="D54" s="13" t="s">
        <v>391</v>
      </c>
      <c r="E54" s="13" t="s">
        <v>488</v>
      </c>
      <c r="F54" s="13">
        <v>6</v>
      </c>
      <c r="G54" s="13" t="s">
        <v>1390</v>
      </c>
      <c r="H54" s="13" t="s">
        <v>1382</v>
      </c>
      <c r="I54" s="13" t="s">
        <v>502</v>
      </c>
      <c r="J54" s="13" t="s">
        <v>1391</v>
      </c>
    </row>
    <row r="55" spans="1:10" ht="63.75">
      <c r="A55" s="13" t="s">
        <v>642</v>
      </c>
      <c r="B55" s="13" t="s">
        <v>575</v>
      </c>
      <c r="C55" s="13" t="s">
        <v>644</v>
      </c>
      <c r="D55" s="13" t="s">
        <v>492</v>
      </c>
      <c r="E55" s="13" t="s">
        <v>488</v>
      </c>
      <c r="F55" s="13">
        <v>8</v>
      </c>
      <c r="G55" s="13" t="s">
        <v>1392</v>
      </c>
      <c r="H55" s="13" t="s">
        <v>643</v>
      </c>
      <c r="I55" s="13" t="s">
        <v>502</v>
      </c>
      <c r="J55" s="13" t="s">
        <v>1393</v>
      </c>
    </row>
    <row r="56" spans="1:10" ht="51">
      <c r="A56" s="13" t="s">
        <v>1394</v>
      </c>
      <c r="B56" s="13" t="s">
        <v>575</v>
      </c>
      <c r="C56" s="13" t="s">
        <v>1395</v>
      </c>
      <c r="D56" s="13" t="s">
        <v>391</v>
      </c>
      <c r="E56" s="13" t="s">
        <v>488</v>
      </c>
      <c r="F56" s="13">
        <v>6</v>
      </c>
      <c r="G56" s="13" t="s">
        <v>1396</v>
      </c>
      <c r="H56" s="13" t="s">
        <v>1032</v>
      </c>
      <c r="I56" s="13" t="s">
        <v>502</v>
      </c>
      <c r="J56" s="13" t="s">
        <v>1397</v>
      </c>
    </row>
    <row r="57" spans="1:10" ht="51">
      <c r="A57" s="13" t="s">
        <v>647</v>
      </c>
      <c r="B57" s="13" t="s">
        <v>575</v>
      </c>
      <c r="C57" s="13" t="s">
        <v>649</v>
      </c>
      <c r="D57" s="13" t="s">
        <v>492</v>
      </c>
      <c r="E57" s="13" t="s">
        <v>488</v>
      </c>
      <c r="F57" s="13">
        <v>8</v>
      </c>
      <c r="G57" s="13" t="s">
        <v>1398</v>
      </c>
      <c r="H57" s="13" t="s">
        <v>648</v>
      </c>
      <c r="I57" s="13" t="s">
        <v>502</v>
      </c>
      <c r="J57" s="13" t="s">
        <v>1399</v>
      </c>
    </row>
    <row r="58" spans="1:10" ht="63.75">
      <c r="A58" s="13" t="s">
        <v>1400</v>
      </c>
      <c r="B58" s="13" t="s">
        <v>575</v>
      </c>
      <c r="C58" s="13" t="s">
        <v>1401</v>
      </c>
      <c r="D58" s="13" t="s">
        <v>492</v>
      </c>
      <c r="E58" s="13" t="s">
        <v>488</v>
      </c>
      <c r="F58" s="13">
        <v>8</v>
      </c>
      <c r="G58" s="13" t="s">
        <v>1402</v>
      </c>
      <c r="H58" s="13" t="s">
        <v>1403</v>
      </c>
      <c r="I58" s="13" t="s">
        <v>502</v>
      </c>
      <c r="J58" s="13" t="s">
        <v>1404</v>
      </c>
    </row>
    <row r="59" spans="1:10" ht="51">
      <c r="A59" s="13" t="s">
        <v>1405</v>
      </c>
      <c r="B59" s="13" t="s">
        <v>575</v>
      </c>
      <c r="C59" s="13" t="s">
        <v>1406</v>
      </c>
      <c r="D59" s="13" t="s">
        <v>391</v>
      </c>
      <c r="E59" s="13" t="s">
        <v>488</v>
      </c>
      <c r="F59" s="13">
        <v>6</v>
      </c>
      <c r="G59" s="13" t="s">
        <v>1407</v>
      </c>
      <c r="H59" s="13" t="s">
        <v>1049</v>
      </c>
      <c r="I59" s="13" t="s">
        <v>502</v>
      </c>
      <c r="J59" s="13" t="s">
        <v>1408</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1409</v>
      </c>
      <c r="B63" s="13" t="s">
        <v>1410</v>
      </c>
      <c r="C63" s="13" t="s">
        <v>579</v>
      </c>
      <c r="D63" s="13" t="s">
        <v>502</v>
      </c>
      <c r="E63" s="13"/>
      <c r="F63" s="13"/>
      <c r="G63" s="13" t="s">
        <v>1411</v>
      </c>
      <c r="H63" s="13"/>
      <c r="I63" s="13"/>
      <c r="J63" s="13"/>
    </row>
    <row r="64" spans="1:10" ht="63.75">
      <c r="A64" s="13" t="s">
        <v>1412</v>
      </c>
      <c r="B64" s="13" t="s">
        <v>1413</v>
      </c>
      <c r="C64" s="13" t="s">
        <v>1414</v>
      </c>
      <c r="D64" s="13" t="s">
        <v>502</v>
      </c>
      <c r="E64" s="13"/>
      <c r="F64" s="13"/>
      <c r="G64" s="13" t="s">
        <v>1415</v>
      </c>
      <c r="H64" s="13"/>
      <c r="I64" s="13"/>
      <c r="J64" s="13"/>
    </row>
    <row r="65" spans="1:10" ht="76.5">
      <c r="A65" s="13" t="s">
        <v>1416</v>
      </c>
      <c r="B65" s="13" t="s">
        <v>1417</v>
      </c>
      <c r="C65" s="13" t="s">
        <v>609</v>
      </c>
      <c r="D65" s="13" t="s">
        <v>502</v>
      </c>
      <c r="E65" s="13"/>
      <c r="F65" s="13"/>
      <c r="G65" s="13" t="s">
        <v>1418</v>
      </c>
      <c r="H65" s="13"/>
      <c r="I65" s="13"/>
      <c r="J65" s="13"/>
    </row>
    <row r="66" spans="1:10" ht="63.75">
      <c r="A66" s="13" t="s">
        <v>1419</v>
      </c>
      <c r="B66" s="13" t="s">
        <v>1420</v>
      </c>
      <c r="C66" s="13" t="s">
        <v>587</v>
      </c>
      <c r="D66" s="13" t="s">
        <v>502</v>
      </c>
      <c r="E66" s="13"/>
      <c r="F66" s="13"/>
      <c r="G66" s="13" t="s">
        <v>1421</v>
      </c>
      <c r="H66" s="13"/>
      <c r="I66" s="13"/>
      <c r="J66" s="13"/>
    </row>
    <row r="67" spans="1:10" ht="89.25">
      <c r="A67" s="13" t="s">
        <v>1422</v>
      </c>
      <c r="B67" s="13" t="s">
        <v>1423</v>
      </c>
      <c r="C67" s="13" t="s">
        <v>609</v>
      </c>
      <c r="D67" s="13" t="s">
        <v>502</v>
      </c>
      <c r="E67" s="13"/>
      <c r="F67" s="13"/>
      <c r="G67" s="13" t="s">
        <v>1424</v>
      </c>
      <c r="H67" s="13"/>
      <c r="I67" s="13"/>
      <c r="J67" s="13"/>
    </row>
    <row r="68" spans="1:10" ht="76.5">
      <c r="A68" s="13" t="s">
        <v>1425</v>
      </c>
      <c r="B68" s="13" t="s">
        <v>1426</v>
      </c>
      <c r="C68" s="13" t="s">
        <v>616</v>
      </c>
      <c r="D68" s="13" t="s">
        <v>502</v>
      </c>
      <c r="E68" s="13"/>
      <c r="F68" s="13"/>
      <c r="G68" s="13" t="s">
        <v>1427</v>
      </c>
      <c r="H68" s="13"/>
      <c r="I68" s="13"/>
      <c r="J68" s="13"/>
    </row>
    <row r="69" spans="1:10" ht="76.5">
      <c r="A69" s="13" t="s">
        <v>1428</v>
      </c>
      <c r="B69" s="13" t="s">
        <v>1429</v>
      </c>
      <c r="C69" s="13" t="s">
        <v>1430</v>
      </c>
      <c r="D69" s="13" t="s">
        <v>502</v>
      </c>
      <c r="E69" s="13"/>
      <c r="F69" s="13"/>
      <c r="G69" s="13" t="s">
        <v>623</v>
      </c>
      <c r="H69" s="13"/>
      <c r="I69" s="13"/>
      <c r="J69" s="13"/>
    </row>
    <row r="70" spans="1:10" ht="102">
      <c r="A70" s="13" t="s">
        <v>1431</v>
      </c>
      <c r="B70" s="13" t="s">
        <v>1432</v>
      </c>
      <c r="C70" s="13" t="s">
        <v>1049</v>
      </c>
      <c r="D70" s="13" t="s">
        <v>502</v>
      </c>
      <c r="E70" s="13"/>
      <c r="F70" s="13"/>
      <c r="G70" s="13" t="s">
        <v>1433</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51">
      <c r="A74" s="13" t="s">
        <v>1434</v>
      </c>
      <c r="B74" s="13" t="s">
        <v>20</v>
      </c>
      <c r="C74" s="13" t="s">
        <v>269</v>
      </c>
      <c r="D74" s="13" t="s">
        <v>1435</v>
      </c>
      <c r="E74" s="13"/>
      <c r="F74" s="13" t="s">
        <v>229</v>
      </c>
      <c r="G74" s="13"/>
      <c r="H74" s="13" t="s">
        <v>1436</v>
      </c>
      <c r="I74" s="13" t="s">
        <v>502</v>
      </c>
      <c r="J74" s="13"/>
    </row>
    <row r="75" spans="1:10" ht="63.75">
      <c r="A75" s="13" t="s">
        <v>1437</v>
      </c>
      <c r="B75" s="13" t="s">
        <v>682</v>
      </c>
      <c r="C75" s="13" t="s">
        <v>269</v>
      </c>
      <c r="D75" s="13" t="s">
        <v>1438</v>
      </c>
      <c r="E75" s="13"/>
      <c r="F75" s="13" t="s">
        <v>229</v>
      </c>
      <c r="G75" s="13"/>
      <c r="H75" s="13" t="s">
        <v>1388</v>
      </c>
      <c r="I75" s="13" t="s">
        <v>502</v>
      </c>
      <c r="J75" s="13"/>
    </row>
    <row r="76" spans="1:10" ht="38.25">
      <c r="A76" s="13" t="s">
        <v>1439</v>
      </c>
      <c r="B76" s="13" t="s">
        <v>1353</v>
      </c>
      <c r="C76" s="13" t="s">
        <v>269</v>
      </c>
      <c r="D76" s="13" t="s">
        <v>1440</v>
      </c>
      <c r="E76" s="13"/>
      <c r="F76" s="13" t="s">
        <v>229</v>
      </c>
      <c r="G76" s="13"/>
      <c r="H76" s="13" t="s">
        <v>1379</v>
      </c>
      <c r="I76" s="13" t="s">
        <v>502</v>
      </c>
      <c r="J76" s="13"/>
    </row>
    <row r="77" spans="1:10" ht="63.75">
      <c r="A77" s="13" t="s">
        <v>1441</v>
      </c>
      <c r="B77" s="13" t="s">
        <v>575</v>
      </c>
      <c r="C77" s="13" t="s">
        <v>957</v>
      </c>
      <c r="D77" s="13" t="s">
        <v>1442</v>
      </c>
      <c r="E77" s="13"/>
      <c r="F77" s="13" t="s">
        <v>229</v>
      </c>
      <c r="G77" s="13"/>
      <c r="H77" s="13" t="s">
        <v>1400</v>
      </c>
      <c r="I77" s="13" t="s">
        <v>502</v>
      </c>
      <c r="J77" s="13"/>
    </row>
    <row r="78" spans="1:10" ht="51">
      <c r="A78" s="13" t="s">
        <v>1443</v>
      </c>
      <c r="B78" s="13" t="s">
        <v>575</v>
      </c>
      <c r="C78" s="13" t="s">
        <v>148</v>
      </c>
      <c r="D78" s="13" t="s">
        <v>1444</v>
      </c>
      <c r="E78" s="13"/>
      <c r="F78" s="13" t="s">
        <v>229</v>
      </c>
      <c r="G78" s="13"/>
      <c r="H78" s="13" t="s">
        <v>642</v>
      </c>
      <c r="I78" s="13" t="s">
        <v>502</v>
      </c>
      <c r="J78" s="13"/>
    </row>
    <row r="79" spans="1:10" ht="51">
      <c r="A79" s="13" t="s">
        <v>1445</v>
      </c>
      <c r="B79" s="13" t="s">
        <v>575</v>
      </c>
      <c r="C79" s="13" t="s">
        <v>153</v>
      </c>
      <c r="D79" s="13" t="s">
        <v>1446</v>
      </c>
      <c r="E79" s="13"/>
      <c r="F79" s="13" t="s">
        <v>229</v>
      </c>
      <c r="G79" s="13"/>
      <c r="H79" s="13" t="s">
        <v>1394</v>
      </c>
      <c r="I79" s="13" t="s">
        <v>502</v>
      </c>
      <c r="J79" s="13"/>
    </row>
    <row r="80" spans="1:10" ht="38.25">
      <c r="A80" s="13" t="s">
        <v>1447</v>
      </c>
      <c r="B80" s="13" t="s">
        <v>575</v>
      </c>
      <c r="C80" s="13" t="s">
        <v>155</v>
      </c>
      <c r="D80" s="13" t="s">
        <v>1448</v>
      </c>
      <c r="E80" s="13"/>
      <c r="F80" s="13" t="s">
        <v>229</v>
      </c>
      <c r="G80" s="13"/>
      <c r="H80" s="13" t="s">
        <v>647</v>
      </c>
      <c r="I80" s="13" t="s">
        <v>502</v>
      </c>
      <c r="J80" s="13"/>
    </row>
    <row r="81" spans="1:10" ht="51">
      <c r="A81" s="13" t="s">
        <v>1449</v>
      </c>
      <c r="B81" s="13" t="s">
        <v>575</v>
      </c>
      <c r="C81" s="13" t="s">
        <v>556</v>
      </c>
      <c r="D81" s="13" t="s">
        <v>1450</v>
      </c>
      <c r="E81" s="13"/>
      <c r="F81" s="13" t="s">
        <v>229</v>
      </c>
      <c r="G81" s="13"/>
      <c r="H81" s="13" t="s">
        <v>1388</v>
      </c>
      <c r="I81" s="13" t="s">
        <v>502</v>
      </c>
      <c r="J81" s="13"/>
    </row>
    <row r="82" spans="1:10">
      <c r="A82" s="13"/>
      <c r="B82" s="13"/>
      <c r="C82" s="13"/>
      <c r="D82" s="13"/>
      <c r="E82" s="13"/>
      <c r="F82" s="13"/>
      <c r="G82" s="13"/>
      <c r="H82" s="13"/>
      <c r="I82" s="13"/>
      <c r="J82" s="13"/>
    </row>
    <row r="83" spans="1:10">
      <c r="A83" s="575" t="s">
        <v>1079</v>
      </c>
      <c r="B83" s="896"/>
      <c r="C83" s="896"/>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20</v>
      </c>
      <c r="B85" s="126">
        <v>0.5</v>
      </c>
      <c r="C85" s="126">
        <v>0.5</v>
      </c>
      <c r="D85" s="126">
        <v>0.5</v>
      </c>
      <c r="E85" s="126">
        <v>0.5</v>
      </c>
      <c r="F85" s="126">
        <v>0.5</v>
      </c>
      <c r="G85" s="13" t="s">
        <v>677</v>
      </c>
      <c r="H85" s="126">
        <v>0.5</v>
      </c>
      <c r="I85" s="13" t="s">
        <v>1201</v>
      </c>
      <c r="J85" s="13" t="s">
        <v>1451</v>
      </c>
    </row>
    <row r="86" spans="1:10" ht="25.5">
      <c r="A86" s="13" t="s">
        <v>682</v>
      </c>
      <c r="B86" s="126">
        <v>0.5</v>
      </c>
      <c r="C86" s="126">
        <v>0.5</v>
      </c>
      <c r="D86" s="126">
        <v>0.5</v>
      </c>
      <c r="E86" s="126">
        <v>0.5</v>
      </c>
      <c r="F86" s="126">
        <v>0.5</v>
      </c>
      <c r="G86" s="13" t="s">
        <v>677</v>
      </c>
      <c r="H86" s="126">
        <v>0.5</v>
      </c>
      <c r="I86" s="13" t="s">
        <v>1201</v>
      </c>
      <c r="J86" s="13" t="s">
        <v>1452</v>
      </c>
    </row>
    <row r="87" spans="1:10" ht="25.5">
      <c r="A87" s="13" t="s">
        <v>1353</v>
      </c>
      <c r="B87" s="126">
        <v>0.5</v>
      </c>
      <c r="C87" s="126">
        <v>0.5</v>
      </c>
      <c r="D87" s="126">
        <v>0.5</v>
      </c>
      <c r="E87" s="126">
        <v>0.5</v>
      </c>
      <c r="F87" s="126">
        <v>0.5</v>
      </c>
      <c r="G87" s="13" t="s">
        <v>677</v>
      </c>
      <c r="H87" s="126">
        <v>0.5</v>
      </c>
      <c r="I87" s="13" t="s">
        <v>1201</v>
      </c>
      <c r="J87" s="13" t="s">
        <v>1453</v>
      </c>
    </row>
    <row r="88" spans="1:10">
      <c r="A88" s="13"/>
      <c r="B88" s="13"/>
      <c r="C88" s="13"/>
      <c r="D88" s="13"/>
      <c r="E88" s="13"/>
      <c r="F88" s="13"/>
      <c r="G88" s="13"/>
      <c r="H88" s="13"/>
      <c r="I88" s="13"/>
      <c r="J88" s="13"/>
    </row>
    <row r="89" spans="1:10">
      <c r="A89" s="575" t="s">
        <v>1085</v>
      </c>
      <c r="B89" s="896"/>
      <c r="C89" s="896"/>
      <c r="D89" s="85"/>
      <c r="E89" s="85"/>
      <c r="F89" s="85"/>
      <c r="G89" s="85"/>
      <c r="H89" s="85"/>
      <c r="I89" s="85"/>
      <c r="J89" s="85"/>
    </row>
    <row r="90" spans="1:10" ht="38.25">
      <c r="A90" s="50" t="s">
        <v>905</v>
      </c>
      <c r="B90" s="50" t="s">
        <v>776</v>
      </c>
      <c r="C90" s="50"/>
      <c r="D90" s="50"/>
      <c r="E90" s="50"/>
      <c r="F90" s="50"/>
      <c r="G90" s="50"/>
      <c r="H90" s="50"/>
      <c r="I90" s="50"/>
      <c r="J90" s="50"/>
    </row>
    <row r="91" spans="1:10">
      <c r="A91" s="13" t="s">
        <v>1086</v>
      </c>
      <c r="B91" s="594" t="s">
        <v>1454</v>
      </c>
      <c r="C91" s="896"/>
      <c r="D91" s="896"/>
      <c r="E91" s="896"/>
      <c r="F91" s="896"/>
      <c r="G91" s="896"/>
      <c r="H91" s="896"/>
      <c r="I91" s="896"/>
      <c r="J91" s="896"/>
    </row>
    <row r="92" spans="1:10" ht="25.5">
      <c r="A92" s="13" t="s">
        <v>1455</v>
      </c>
      <c r="B92" s="594" t="s">
        <v>1456</v>
      </c>
      <c r="C92" s="896"/>
      <c r="D92" s="896"/>
      <c r="E92" s="896"/>
      <c r="F92" s="896"/>
      <c r="G92" s="896"/>
      <c r="H92" s="896"/>
      <c r="I92" s="896"/>
      <c r="J92" s="896"/>
    </row>
    <row r="93" spans="1:10">
      <c r="A93" s="13" t="s">
        <v>1088</v>
      </c>
      <c r="B93" s="594" t="s">
        <v>1457</v>
      </c>
      <c r="C93" s="896"/>
      <c r="D93" s="896"/>
      <c r="E93" s="896"/>
      <c r="F93" s="896"/>
      <c r="G93" s="896"/>
      <c r="H93" s="896"/>
      <c r="I93" s="896"/>
      <c r="J93" s="896"/>
    </row>
    <row r="94" spans="1:10">
      <c r="A94" s="13" t="s">
        <v>1090</v>
      </c>
      <c r="B94" s="594" t="s">
        <v>1458</v>
      </c>
      <c r="C94" s="896"/>
      <c r="D94" s="896"/>
      <c r="E94" s="896"/>
      <c r="F94" s="896"/>
      <c r="G94" s="896"/>
      <c r="H94" s="896"/>
      <c r="I94" s="896"/>
      <c r="J94" s="896"/>
    </row>
    <row r="95" spans="1:10" ht="25.5">
      <c r="A95" s="13" t="s">
        <v>1459</v>
      </c>
      <c r="B95" s="594" t="s">
        <v>1460</v>
      </c>
      <c r="C95" s="896"/>
      <c r="D95" s="896"/>
      <c r="E95" s="896"/>
      <c r="F95" s="896"/>
      <c r="G95" s="896"/>
      <c r="H95" s="896"/>
      <c r="I95" s="896"/>
      <c r="J95"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5">
        <v>0</v>
      </c>
      <c r="D101" s="327">
        <v>0</v>
      </c>
      <c r="E101" s="310" t="s">
        <v>5675</v>
      </c>
      <c r="F101" s="327">
        <f>IF(AND(C101&lt;&gt;"",D101&lt;&gt;""),D101-C101,"")</f>
        <v>0</v>
      </c>
      <c r="G101" s="610"/>
      <c r="H101" s="610"/>
      <c r="I101" s="610"/>
      <c r="J101" s="611"/>
    </row>
    <row r="102" spans="1:10">
      <c r="A102" s="323" t="s">
        <v>5615</v>
      </c>
      <c r="B102" s="333" t="s">
        <v>484</v>
      </c>
      <c r="C102" s="325">
        <v>0</v>
      </c>
      <c r="D102" s="327">
        <v>0</v>
      </c>
      <c r="E102" s="310" t="s">
        <v>5675</v>
      </c>
      <c r="F102" s="325">
        <f>IF(AND(C102&lt;&gt;"",D102&lt;&gt;""),D102-C102,"")</f>
        <v>0</v>
      </c>
      <c r="G102" s="328"/>
      <c r="H102" s="227"/>
      <c r="I102" s="227"/>
      <c r="J102" s="329"/>
    </row>
    <row r="103" spans="1:10">
      <c r="A103" s="326" t="s">
        <v>5616</v>
      </c>
      <c r="B103" s="333" t="s">
        <v>484</v>
      </c>
      <c r="C103" s="325">
        <v>0</v>
      </c>
      <c r="D103" s="327">
        <v>0</v>
      </c>
      <c r="E103" s="310" t="s">
        <v>5675</v>
      </c>
      <c r="F103" s="327">
        <f>IF(AND(C103&lt;&gt;"",D103&lt;&gt;""),D103-C103,"")</f>
        <v>0</v>
      </c>
      <c r="G103" s="610"/>
      <c r="H103" s="610"/>
      <c r="I103" s="610"/>
      <c r="J103" s="611"/>
    </row>
    <row r="104" spans="1:10">
      <c r="A104" s="323" t="s">
        <v>5168</v>
      </c>
      <c r="B104" s="333" t="s">
        <v>484</v>
      </c>
      <c r="C104" s="325">
        <v>0</v>
      </c>
      <c r="D104" s="327">
        <v>0</v>
      </c>
      <c r="E104" s="310" t="s">
        <v>5675</v>
      </c>
      <c r="F104" s="325">
        <f>IF(AND(C104&lt;&gt;"",D104&lt;&gt;""),D104-C104,"")</f>
        <v>0</v>
      </c>
      <c r="G104" s="328"/>
      <c r="H104" s="227"/>
      <c r="I104" s="227"/>
      <c r="J104" s="329"/>
    </row>
    <row r="105" spans="1:10" ht="15.75">
      <c r="A105" s="585" t="s">
        <v>5636</v>
      </c>
      <c r="B105" s="586"/>
      <c r="C105" s="330">
        <f>IFERROR(AVERAGE(C100:C104),"")</f>
        <v>0</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19">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105:B105"/>
    <mergeCell ref="E105:J105"/>
    <mergeCell ref="A107:C107"/>
    <mergeCell ref="D107:F107"/>
    <mergeCell ref="G107:J107"/>
    <mergeCell ref="G98:J98"/>
    <mergeCell ref="G99:J99"/>
    <mergeCell ref="G100:J100"/>
    <mergeCell ref="G101:J101"/>
    <mergeCell ref="G103:J103"/>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8 A89 D89:J89 A90:J90 A91:B95">
    <cfRule type="expression" dxfId="1293" priority="149">
      <formula>A1="Verify"</formula>
    </cfRule>
    <cfRule type="expression" dxfId="1292" priority="148">
      <formula>A1="Pass"</formula>
    </cfRule>
    <cfRule type="expression" dxfId="1291" priority="150">
      <formula>A1="Fail"</formula>
    </cfRule>
  </conditionalFormatting>
  <conditionalFormatting sqref="B34:B36">
    <cfRule type="expression" dxfId="1290" priority="135">
      <formula>B34="Not Started"</formula>
    </cfRule>
    <cfRule type="expression" dxfId="1289" priority="134">
      <formula>B34="Fail"</formula>
    </cfRule>
    <cfRule type="expression" dxfId="1288" priority="133">
      <formula>B34="Verify"</formula>
    </cfRule>
    <cfRule type="expression" dxfId="1287" priority="132">
      <formula>B34="Pass"</formula>
    </cfRule>
  </conditionalFormatting>
  <conditionalFormatting sqref="B100:B104">
    <cfRule type="expression" dxfId="1286" priority="21">
      <formula>B100="Complete"</formula>
    </cfRule>
    <cfRule type="expression" dxfId="1285" priority="23">
      <formula>B100="At Risk"</formula>
    </cfRule>
    <cfRule type="expression" dxfId="1284" priority="22">
      <formula>B100="In Progress"</formula>
    </cfRule>
    <cfRule type="expression" dxfId="1283" priority="24">
      <formula>B100="Blocked"</formula>
    </cfRule>
    <cfRule type="expression" dxfId="1282" priority="25">
      <formula>B100="Not Started"</formula>
    </cfRule>
  </conditionalFormatting>
  <conditionalFormatting sqref="B109:B116">
    <cfRule type="expression" dxfId="1281" priority="2">
      <formula>B109="In Progress"</formula>
    </cfRule>
    <cfRule type="expression" dxfId="1280" priority="3">
      <formula>B109="At Risk"</formula>
    </cfRule>
    <cfRule type="expression" dxfId="1279" priority="4">
      <formula>B109="Blocked"</formula>
    </cfRule>
    <cfRule type="expression" dxfId="1278" priority="5">
      <formula>B109="Not Started"</formula>
    </cfRule>
    <cfRule type="expression" dxfId="1277" priority="1">
      <formula>B109="Complete"</formula>
    </cfRule>
  </conditionalFormatting>
  <conditionalFormatting sqref="B121:B125">
    <cfRule type="expression" dxfId="1276" priority="26">
      <formula>B121="Complete"</formula>
    </cfRule>
    <cfRule type="expression" dxfId="1275" priority="27">
      <formula>B121="In Progress"</formula>
    </cfRule>
    <cfRule type="expression" dxfId="1274" priority="28">
      <formula>B121="At Risk"</formula>
    </cfRule>
    <cfRule type="expression" dxfId="1273" priority="29">
      <formula>B121="Blocked"</formula>
    </cfRule>
    <cfRule type="expression" dxfId="1272" priority="30">
      <formula>B121="Not Started"</formula>
    </cfRule>
  </conditionalFormatting>
  <conditionalFormatting sqref="B130:B133">
    <cfRule type="expression" dxfId="1271" priority="6">
      <formula>B130="Complete"</formula>
    </cfRule>
    <cfRule type="expression" dxfId="1270" priority="7">
      <formula>B130="In Progress"</formula>
    </cfRule>
    <cfRule type="expression" dxfId="1269" priority="8">
      <formula>B130="At Risk"</formula>
    </cfRule>
    <cfRule type="expression" dxfId="1268" priority="9">
      <formula>B130="Blocked"</formula>
    </cfRule>
    <cfRule type="expression" dxfId="1267" priority="10">
      <formula>B130="Not Started"</formula>
    </cfRule>
  </conditionalFormatting>
  <conditionalFormatting sqref="B138:B143">
    <cfRule type="expression" dxfId="1266" priority="13">
      <formula>B138="At Risk"</formula>
    </cfRule>
    <cfRule type="expression" dxfId="1265" priority="14">
      <formula>B138="Blocked"</formula>
    </cfRule>
    <cfRule type="expression" dxfId="1264" priority="15">
      <formula>B138="Not Started"</formula>
    </cfRule>
    <cfRule type="expression" dxfId="1263" priority="11">
      <formula>B138="Complete"</formula>
    </cfRule>
    <cfRule type="expression" dxfId="1262" priority="12">
      <formula>B138="In Progress"</formula>
    </cfRule>
  </conditionalFormatting>
  <conditionalFormatting sqref="B161:B168">
    <cfRule type="expression" dxfId="1261" priority="84">
      <formula>B161="No"</formula>
    </cfRule>
    <cfRule type="expression" dxfId="1260" priority="82">
      <formula>B161="Yes"</formula>
    </cfRule>
    <cfRule type="expression" dxfId="1259" priority="83">
      <formula>B161="N/A"</formula>
    </cfRule>
  </conditionalFormatting>
  <conditionalFormatting sqref="B178:H178">
    <cfRule type="expression" dxfId="1258" priority="85">
      <formula>COUNTIF($B$6:$B$13,"No")=0</formula>
    </cfRule>
    <cfRule type="expression" dxfId="1257" priority="86">
      <formula>COUNTIF($B$6:$B$13,"No")&gt;0</formula>
    </cfRule>
  </conditionalFormatting>
  <conditionalFormatting sqref="B16:I18">
    <cfRule type="expression" dxfId="1256" priority="146">
      <formula>B16="Fail"</formula>
    </cfRule>
    <cfRule type="expression" dxfId="1255" priority="147">
      <formula>B16="Not Started"</formula>
    </cfRule>
    <cfRule type="expression" dxfId="1254" priority="145">
      <formula>B16="Verify"</formula>
    </cfRule>
    <cfRule type="expression" dxfId="1253" priority="144">
      <formula>B16="Pass"</formula>
    </cfRule>
  </conditionalFormatting>
  <conditionalFormatting sqref="B22:I24">
    <cfRule type="expression" dxfId="1252" priority="143">
      <formula>B22="Not Started"</formula>
    </cfRule>
    <cfRule type="expression" dxfId="1251" priority="140">
      <formula>B22="Pass"</formula>
    </cfRule>
    <cfRule type="expression" dxfId="1250" priority="141">
      <formula>B22="Verify"</formula>
    </cfRule>
    <cfRule type="expression" dxfId="1249" priority="142">
      <formula>B22="Fail"</formula>
    </cfRule>
  </conditionalFormatting>
  <conditionalFormatting sqref="B28:I30">
    <cfRule type="expression" dxfId="1248" priority="139">
      <formula>B28="Not Started"</formula>
    </cfRule>
    <cfRule type="expression" dxfId="1247" priority="138">
      <formula>B28="Fail"</formula>
    </cfRule>
    <cfRule type="expression" dxfId="1246" priority="137">
      <formula>B28="Verify"</formula>
    </cfRule>
    <cfRule type="expression" dxfId="1245" priority="136">
      <formula>B28="Pass"</formula>
    </cfRule>
  </conditionalFormatting>
  <conditionalFormatting sqref="B40:I42">
    <cfRule type="expression" dxfId="1244" priority="120">
      <formula>B40="Pass"</formula>
    </cfRule>
    <cfRule type="expression" dxfId="1243" priority="121">
      <formula>B40="Verify"</formula>
    </cfRule>
    <cfRule type="expression" dxfId="1242" priority="122">
      <formula>B40="Fail"</formula>
    </cfRule>
    <cfRule type="expression" dxfId="1241" priority="123">
      <formula>B40="Not Started"</formula>
    </cfRule>
  </conditionalFormatting>
  <conditionalFormatting sqref="B46:I48">
    <cfRule type="expression" dxfId="1240" priority="118">
      <formula>B46="Fail"</formula>
    </cfRule>
    <cfRule type="expression" dxfId="1239" priority="116">
      <formula>B46="Pass"</formula>
    </cfRule>
    <cfRule type="expression" dxfId="1238" priority="117">
      <formula>B46="Verify"</formula>
    </cfRule>
    <cfRule type="expression" dxfId="1237"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36" priority="32">
      <formula>C109="No"</formula>
    </cfRule>
    <cfRule type="expression" dxfId="1235" priority="33">
      <formula>C109="N/A"</formula>
    </cfRule>
    <cfRule type="expression" dxfId="1234" priority="31">
      <formula>C109="Yes"</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33" priority="16">
      <formula>C138="Yes"</formula>
    </cfRule>
    <cfRule type="expression" dxfId="1232" priority="18">
      <formula>C138="N/A"</formula>
    </cfRule>
    <cfRule type="expression" dxfId="1231" priority="17">
      <formula>C138="No"</formula>
    </cfRule>
  </conditionalFormatting>
  <conditionalFormatting sqref="C144:D144">
    <cfRule type="dataBar" priority="20">
      <dataBar>
        <cfvo type="num" val="0"/>
        <cfvo type="num" val="1"/>
        <color rgb="FF5B9BD5"/>
      </dataBar>
    </cfRule>
  </conditionalFormatting>
  <conditionalFormatting sqref="D34:E36">
    <cfRule type="expression" dxfId="1230" priority="129">
      <formula>D34="Verify"</formula>
    </cfRule>
    <cfRule type="expression" dxfId="1229" priority="131">
      <formula>D34="Not Started"</formula>
    </cfRule>
    <cfRule type="expression" dxfId="1228" priority="128">
      <formula>D34="Pass"</formula>
    </cfRule>
    <cfRule type="expression" dxfId="1227" priority="130">
      <formula>D34="Fail"</formula>
    </cfRule>
  </conditionalFormatting>
  <conditionalFormatting sqref="E5 G5 I5">
    <cfRule type="expression" dxfId="1226" priority="90">
      <formula>E5="Not Started"</formula>
    </cfRule>
    <cfRule type="expression" dxfId="1225" priority="87">
      <formula>E5="Pass"</formula>
    </cfRule>
    <cfRule type="expression" dxfId="1224" priority="88">
      <formula>E5="Verify"</formula>
    </cfRule>
    <cfRule type="expression" dxfId="1223" priority="89">
      <formula>E5="Fail"</formula>
    </cfRule>
  </conditionalFormatting>
  <conditionalFormatting sqref="F3">
    <cfRule type="expression" dxfId="1222" priority="92">
      <formula>F3="No"</formula>
    </cfRule>
    <cfRule type="expression" dxfId="1221" priority="91">
      <formula>F3="Yes"</formula>
    </cfRule>
  </conditionalFormatting>
  <conditionalFormatting sqref="F121:F125">
    <cfRule type="expression" dxfId="1220" priority="36">
      <formula>F121="Pending"</formula>
    </cfRule>
    <cfRule type="expression" dxfId="1219" priority="35">
      <formula>F121="Fail"</formula>
    </cfRule>
    <cfRule type="expression" dxfId="1218" priority="34">
      <formula>F121="Pass"</formula>
    </cfRule>
  </conditionalFormatting>
  <conditionalFormatting sqref="F130:F133">
    <cfRule type="dataBar" priority="19">
      <dataBar>
        <cfvo type="num" val="0"/>
        <cfvo type="num" val="1"/>
        <color rgb="FF5B9BD5"/>
      </dataBar>
    </cfRule>
  </conditionalFormatting>
  <conditionalFormatting sqref="G34:I36">
    <cfRule type="expression" dxfId="1217" priority="125">
      <formula>G34="Verify"</formula>
    </cfRule>
    <cfRule type="expression" dxfId="1216" priority="124">
      <formula>G34="Pass"</formula>
    </cfRule>
    <cfRule type="expression" dxfId="1215" priority="127">
      <formula>G34="Not Started"</formula>
    </cfRule>
    <cfRule type="expression" dxfId="1214" priority="126">
      <formula>G34="Fail"</formula>
    </cfRule>
  </conditionalFormatting>
  <dataValidations count="6">
    <dataValidation type="list" sqref="B5:B6 B16:I18 D5 H146:I147 F5 H5 I19:I39 J5 I92:I95 D63:D70 H149:I154 I43:I90" xr:uid="{00000000-0002-0000-2700-000000000000}">
      <formula1>"Not Started,Verify,Pass,Fail,N/A,Open,Closed,Partial / Yellow"</formula1>
      <formula2>0</formula2>
    </dataValidation>
    <dataValidation type="list" sqref="H10:H15 H19:H39 H43:H90 H92:H95"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Lookup_Lists!$L$37:$L$39</xm:f>
          </x14:formula1>
          <xm:sqref>C121:E125 J2</xm:sqref>
        </x14:dataValidation>
        <x14:dataValidation type="list" allowBlank="1" showInputMessage="1" showErrorMessage="1" xr:uid="{51381DA8-9067-4AC1-B6D2-F725D30141A7}">
          <x14:formula1>
            <xm:f>Lookup_Lists!$A$36:$A$42</xm:f>
          </x14:formula1>
          <xm:sqref>B100:B104 B109:B116 B138:B143</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topLeftCell="A73" workbookViewId="0">
      <selection activeCell="C86" sqref="C86:C90"/>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1461</v>
      </c>
      <c r="B1" s="896"/>
      <c r="C1" s="896"/>
      <c r="D1" s="896"/>
      <c r="E1" s="896"/>
      <c r="F1" s="896"/>
      <c r="G1" s="896"/>
      <c r="H1" s="896"/>
      <c r="I1" s="896"/>
      <c r="J1" s="896"/>
    </row>
    <row r="2" spans="1:10" s="223" customFormat="1">
      <c r="A2" s="219" t="s">
        <v>142</v>
      </c>
      <c r="B2" s="220" t="s">
        <v>1462</v>
      </c>
      <c r="C2" s="219" t="s">
        <v>902</v>
      </c>
      <c r="D2" s="220" t="s">
        <v>1094</v>
      </c>
      <c r="E2" s="219" t="s">
        <v>151</v>
      </c>
      <c r="F2" s="220" t="s">
        <v>1095</v>
      </c>
      <c r="G2" s="219" t="s">
        <v>174</v>
      </c>
      <c r="H2" s="221">
        <v>0.5</v>
      </c>
      <c r="I2" s="219" t="s">
        <v>154</v>
      </c>
      <c r="J2" s="222" t="s">
        <v>1096</v>
      </c>
    </row>
    <row r="3" spans="1:10" s="227" customFormat="1" ht="25.5">
      <c r="A3" s="219" t="s">
        <v>903</v>
      </c>
      <c r="B3" s="224">
        <v>46198.57225853009</v>
      </c>
      <c r="C3" s="225" t="s">
        <v>904</v>
      </c>
      <c r="D3" s="226" t="s">
        <v>721</v>
      </c>
      <c r="E3" s="219" t="s">
        <v>905</v>
      </c>
      <c r="F3" s="226" t="s">
        <v>1463</v>
      </c>
      <c r="G3" s="219" t="s">
        <v>907</v>
      </c>
      <c r="H3" s="226" t="s">
        <v>908</v>
      </c>
      <c r="I3" s="219" t="s">
        <v>551</v>
      </c>
      <c r="J3" s="226" t="s">
        <v>1464</v>
      </c>
    </row>
    <row r="4" spans="1:10" s="227" customFormat="1" ht="114.75">
      <c r="A4" s="219" t="s">
        <v>161</v>
      </c>
      <c r="B4" s="226">
        <v>0</v>
      </c>
      <c r="C4" s="219" t="s">
        <v>199</v>
      </c>
      <c r="D4" s="226">
        <v>0</v>
      </c>
      <c r="E4" s="219" t="s">
        <v>179</v>
      </c>
      <c r="F4" s="226">
        <v>0</v>
      </c>
      <c r="G4" s="219" t="s">
        <v>870</v>
      </c>
      <c r="H4" s="228" t="s">
        <v>1465</v>
      </c>
      <c r="I4" s="229"/>
      <c r="J4" s="229"/>
    </row>
    <row r="5" spans="1:10" s="227" customFormat="1">
      <c r="A5" s="230" t="s">
        <v>911</v>
      </c>
      <c r="B5" s="221" t="s">
        <v>679</v>
      </c>
      <c r="C5" s="231" t="s">
        <v>912</v>
      </c>
      <c r="D5" s="221" t="s">
        <v>677</v>
      </c>
      <c r="E5" s="232" t="s">
        <v>913</v>
      </c>
      <c r="F5" s="221" t="s">
        <v>677</v>
      </c>
      <c r="G5" s="233" t="s">
        <v>914</v>
      </c>
      <c r="H5" s="221" t="s">
        <v>679</v>
      </c>
      <c r="I5" s="233" t="s">
        <v>915</v>
      </c>
      <c r="J5" s="221" t="s">
        <v>677</v>
      </c>
    </row>
    <row r="6" spans="1:10" s="227" customFormat="1">
      <c r="A6" s="234" t="s">
        <v>916</v>
      </c>
      <c r="B6" s="221" t="s">
        <v>677</v>
      </c>
      <c r="C6" s="235" t="s">
        <v>869</v>
      </c>
      <c r="D6" s="604" t="s">
        <v>1466</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1462</v>
      </c>
      <c r="B10" s="13" t="s">
        <v>689</v>
      </c>
      <c r="C10" s="13" t="s">
        <v>919</v>
      </c>
      <c r="D10" s="13" t="s">
        <v>1467</v>
      </c>
      <c r="E10" s="13" t="s">
        <v>1468</v>
      </c>
      <c r="F10" s="13">
        <v>1</v>
      </c>
      <c r="G10" s="13">
        <v>0</v>
      </c>
      <c r="H10" s="13" t="s">
        <v>677</v>
      </c>
      <c r="I10" s="13" t="s">
        <v>1469</v>
      </c>
      <c r="J10" s="13" t="s">
        <v>1470</v>
      </c>
    </row>
    <row r="11" spans="1:10" ht="51">
      <c r="A11" s="13" t="s">
        <v>1462</v>
      </c>
      <c r="B11" s="13" t="s">
        <v>1471</v>
      </c>
      <c r="C11" s="13" t="s">
        <v>919</v>
      </c>
      <c r="D11" s="13" t="s">
        <v>1472</v>
      </c>
      <c r="E11" s="13" t="s">
        <v>1473</v>
      </c>
      <c r="F11" s="13">
        <v>1</v>
      </c>
      <c r="G11" s="13">
        <v>0</v>
      </c>
      <c r="H11" s="13" t="s">
        <v>677</v>
      </c>
      <c r="I11" s="13" t="s">
        <v>1474</v>
      </c>
      <c r="J11" s="13" t="s">
        <v>1475</v>
      </c>
    </row>
    <row r="12" spans="1:10">
      <c r="A12" s="13"/>
      <c r="B12" s="13"/>
      <c r="C12" s="13"/>
      <c r="D12" s="13"/>
      <c r="E12" s="13"/>
      <c r="F12" s="13"/>
      <c r="G12" s="13"/>
      <c r="H12" s="13"/>
      <c r="I12" s="13"/>
      <c r="J12" s="13"/>
    </row>
    <row r="13" spans="1:10" ht="135">
      <c r="A13" s="575" t="s">
        <v>936</v>
      </c>
      <c r="B13" s="896"/>
      <c r="C13" s="896"/>
      <c r="D13" s="85"/>
      <c r="E13" s="85"/>
      <c r="F13" s="85"/>
      <c r="G13" s="85"/>
      <c r="H13" s="85"/>
      <c r="I13" s="85"/>
      <c r="J13" s="85" t="s">
        <v>1476</v>
      </c>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689</v>
      </c>
      <c r="B15" s="13" t="s">
        <v>677</v>
      </c>
      <c r="C15" s="13" t="s">
        <v>677</v>
      </c>
      <c r="D15" s="13" t="s">
        <v>677</v>
      </c>
      <c r="E15" s="13" t="s">
        <v>677</v>
      </c>
      <c r="F15" s="13" t="s">
        <v>677</v>
      </c>
      <c r="G15" s="13" t="s">
        <v>677</v>
      </c>
      <c r="H15" s="13" t="s">
        <v>677</v>
      </c>
      <c r="I15" s="13" t="s">
        <v>677</v>
      </c>
      <c r="J15" s="13" t="s">
        <v>1477</v>
      </c>
    </row>
    <row r="16" spans="1:10" ht="38.25">
      <c r="A16" s="13" t="s">
        <v>1471</v>
      </c>
      <c r="B16" s="13" t="s">
        <v>677</v>
      </c>
      <c r="C16" s="13" t="s">
        <v>677</v>
      </c>
      <c r="D16" s="13" t="s">
        <v>677</v>
      </c>
      <c r="E16" s="13" t="s">
        <v>677</v>
      </c>
      <c r="F16" s="13" t="s">
        <v>677</v>
      </c>
      <c r="G16" s="13" t="s">
        <v>677</v>
      </c>
      <c r="H16" s="13" t="s">
        <v>677</v>
      </c>
      <c r="I16" s="13" t="s">
        <v>677</v>
      </c>
      <c r="J16" s="13" t="s">
        <v>1478</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689</v>
      </c>
      <c r="B20" s="13" t="s">
        <v>679</v>
      </c>
      <c r="C20" s="13" t="s">
        <v>679</v>
      </c>
      <c r="D20" s="13" t="s">
        <v>677</v>
      </c>
      <c r="E20" s="13" t="s">
        <v>677</v>
      </c>
      <c r="F20" s="13" t="s">
        <v>677</v>
      </c>
      <c r="G20" s="13" t="s">
        <v>677</v>
      </c>
      <c r="H20" s="13" t="s">
        <v>677</v>
      </c>
      <c r="I20" s="13" t="s">
        <v>677</v>
      </c>
      <c r="J20" s="13" t="s">
        <v>1479</v>
      </c>
    </row>
    <row r="21" spans="1:10" ht="38.25">
      <c r="A21" s="13" t="s">
        <v>1471</v>
      </c>
      <c r="B21" s="13" t="s">
        <v>679</v>
      </c>
      <c r="C21" s="13" t="s">
        <v>679</v>
      </c>
      <c r="D21" s="13" t="s">
        <v>677</v>
      </c>
      <c r="E21" s="13" t="s">
        <v>677</v>
      </c>
      <c r="F21" s="13" t="s">
        <v>677</v>
      </c>
      <c r="G21" s="13" t="s">
        <v>677</v>
      </c>
      <c r="H21" s="13" t="s">
        <v>677</v>
      </c>
      <c r="I21" s="13" t="s">
        <v>677</v>
      </c>
      <c r="J21" s="13" t="s">
        <v>1480</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51">
      <c r="A25" s="13" t="s">
        <v>689</v>
      </c>
      <c r="B25" s="13" t="s">
        <v>679</v>
      </c>
      <c r="C25" s="13" t="s">
        <v>679</v>
      </c>
      <c r="D25" s="13" t="s">
        <v>679</v>
      </c>
      <c r="E25" s="13" t="s">
        <v>679</v>
      </c>
      <c r="F25" s="13" t="s">
        <v>679</v>
      </c>
      <c r="G25" s="13" t="s">
        <v>679</v>
      </c>
      <c r="H25" s="13" t="s">
        <v>679</v>
      </c>
      <c r="I25" s="13" t="s">
        <v>679</v>
      </c>
      <c r="J25" s="13" t="s">
        <v>1481</v>
      </c>
    </row>
    <row r="26" spans="1:10" ht="38.25">
      <c r="A26" s="13" t="s">
        <v>1471</v>
      </c>
      <c r="B26" s="13" t="s">
        <v>679</v>
      </c>
      <c r="C26" s="13" t="s">
        <v>679</v>
      </c>
      <c r="D26" s="13" t="s">
        <v>679</v>
      </c>
      <c r="E26" s="13" t="s">
        <v>679</v>
      </c>
      <c r="F26" s="13" t="s">
        <v>679</v>
      </c>
      <c r="G26" s="13" t="s">
        <v>679</v>
      </c>
      <c r="H26" s="13" t="s">
        <v>679</v>
      </c>
      <c r="I26" s="13" t="s">
        <v>679</v>
      </c>
      <c r="J26" s="13" t="s">
        <v>1482</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3.75">
      <c r="A30" s="13" t="s">
        <v>689</v>
      </c>
      <c r="B30" s="13" t="s">
        <v>677</v>
      </c>
      <c r="C30" s="13" t="s">
        <v>1483</v>
      </c>
      <c r="D30" s="13" t="s">
        <v>677</v>
      </c>
      <c r="E30" s="13" t="s">
        <v>677</v>
      </c>
      <c r="F30" s="13" t="s">
        <v>677</v>
      </c>
      <c r="G30" s="13" t="s">
        <v>677</v>
      </c>
      <c r="H30" s="13" t="s">
        <v>677</v>
      </c>
      <c r="I30" s="13" t="s">
        <v>677</v>
      </c>
      <c r="J30" s="13" t="s">
        <v>1484</v>
      </c>
    </row>
    <row r="31" spans="1:10" ht="38.25">
      <c r="A31" s="13" t="s">
        <v>1471</v>
      </c>
      <c r="B31" s="13" t="s">
        <v>988</v>
      </c>
      <c r="C31" s="13" t="s">
        <v>1485</v>
      </c>
      <c r="D31" s="13" t="s">
        <v>988</v>
      </c>
      <c r="E31" s="13" t="s">
        <v>677</v>
      </c>
      <c r="F31" s="13" t="s">
        <v>677</v>
      </c>
      <c r="G31" s="13" t="s">
        <v>677</v>
      </c>
      <c r="H31" s="13" t="s">
        <v>677</v>
      </c>
      <c r="I31" s="13" t="s">
        <v>677</v>
      </c>
      <c r="J31" s="13" t="s">
        <v>1486</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51">
      <c r="A35" s="13" t="s">
        <v>689</v>
      </c>
      <c r="B35" s="13" t="s">
        <v>677</v>
      </c>
      <c r="C35" s="13" t="s">
        <v>1487</v>
      </c>
      <c r="D35" s="13" t="s">
        <v>677</v>
      </c>
      <c r="E35" s="13" t="s">
        <v>677</v>
      </c>
      <c r="F35" s="13" t="s">
        <v>677</v>
      </c>
      <c r="G35" s="13" t="s">
        <v>677</v>
      </c>
      <c r="H35" s="13" t="s">
        <v>677</v>
      </c>
      <c r="I35" s="13" t="s">
        <v>677</v>
      </c>
      <c r="J35" s="13" t="s">
        <v>1488</v>
      </c>
    </row>
    <row r="36" spans="1:10" ht="51">
      <c r="A36" s="13" t="s">
        <v>1471</v>
      </c>
      <c r="B36" s="13" t="s">
        <v>988</v>
      </c>
      <c r="C36" s="13" t="s">
        <v>1489</v>
      </c>
      <c r="D36" s="13" t="s">
        <v>988</v>
      </c>
      <c r="E36" s="13" t="s">
        <v>677</v>
      </c>
      <c r="F36" s="13" t="s">
        <v>677</v>
      </c>
      <c r="G36" s="13" t="s">
        <v>677</v>
      </c>
      <c r="H36" s="13" t="s">
        <v>677</v>
      </c>
      <c r="I36" s="13" t="s">
        <v>677</v>
      </c>
      <c r="J36" s="13" t="s">
        <v>1490</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689</v>
      </c>
      <c r="B40" s="13" t="s">
        <v>677</v>
      </c>
      <c r="C40" s="13" t="s">
        <v>677</v>
      </c>
      <c r="D40" s="13" t="s">
        <v>677</v>
      </c>
      <c r="E40" s="13" t="s">
        <v>677</v>
      </c>
      <c r="F40" s="13" t="s">
        <v>677</v>
      </c>
      <c r="G40" s="13" t="s">
        <v>677</v>
      </c>
      <c r="H40" s="13" t="s">
        <v>677</v>
      </c>
      <c r="I40" s="13" t="s">
        <v>677</v>
      </c>
      <c r="J40" s="13" t="s">
        <v>1491</v>
      </c>
    </row>
    <row r="41" spans="1:10" ht="38.25">
      <c r="A41" s="13" t="s">
        <v>1471</v>
      </c>
      <c r="B41" s="13" t="s">
        <v>677</v>
      </c>
      <c r="C41" s="13" t="s">
        <v>677</v>
      </c>
      <c r="D41" s="13" t="s">
        <v>677</v>
      </c>
      <c r="E41" s="13" t="s">
        <v>677</v>
      </c>
      <c r="F41" s="13" t="s">
        <v>677</v>
      </c>
      <c r="G41" s="13" t="s">
        <v>677</v>
      </c>
      <c r="H41" s="13" t="s">
        <v>677</v>
      </c>
      <c r="I41" s="13" t="s">
        <v>677</v>
      </c>
      <c r="J41" s="13" t="s">
        <v>1492</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3.75">
      <c r="A45" s="13" t="s">
        <v>1493</v>
      </c>
      <c r="B45" s="13" t="s">
        <v>689</v>
      </c>
      <c r="C45" s="13" t="s">
        <v>1494</v>
      </c>
      <c r="D45" s="13" t="s">
        <v>391</v>
      </c>
      <c r="E45" s="13" t="s">
        <v>488</v>
      </c>
      <c r="F45" s="13">
        <v>6</v>
      </c>
      <c r="G45" s="13" t="s">
        <v>1495</v>
      </c>
      <c r="H45" s="13" t="s">
        <v>1023</v>
      </c>
      <c r="I45" s="13" t="s">
        <v>502</v>
      </c>
      <c r="J45" s="13" t="s">
        <v>1496</v>
      </c>
    </row>
    <row r="46" spans="1:10" ht="63.75">
      <c r="A46" s="13" t="s">
        <v>1497</v>
      </c>
      <c r="B46" s="13" t="s">
        <v>1471</v>
      </c>
      <c r="C46" s="13" t="s">
        <v>1498</v>
      </c>
      <c r="D46" s="13" t="s">
        <v>492</v>
      </c>
      <c r="E46" s="13" t="s">
        <v>488</v>
      </c>
      <c r="F46" s="13">
        <v>8</v>
      </c>
      <c r="G46" s="13" t="s">
        <v>1499</v>
      </c>
      <c r="H46" s="13" t="s">
        <v>1500</v>
      </c>
      <c r="I46" s="13" t="s">
        <v>502</v>
      </c>
      <c r="J46" s="13" t="s">
        <v>1501</v>
      </c>
    </row>
    <row r="47" spans="1:10" ht="51">
      <c r="A47" s="13" t="s">
        <v>1502</v>
      </c>
      <c r="B47" s="13" t="s">
        <v>575</v>
      </c>
      <c r="C47" s="13" t="s">
        <v>1503</v>
      </c>
      <c r="D47" s="13" t="s">
        <v>488</v>
      </c>
      <c r="E47" s="13" t="s">
        <v>488</v>
      </c>
      <c r="F47" s="13">
        <v>4</v>
      </c>
      <c r="G47" s="13" t="s">
        <v>1504</v>
      </c>
      <c r="H47" s="13" t="s">
        <v>1505</v>
      </c>
      <c r="I47" s="13" t="s">
        <v>502</v>
      </c>
      <c r="J47" s="13" t="s">
        <v>1506</v>
      </c>
    </row>
    <row r="48" spans="1:10" ht="76.5">
      <c r="A48" s="13" t="s">
        <v>1507</v>
      </c>
      <c r="B48" s="13" t="s">
        <v>689</v>
      </c>
      <c r="C48" s="13" t="s">
        <v>1508</v>
      </c>
      <c r="D48" s="13" t="s">
        <v>391</v>
      </c>
      <c r="E48" s="13" t="s">
        <v>488</v>
      </c>
      <c r="F48" s="13">
        <v>6</v>
      </c>
      <c r="G48" s="13" t="s">
        <v>1509</v>
      </c>
      <c r="H48" s="13" t="s">
        <v>1032</v>
      </c>
      <c r="I48" s="13" t="s">
        <v>502</v>
      </c>
      <c r="J48" s="13" t="s">
        <v>1510</v>
      </c>
    </row>
    <row r="49" spans="1:10" ht="63.75">
      <c r="A49" s="13" t="s">
        <v>1511</v>
      </c>
      <c r="B49" s="13" t="s">
        <v>575</v>
      </c>
      <c r="C49" s="13" t="s">
        <v>1512</v>
      </c>
      <c r="D49" s="13" t="s">
        <v>391</v>
      </c>
      <c r="E49" s="13" t="s">
        <v>488</v>
      </c>
      <c r="F49" s="13">
        <v>6</v>
      </c>
      <c r="G49" s="13" t="s">
        <v>1513</v>
      </c>
      <c r="H49" s="13" t="s">
        <v>1514</v>
      </c>
      <c r="I49" s="13" t="s">
        <v>502</v>
      </c>
      <c r="J49" s="13" t="s">
        <v>1515</v>
      </c>
    </row>
    <row r="50" spans="1:10" ht="63.75">
      <c r="A50" s="13" t="s">
        <v>1516</v>
      </c>
      <c r="B50" s="13" t="s">
        <v>575</v>
      </c>
      <c r="C50" s="13" t="s">
        <v>1517</v>
      </c>
      <c r="D50" s="13" t="s">
        <v>488</v>
      </c>
      <c r="E50" s="13" t="s">
        <v>488</v>
      </c>
      <c r="F50" s="13">
        <v>4</v>
      </c>
      <c r="G50" s="13" t="s">
        <v>1518</v>
      </c>
      <c r="H50" s="13" t="s">
        <v>1519</v>
      </c>
      <c r="I50" s="13" t="s">
        <v>502</v>
      </c>
      <c r="J50" s="13" t="s">
        <v>1520</v>
      </c>
    </row>
    <row r="51" spans="1:10">
      <c r="A51" s="13"/>
      <c r="B51" s="13"/>
      <c r="C51" s="13"/>
      <c r="D51" s="13"/>
      <c r="E51" s="13"/>
      <c r="F51" s="13"/>
      <c r="G51" s="13"/>
      <c r="H51" s="13"/>
      <c r="I51" s="13"/>
      <c r="J51" s="13"/>
    </row>
    <row r="52" spans="1:10">
      <c r="A52" s="575" t="s">
        <v>1051</v>
      </c>
      <c r="B52" s="896"/>
      <c r="C52" s="896"/>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76.5">
      <c r="A54" s="13" t="s">
        <v>1521</v>
      </c>
      <c r="B54" s="13" t="s">
        <v>1522</v>
      </c>
      <c r="C54" s="13" t="s">
        <v>579</v>
      </c>
      <c r="D54" s="13" t="s">
        <v>502</v>
      </c>
      <c r="E54" s="13"/>
      <c r="F54" s="13"/>
      <c r="G54" s="13" t="s">
        <v>1523</v>
      </c>
      <c r="H54" s="13"/>
      <c r="I54" s="13"/>
      <c r="J54" s="13"/>
    </row>
    <row r="55" spans="1:10" ht="63.75">
      <c r="A55" s="13" t="s">
        <v>1524</v>
      </c>
      <c r="B55" s="13" t="s">
        <v>1525</v>
      </c>
      <c r="C55" s="13" t="s">
        <v>587</v>
      </c>
      <c r="D55" s="13" t="s">
        <v>502</v>
      </c>
      <c r="E55" s="13"/>
      <c r="F55" s="13"/>
      <c r="G55" s="13" t="s">
        <v>1421</v>
      </c>
      <c r="H55" s="13"/>
      <c r="I55" s="13"/>
      <c r="J55" s="13"/>
    </row>
    <row r="56" spans="1:10" ht="76.5">
      <c r="A56" s="13" t="s">
        <v>1526</v>
      </c>
      <c r="B56" s="13" t="s">
        <v>1527</v>
      </c>
      <c r="C56" s="13" t="s">
        <v>587</v>
      </c>
      <c r="D56" s="13" t="s">
        <v>502</v>
      </c>
      <c r="E56" s="13"/>
      <c r="F56" s="13"/>
      <c r="G56" s="13" t="s">
        <v>1528</v>
      </c>
      <c r="H56" s="13"/>
      <c r="I56" s="13"/>
      <c r="J56" s="13"/>
    </row>
    <row r="57" spans="1:10" ht="51">
      <c r="A57" s="13" t="s">
        <v>1529</v>
      </c>
      <c r="B57" s="13" t="s">
        <v>1530</v>
      </c>
      <c r="C57" s="13" t="s">
        <v>616</v>
      </c>
      <c r="D57" s="13" t="s">
        <v>502</v>
      </c>
      <c r="E57" s="13"/>
      <c r="F57" s="13"/>
      <c r="G57" s="13" t="s">
        <v>1531</v>
      </c>
      <c r="H57" s="13"/>
      <c r="I57" s="13"/>
      <c r="J57" s="13"/>
    </row>
    <row r="58" spans="1:10" ht="63.75">
      <c r="A58" s="13" t="s">
        <v>1532</v>
      </c>
      <c r="B58" s="13" t="s">
        <v>1533</v>
      </c>
      <c r="C58" s="13" t="s">
        <v>1534</v>
      </c>
      <c r="D58" s="13" t="s">
        <v>502</v>
      </c>
      <c r="E58" s="13"/>
      <c r="F58" s="13"/>
      <c r="G58" s="13" t="s">
        <v>1535</v>
      </c>
      <c r="H58" s="13"/>
      <c r="I58" s="13"/>
      <c r="J58" s="13"/>
    </row>
    <row r="59" spans="1:10" ht="76.5">
      <c r="A59" s="13" t="s">
        <v>1536</v>
      </c>
      <c r="B59" s="13" t="s">
        <v>1537</v>
      </c>
      <c r="C59" s="13" t="s">
        <v>1430</v>
      </c>
      <c r="D59" s="13" t="s">
        <v>502</v>
      </c>
      <c r="E59" s="13"/>
      <c r="F59" s="13"/>
      <c r="G59" s="13" t="s">
        <v>1538</v>
      </c>
      <c r="H59" s="13"/>
      <c r="I59" s="13"/>
      <c r="J59" s="13"/>
    </row>
    <row r="60" spans="1:10" ht="76.5">
      <c r="A60" s="13" t="s">
        <v>1539</v>
      </c>
      <c r="B60" s="13" t="s">
        <v>1540</v>
      </c>
      <c r="C60" s="13" t="s">
        <v>1541</v>
      </c>
      <c r="D60" s="13" t="s">
        <v>502</v>
      </c>
      <c r="E60" s="13"/>
      <c r="F60" s="13"/>
      <c r="G60" s="13" t="s">
        <v>1542</v>
      </c>
      <c r="H60" s="13"/>
      <c r="I60" s="13"/>
      <c r="J60" s="13"/>
    </row>
    <row r="61" spans="1:10">
      <c r="A61" s="13"/>
      <c r="B61" s="13"/>
      <c r="C61" s="13"/>
      <c r="D61" s="13"/>
      <c r="E61" s="13"/>
      <c r="F61" s="13"/>
      <c r="G61" s="13"/>
      <c r="H61" s="13"/>
      <c r="I61" s="13"/>
      <c r="J61" s="13"/>
    </row>
    <row r="62" spans="1:10">
      <c r="A62" s="575" t="s">
        <v>1052</v>
      </c>
      <c r="B62" s="896"/>
      <c r="C62" s="896"/>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51">
      <c r="A64" s="13" t="s">
        <v>1543</v>
      </c>
      <c r="B64" s="13" t="s">
        <v>689</v>
      </c>
      <c r="C64" s="13" t="s">
        <v>269</v>
      </c>
      <c r="D64" s="13" t="s">
        <v>1544</v>
      </c>
      <c r="E64" s="13"/>
      <c r="F64" s="13" t="s">
        <v>229</v>
      </c>
      <c r="G64" s="13"/>
      <c r="H64" s="13" t="s">
        <v>1545</v>
      </c>
      <c r="I64" s="13" t="s">
        <v>502</v>
      </c>
      <c r="J64" s="13"/>
    </row>
    <row r="65" spans="1:10" ht="63.75">
      <c r="A65" s="13" t="s">
        <v>1546</v>
      </c>
      <c r="B65" s="13" t="s">
        <v>1471</v>
      </c>
      <c r="C65" s="13" t="s">
        <v>269</v>
      </c>
      <c r="D65" s="13" t="s">
        <v>1547</v>
      </c>
      <c r="E65" s="13"/>
      <c r="F65" s="13" t="s">
        <v>229</v>
      </c>
      <c r="G65" s="13"/>
      <c r="H65" s="13" t="s">
        <v>1497</v>
      </c>
      <c r="I65" s="13" t="s">
        <v>502</v>
      </c>
      <c r="J65" s="13"/>
    </row>
    <row r="66" spans="1:10" ht="63.75">
      <c r="A66" s="13" t="s">
        <v>1548</v>
      </c>
      <c r="B66" s="13" t="s">
        <v>575</v>
      </c>
      <c r="C66" s="13" t="s">
        <v>957</v>
      </c>
      <c r="D66" s="13" t="s">
        <v>1549</v>
      </c>
      <c r="E66" s="13"/>
      <c r="F66" s="13" t="s">
        <v>229</v>
      </c>
      <c r="G66" s="13"/>
      <c r="H66" s="13" t="s">
        <v>1511</v>
      </c>
      <c r="I66" s="13" t="s">
        <v>502</v>
      </c>
      <c r="J66" s="13"/>
    </row>
    <row r="67" spans="1:10" ht="51">
      <c r="A67" s="13" t="s">
        <v>1550</v>
      </c>
      <c r="B67" s="13" t="s">
        <v>689</v>
      </c>
      <c r="C67" s="13" t="s">
        <v>153</v>
      </c>
      <c r="D67" s="13" t="s">
        <v>1551</v>
      </c>
      <c r="E67" s="13"/>
      <c r="F67" s="13" t="s">
        <v>229</v>
      </c>
      <c r="G67" s="13"/>
      <c r="H67" s="13" t="s">
        <v>1507</v>
      </c>
      <c r="I67" s="13" t="s">
        <v>502</v>
      </c>
      <c r="J67" s="13"/>
    </row>
    <row r="68" spans="1:10" ht="51">
      <c r="A68" s="13" t="s">
        <v>1552</v>
      </c>
      <c r="B68" s="13" t="s">
        <v>575</v>
      </c>
      <c r="C68" s="13" t="s">
        <v>155</v>
      </c>
      <c r="D68" s="13" t="s">
        <v>1553</v>
      </c>
      <c r="E68" s="13"/>
      <c r="F68" s="13" t="s">
        <v>229</v>
      </c>
      <c r="G68" s="13"/>
      <c r="H68" s="13" t="s">
        <v>1516</v>
      </c>
      <c r="I68" s="13" t="s">
        <v>502</v>
      </c>
      <c r="J68" s="13"/>
    </row>
    <row r="69" spans="1:10" ht="38.25">
      <c r="A69" s="13" t="s">
        <v>1554</v>
      </c>
      <c r="B69" s="13" t="s">
        <v>575</v>
      </c>
      <c r="C69" s="13" t="s">
        <v>556</v>
      </c>
      <c r="D69" s="13" t="s">
        <v>1555</v>
      </c>
      <c r="E69" s="13"/>
      <c r="F69" s="13" t="s">
        <v>229</v>
      </c>
      <c r="G69" s="13"/>
      <c r="H69" s="13" t="s">
        <v>1516</v>
      </c>
      <c r="I69" s="13" t="s">
        <v>502</v>
      </c>
      <c r="J69" s="13"/>
    </row>
    <row r="70" spans="1:10">
      <c r="A70" s="13"/>
      <c r="B70" s="13"/>
      <c r="C70" s="13"/>
      <c r="D70" s="13"/>
      <c r="E70" s="13"/>
      <c r="F70" s="13"/>
      <c r="G70" s="13"/>
      <c r="H70" s="13"/>
      <c r="I70" s="13"/>
      <c r="J70" s="13"/>
    </row>
    <row r="71" spans="1:10">
      <c r="A71" s="575" t="s">
        <v>1079</v>
      </c>
      <c r="B71" s="896"/>
      <c r="C71" s="896"/>
      <c r="D71" s="85"/>
      <c r="E71" s="85"/>
      <c r="F71" s="85"/>
      <c r="G71" s="85"/>
      <c r="H71" s="85"/>
      <c r="I71" s="85"/>
      <c r="J71" s="85"/>
    </row>
    <row r="72" spans="1:10">
      <c r="A72" s="50" t="s">
        <v>275</v>
      </c>
      <c r="B72" s="50" t="s">
        <v>895</v>
      </c>
      <c r="C72" s="50" t="s">
        <v>896</v>
      </c>
      <c r="D72" s="50" t="s">
        <v>148</v>
      </c>
      <c r="E72" s="50" t="s">
        <v>153</v>
      </c>
      <c r="F72" s="50" t="s">
        <v>155</v>
      </c>
      <c r="G72" s="50" t="s">
        <v>491</v>
      </c>
      <c r="H72" s="50" t="s">
        <v>897</v>
      </c>
      <c r="I72" s="50" t="s">
        <v>174</v>
      </c>
      <c r="J72" s="50" t="s">
        <v>11</v>
      </c>
    </row>
    <row r="73" spans="1:10">
      <c r="A73" s="13" t="s">
        <v>689</v>
      </c>
      <c r="B73" s="126">
        <v>0.5</v>
      </c>
      <c r="C73" s="126">
        <v>0.5</v>
      </c>
      <c r="D73" s="13" t="s">
        <v>679</v>
      </c>
      <c r="E73" s="128">
        <v>0.5</v>
      </c>
      <c r="F73" s="128">
        <v>0.5</v>
      </c>
      <c r="G73" s="13" t="s">
        <v>677</v>
      </c>
      <c r="H73" s="128">
        <v>0.5</v>
      </c>
      <c r="I73" s="13" t="s">
        <v>1201</v>
      </c>
      <c r="J73" s="13" t="s">
        <v>1556</v>
      </c>
    </row>
    <row r="74" spans="1:10" ht="25.5">
      <c r="A74" s="13" t="s">
        <v>1471</v>
      </c>
      <c r="B74" s="126">
        <v>0.5</v>
      </c>
      <c r="C74" s="126">
        <v>0.5</v>
      </c>
      <c r="D74" s="13" t="s">
        <v>679</v>
      </c>
      <c r="E74" s="128">
        <v>0.5</v>
      </c>
      <c r="F74" s="128">
        <v>0.5</v>
      </c>
      <c r="G74" s="13" t="s">
        <v>677</v>
      </c>
      <c r="H74" s="128">
        <v>0.5</v>
      </c>
      <c r="I74" s="13" t="s">
        <v>1201</v>
      </c>
      <c r="J74" s="13" t="s">
        <v>1557</v>
      </c>
    </row>
    <row r="75" spans="1:10">
      <c r="A75" s="13"/>
      <c r="B75" s="13"/>
      <c r="C75" s="13"/>
      <c r="D75" s="13"/>
      <c r="E75" s="13"/>
      <c r="F75" s="13"/>
      <c r="G75" s="13"/>
      <c r="H75" s="13"/>
      <c r="I75" s="13"/>
      <c r="J75" s="13"/>
    </row>
    <row r="76" spans="1:10">
      <c r="A76" s="575" t="s">
        <v>1085</v>
      </c>
      <c r="B76" s="896"/>
      <c r="C76" s="896"/>
      <c r="D76" s="85"/>
      <c r="E76" s="85"/>
      <c r="F76" s="85"/>
      <c r="G76" s="85"/>
      <c r="H76" s="85"/>
      <c r="I76" s="85"/>
      <c r="J76" s="85"/>
    </row>
    <row r="77" spans="1:10" ht="38.25">
      <c r="A77" s="50" t="s">
        <v>905</v>
      </c>
      <c r="B77" s="50" t="s">
        <v>779</v>
      </c>
      <c r="C77" s="50"/>
      <c r="D77" s="50"/>
      <c r="E77" s="50"/>
      <c r="F77" s="50"/>
      <c r="G77" s="50"/>
      <c r="H77" s="50"/>
      <c r="I77" s="50"/>
      <c r="J77" s="50"/>
    </row>
    <row r="78" spans="1:10">
      <c r="A78" s="13" t="s">
        <v>1086</v>
      </c>
      <c r="B78" s="594" t="s">
        <v>1558</v>
      </c>
      <c r="C78" s="896"/>
      <c r="D78" s="896"/>
      <c r="E78" s="896"/>
      <c r="F78" s="896"/>
      <c r="G78" s="896"/>
      <c r="H78" s="896"/>
      <c r="I78" s="896"/>
      <c r="J78" s="896"/>
    </row>
    <row r="79" spans="1:10">
      <c r="A79" s="13" t="s">
        <v>1559</v>
      </c>
      <c r="B79" s="594" t="s">
        <v>1560</v>
      </c>
      <c r="C79" s="896"/>
      <c r="D79" s="896"/>
      <c r="E79" s="896"/>
      <c r="F79" s="896"/>
      <c r="G79" s="896"/>
      <c r="H79" s="896"/>
      <c r="I79" s="896"/>
      <c r="J79" s="896"/>
    </row>
    <row r="80" spans="1:10">
      <c r="A80" s="13" t="s">
        <v>1088</v>
      </c>
      <c r="B80" s="594" t="s">
        <v>1561</v>
      </c>
      <c r="C80" s="896"/>
      <c r="D80" s="896"/>
      <c r="E80" s="896"/>
      <c r="F80" s="896"/>
      <c r="G80" s="896"/>
      <c r="H80" s="896"/>
      <c r="I80" s="896"/>
      <c r="J80" s="896"/>
    </row>
    <row r="81" spans="1:10">
      <c r="A81" s="13" t="s">
        <v>1090</v>
      </c>
      <c r="B81" s="594" t="s">
        <v>1562</v>
      </c>
      <c r="C81" s="896"/>
      <c r="D81" s="896"/>
      <c r="E81" s="896"/>
      <c r="F81" s="896"/>
      <c r="G81" s="896"/>
      <c r="H81" s="896"/>
      <c r="I81" s="896"/>
      <c r="J81" s="896"/>
    </row>
    <row r="82" spans="1:10">
      <c r="A82" s="13" t="s">
        <v>1563</v>
      </c>
      <c r="B82" s="594" t="s">
        <v>1564</v>
      </c>
      <c r="C82" s="896"/>
      <c r="D82" s="896"/>
      <c r="E82" s="896"/>
      <c r="F82" s="896"/>
      <c r="G82" s="896"/>
      <c r="H82" s="896"/>
      <c r="I82" s="896"/>
      <c r="J82" s="896"/>
    </row>
    <row r="83" spans="1:10" ht="15.75" thickBot="1"/>
    <row r="84" spans="1:10">
      <c r="A84" s="605" t="s">
        <v>5668</v>
      </c>
      <c r="B84" s="602"/>
      <c r="C84" s="602"/>
      <c r="D84" s="606"/>
      <c r="E84" s="602"/>
      <c r="F84" s="602"/>
      <c r="G84" s="606"/>
      <c r="H84" s="606"/>
      <c r="I84" s="606"/>
      <c r="J84" s="607"/>
    </row>
    <row r="85" spans="1:10">
      <c r="A85" s="321" t="s">
        <v>5610</v>
      </c>
      <c r="B85" s="322" t="s">
        <v>77</v>
      </c>
      <c r="C85" s="322" t="s">
        <v>5611</v>
      </c>
      <c r="D85" s="322" t="s">
        <v>5612</v>
      </c>
      <c r="E85" s="322" t="s">
        <v>5634</v>
      </c>
      <c r="F85" s="322" t="s">
        <v>5601</v>
      </c>
      <c r="G85" s="578" t="s">
        <v>5635</v>
      </c>
      <c r="H85" s="578"/>
      <c r="I85" s="578"/>
      <c r="J85" s="579"/>
    </row>
    <row r="86" spans="1:10" ht="25.5">
      <c r="A86" s="323" t="s">
        <v>5613</v>
      </c>
      <c r="B86" s="333" t="s">
        <v>484</v>
      </c>
      <c r="C86" s="325">
        <v>0</v>
      </c>
      <c r="D86" s="325">
        <v>0</v>
      </c>
      <c r="E86" s="192" t="s">
        <v>5674</v>
      </c>
      <c r="F86" s="325">
        <f>IF(AND(C86&lt;&gt;"",D86&lt;&gt;""),D86-C86,"")</f>
        <v>0</v>
      </c>
      <c r="G86" s="608"/>
      <c r="H86" s="608"/>
      <c r="I86" s="608"/>
      <c r="J86" s="609"/>
    </row>
    <row r="87" spans="1:10" ht="25.5">
      <c r="A87" s="326" t="s">
        <v>5614</v>
      </c>
      <c r="B87" s="333" t="s">
        <v>484</v>
      </c>
      <c r="C87" s="325">
        <v>0</v>
      </c>
      <c r="D87" s="327">
        <v>0</v>
      </c>
      <c r="E87" s="310" t="s">
        <v>5675</v>
      </c>
      <c r="F87" s="327">
        <f>IF(AND(C87&lt;&gt;"",D87&lt;&gt;""),D87-C87,"")</f>
        <v>0</v>
      </c>
      <c r="G87" s="610"/>
      <c r="H87" s="610"/>
      <c r="I87" s="610"/>
      <c r="J87" s="611"/>
    </row>
    <row r="88" spans="1:10">
      <c r="A88" s="323" t="s">
        <v>5615</v>
      </c>
      <c r="B88" s="333" t="s">
        <v>484</v>
      </c>
      <c r="C88" s="325">
        <v>0</v>
      </c>
      <c r="D88" s="327">
        <v>0</v>
      </c>
      <c r="E88" s="310" t="s">
        <v>5675</v>
      </c>
      <c r="F88" s="325">
        <f>IF(AND(C88&lt;&gt;"",D88&lt;&gt;""),D88-C88,"")</f>
        <v>0</v>
      </c>
      <c r="G88" s="328"/>
      <c r="H88" s="227"/>
      <c r="I88" s="227"/>
      <c r="J88" s="329"/>
    </row>
    <row r="89" spans="1:10">
      <c r="A89" s="326" t="s">
        <v>5616</v>
      </c>
      <c r="B89" s="333" t="s">
        <v>484</v>
      </c>
      <c r="C89" s="325">
        <v>0</v>
      </c>
      <c r="D89" s="327">
        <v>0</v>
      </c>
      <c r="E89" s="310" t="s">
        <v>5675</v>
      </c>
      <c r="F89" s="327">
        <f>IF(AND(C89&lt;&gt;"",D89&lt;&gt;""),D89-C89,"")</f>
        <v>0</v>
      </c>
      <c r="G89" s="610"/>
      <c r="H89" s="610"/>
      <c r="I89" s="610"/>
      <c r="J89" s="611"/>
    </row>
    <row r="90" spans="1:10">
      <c r="A90" s="323" t="s">
        <v>5168</v>
      </c>
      <c r="B90" s="333" t="s">
        <v>484</v>
      </c>
      <c r="C90" s="325">
        <v>0</v>
      </c>
      <c r="D90" s="327">
        <v>0</v>
      </c>
      <c r="E90" s="310" t="s">
        <v>5675</v>
      </c>
      <c r="F90" s="325">
        <f>IF(AND(C90&lt;&gt;"",D90&lt;&gt;""),D90-C90,"")</f>
        <v>0</v>
      </c>
      <c r="G90" s="328"/>
      <c r="H90" s="227"/>
      <c r="I90" s="227"/>
      <c r="J90" s="329"/>
    </row>
    <row r="91" spans="1:10" ht="15.75">
      <c r="A91" s="585" t="s">
        <v>5636</v>
      </c>
      <c r="B91" s="586"/>
      <c r="C91" s="330">
        <f>IFERROR(AVERAGE(C86:C90),"")</f>
        <v>0</v>
      </c>
      <c r="D91" s="330">
        <f>IFERROR(AVERAGE(D86:D90),"")</f>
        <v>0</v>
      </c>
      <c r="E91" s="589" t="s">
        <v>5637</v>
      </c>
      <c r="F91" s="589"/>
      <c r="G91" s="589"/>
      <c r="H91" s="589"/>
      <c r="I91" s="589"/>
      <c r="J91" s="590"/>
    </row>
    <row r="92" spans="1:10">
      <c r="A92" s="331"/>
      <c r="B92" s="316"/>
      <c r="C92" s="316"/>
      <c r="D92" s="316"/>
      <c r="E92" s="316"/>
      <c r="F92" s="316"/>
      <c r="G92" s="316"/>
      <c r="H92" s="227"/>
      <c r="I92" s="227"/>
      <c r="J92" s="329"/>
    </row>
    <row r="93" spans="1:10">
      <c r="A93" s="574" t="s">
        <v>5669</v>
      </c>
      <c r="B93" s="582"/>
      <c r="C93" s="582"/>
      <c r="D93" s="575"/>
      <c r="E93" s="582"/>
      <c r="F93" s="582"/>
      <c r="G93" s="575"/>
      <c r="H93" s="575"/>
      <c r="I93" s="575"/>
      <c r="J93" s="576"/>
    </row>
    <row r="94" spans="1:10">
      <c r="A94" s="321" t="s">
        <v>4946</v>
      </c>
      <c r="B94" s="322" t="s">
        <v>77</v>
      </c>
      <c r="C94" s="322" t="s">
        <v>5676</v>
      </c>
      <c r="D94" s="322" t="s">
        <v>482</v>
      </c>
      <c r="E94" s="322" t="s">
        <v>572</v>
      </c>
      <c r="F94" s="322" t="s">
        <v>5639</v>
      </c>
      <c r="G94" s="578" t="s">
        <v>5640</v>
      </c>
      <c r="H94" s="578"/>
      <c r="I94" s="578"/>
      <c r="J94" s="579"/>
    </row>
    <row r="95" spans="1:10" ht="25.5">
      <c r="A95" s="326" t="s">
        <v>5602</v>
      </c>
      <c r="B95" s="333" t="s">
        <v>484</v>
      </c>
      <c r="C95" s="332" t="s">
        <v>679</v>
      </c>
      <c r="D95" s="324" t="s">
        <v>679</v>
      </c>
      <c r="E95" s="332">
        <f>IF(D95="Yes",1,0)</f>
        <v>0</v>
      </c>
      <c r="F95" s="580"/>
      <c r="G95" s="580"/>
      <c r="H95" s="580"/>
      <c r="I95" s="580"/>
      <c r="J95" s="581"/>
    </row>
    <row r="96" spans="1:10">
      <c r="A96" s="323" t="s">
        <v>995</v>
      </c>
      <c r="B96" s="333" t="s">
        <v>484</v>
      </c>
      <c r="C96" s="332" t="s">
        <v>679</v>
      </c>
      <c r="D96" s="324" t="s">
        <v>679</v>
      </c>
      <c r="E96" s="324">
        <f t="shared" ref="E96:E102" si="0">IF(D96="Yes",1,0)</f>
        <v>0</v>
      </c>
      <c r="F96" s="580"/>
      <c r="G96" s="580"/>
      <c r="H96" s="580"/>
      <c r="I96" s="580"/>
      <c r="J96" s="581"/>
    </row>
    <row r="97" spans="1:10">
      <c r="A97" s="326" t="s">
        <v>5603</v>
      </c>
      <c r="B97" s="333" t="s">
        <v>484</v>
      </c>
      <c r="C97" s="332" t="s">
        <v>679</v>
      </c>
      <c r="D97" s="324" t="s">
        <v>679</v>
      </c>
      <c r="E97" s="332">
        <f t="shared" si="0"/>
        <v>0</v>
      </c>
      <c r="F97" s="580"/>
      <c r="G97" s="580"/>
      <c r="H97" s="580"/>
      <c r="I97" s="580"/>
      <c r="J97" s="581"/>
    </row>
    <row r="98" spans="1:10">
      <c r="A98" s="323" t="s">
        <v>5617</v>
      </c>
      <c r="B98" s="333" t="s">
        <v>484</v>
      </c>
      <c r="C98" s="332" t="s">
        <v>679</v>
      </c>
      <c r="D98" s="324" t="s">
        <v>679</v>
      </c>
      <c r="E98" s="324">
        <f t="shared" si="0"/>
        <v>0</v>
      </c>
      <c r="F98" s="580"/>
      <c r="G98" s="580"/>
      <c r="H98" s="580"/>
      <c r="I98" s="580"/>
      <c r="J98" s="581"/>
    </row>
    <row r="99" spans="1:10" ht="38.25">
      <c r="A99" s="326" t="s">
        <v>5618</v>
      </c>
      <c r="B99" s="333" t="s">
        <v>484</v>
      </c>
      <c r="C99" s="332" t="s">
        <v>679</v>
      </c>
      <c r="D99" s="324" t="s">
        <v>679</v>
      </c>
      <c r="E99" s="332">
        <f t="shared" si="0"/>
        <v>0</v>
      </c>
      <c r="F99" s="580"/>
      <c r="G99" s="580"/>
      <c r="H99" s="580"/>
      <c r="I99" s="580"/>
      <c r="J99" s="581"/>
    </row>
    <row r="100" spans="1:10" ht="25.5">
      <c r="A100" s="323" t="s">
        <v>5619</v>
      </c>
      <c r="B100" s="333" t="s">
        <v>484</v>
      </c>
      <c r="C100" s="332" t="s">
        <v>679</v>
      </c>
      <c r="D100" s="324" t="s">
        <v>679</v>
      </c>
      <c r="E100" s="324">
        <f t="shared" si="0"/>
        <v>0</v>
      </c>
      <c r="F100" s="580"/>
      <c r="G100" s="580"/>
      <c r="H100" s="580"/>
      <c r="I100" s="580"/>
      <c r="J100" s="581"/>
    </row>
    <row r="101" spans="1:10">
      <c r="A101" s="326" t="s">
        <v>5604</v>
      </c>
      <c r="B101" s="333" t="s">
        <v>484</v>
      </c>
      <c r="C101" s="332" t="s">
        <v>679</v>
      </c>
      <c r="D101" s="324" t="s">
        <v>679</v>
      </c>
      <c r="E101" s="332">
        <f t="shared" si="0"/>
        <v>0</v>
      </c>
      <c r="F101" s="580"/>
      <c r="G101" s="580"/>
      <c r="H101" s="580"/>
      <c r="I101" s="580"/>
      <c r="J101" s="581"/>
    </row>
    <row r="102" spans="1:10" ht="25.5">
      <c r="A102" s="323" t="s">
        <v>5605</v>
      </c>
      <c r="B102" s="333" t="s">
        <v>484</v>
      </c>
      <c r="C102" s="332" t="s">
        <v>679</v>
      </c>
      <c r="D102" s="324" t="s">
        <v>679</v>
      </c>
      <c r="E102" s="324">
        <f t="shared" si="0"/>
        <v>0</v>
      </c>
      <c r="F102" s="580"/>
      <c r="G102" s="580"/>
      <c r="H102" s="580"/>
      <c r="I102" s="580"/>
      <c r="J102" s="581"/>
    </row>
    <row r="103" spans="1:10" ht="15.75">
      <c r="A103" s="585" t="s">
        <v>5641</v>
      </c>
      <c r="B103" s="586"/>
      <c r="C103" s="587" t="str">
        <f>IFERROR(SUM(E95:E102)/COUNTIF(C95:C102,"Yes"),"")</f>
        <v/>
      </c>
      <c r="D103" s="588"/>
      <c r="E103" s="589" t="s">
        <v>5642</v>
      </c>
      <c r="F103" s="589"/>
      <c r="G103" s="589"/>
      <c r="H103" s="589"/>
      <c r="I103" s="589"/>
      <c r="J103" s="590"/>
    </row>
    <row r="104" spans="1:10">
      <c r="A104" s="331"/>
      <c r="B104" s="316"/>
      <c r="C104" s="316"/>
      <c r="D104" s="316"/>
      <c r="E104" s="316"/>
      <c r="F104" s="316"/>
      <c r="G104" s="316"/>
      <c r="H104" s="227"/>
      <c r="I104" s="227"/>
      <c r="J104" s="329"/>
    </row>
    <row r="105" spans="1:10">
      <c r="A105" s="574" t="s">
        <v>5670</v>
      </c>
      <c r="B105" s="582"/>
      <c r="C105" s="582"/>
      <c r="D105" s="575"/>
      <c r="E105" s="582"/>
      <c r="F105" s="582"/>
      <c r="G105" s="575"/>
      <c r="H105" s="575"/>
      <c r="I105" s="575"/>
      <c r="J105" s="576"/>
    </row>
    <row r="106" spans="1:10">
      <c r="A106" s="321" t="s">
        <v>5643</v>
      </c>
      <c r="B106" s="322" t="s">
        <v>77</v>
      </c>
      <c r="C106" s="322" t="s">
        <v>5620</v>
      </c>
      <c r="D106" s="322" t="s">
        <v>5621</v>
      </c>
      <c r="E106" s="322" t="s">
        <v>5622</v>
      </c>
      <c r="F106" s="322" t="s">
        <v>5644</v>
      </c>
      <c r="G106" s="578" t="s">
        <v>5645</v>
      </c>
      <c r="H106" s="578"/>
      <c r="I106" s="578"/>
      <c r="J106" s="579"/>
    </row>
    <row r="107" spans="1:10" ht="25.5">
      <c r="A107" s="326" t="s">
        <v>5623</v>
      </c>
      <c r="B107" s="332" t="s">
        <v>484</v>
      </c>
      <c r="C107" s="332" t="s">
        <v>1096</v>
      </c>
      <c r="D107" s="332" t="s">
        <v>1096</v>
      </c>
      <c r="E107" s="332" t="s">
        <v>1096</v>
      </c>
      <c r="F107" s="332" t="s">
        <v>348</v>
      </c>
      <c r="G107" s="583"/>
      <c r="H107" s="583"/>
      <c r="I107" s="583"/>
      <c r="J107" s="584"/>
    </row>
    <row r="108" spans="1:10">
      <c r="A108" s="323" t="s">
        <v>5624</v>
      </c>
      <c r="B108" s="332" t="s">
        <v>484</v>
      </c>
      <c r="C108" s="332" t="s">
        <v>1096</v>
      </c>
      <c r="D108" s="332" t="s">
        <v>1096</v>
      </c>
      <c r="E108" s="332" t="s">
        <v>1096</v>
      </c>
      <c r="F108" s="332" t="s">
        <v>348</v>
      </c>
      <c r="G108" s="583"/>
      <c r="H108" s="583"/>
      <c r="I108" s="583"/>
      <c r="J108" s="584"/>
    </row>
    <row r="109" spans="1:10">
      <c r="A109" s="326" t="s">
        <v>5646</v>
      </c>
      <c r="B109" s="332" t="s">
        <v>484</v>
      </c>
      <c r="C109" s="332" t="s">
        <v>1096</v>
      </c>
      <c r="D109" s="332" t="s">
        <v>1096</v>
      </c>
      <c r="E109" s="332" t="s">
        <v>1096</v>
      </c>
      <c r="F109" s="332" t="s">
        <v>348</v>
      </c>
      <c r="G109" s="583"/>
      <c r="H109" s="583"/>
      <c r="I109" s="583"/>
      <c r="J109" s="584"/>
    </row>
    <row r="110" spans="1:10">
      <c r="A110" s="323" t="s">
        <v>5625</v>
      </c>
      <c r="B110" s="332" t="s">
        <v>484</v>
      </c>
      <c r="C110" s="332" t="s">
        <v>1096</v>
      </c>
      <c r="D110" s="332" t="s">
        <v>1096</v>
      </c>
      <c r="E110" s="332" t="s">
        <v>1096</v>
      </c>
      <c r="F110" s="332" t="s">
        <v>348</v>
      </c>
      <c r="G110" s="583"/>
      <c r="H110" s="583"/>
      <c r="I110" s="583"/>
      <c r="J110" s="584"/>
    </row>
    <row r="111" spans="1:10" ht="25.5">
      <c r="A111" s="326" t="s">
        <v>5626</v>
      </c>
      <c r="B111" s="332" t="s">
        <v>484</v>
      </c>
      <c r="C111" s="332" t="s">
        <v>1096</v>
      </c>
      <c r="D111" s="332" t="s">
        <v>1096</v>
      </c>
      <c r="E111" s="332" t="s">
        <v>1096</v>
      </c>
      <c r="F111" s="332" t="s">
        <v>348</v>
      </c>
      <c r="G111" s="583"/>
      <c r="H111" s="583"/>
      <c r="I111" s="583"/>
      <c r="J111" s="584"/>
    </row>
    <row r="112" spans="1:10" ht="15.75">
      <c r="A112" s="585" t="s">
        <v>5677</v>
      </c>
      <c r="B112" s="586"/>
      <c r="C112" s="587">
        <f>IFERROR(COUNTIF(E107:E111,"Yes")/COUNTA(A107:A111),"")</f>
        <v>0</v>
      </c>
      <c r="D112" s="588"/>
      <c r="E112" s="589" t="s">
        <v>5648</v>
      </c>
      <c r="F112" s="589"/>
      <c r="G112" s="589"/>
      <c r="H112" s="589"/>
      <c r="I112" s="589"/>
      <c r="J112" s="590"/>
    </row>
    <row r="113" spans="1:10">
      <c r="A113" s="331"/>
      <c r="B113" s="316"/>
      <c r="C113" s="316"/>
      <c r="D113" s="316"/>
      <c r="E113" s="316"/>
      <c r="F113" s="316"/>
      <c r="G113" s="599"/>
      <c r="H113" s="599"/>
      <c r="I113" s="599"/>
      <c r="J113" s="600"/>
    </row>
    <row r="114" spans="1:10">
      <c r="A114" s="574" t="s">
        <v>5671</v>
      </c>
      <c r="B114" s="582"/>
      <c r="C114" s="582"/>
      <c r="D114" s="575"/>
      <c r="E114" s="582"/>
      <c r="F114" s="582"/>
      <c r="G114" s="575"/>
      <c r="H114" s="575"/>
      <c r="I114" s="575"/>
      <c r="J114" s="576"/>
    </row>
    <row r="115" spans="1:10">
      <c r="A115" s="322" t="s">
        <v>5606</v>
      </c>
      <c r="B115" s="322" t="s">
        <v>77</v>
      </c>
      <c r="C115" s="322" t="s">
        <v>5627</v>
      </c>
      <c r="D115" s="322" t="s">
        <v>5628</v>
      </c>
      <c r="E115" s="322" t="s">
        <v>5629</v>
      </c>
      <c r="F115" s="322" t="s">
        <v>5630</v>
      </c>
      <c r="G115" s="578" t="s">
        <v>5678</v>
      </c>
      <c r="H115" s="578"/>
      <c r="I115" s="578"/>
      <c r="J115" s="578"/>
    </row>
    <row r="116" spans="1:10">
      <c r="A116" s="328" t="s">
        <v>153</v>
      </c>
      <c r="B116" s="324" t="s">
        <v>484</v>
      </c>
      <c r="C116" s="324"/>
      <c r="D116" s="324"/>
      <c r="E116" s="324"/>
      <c r="F116" s="325" t="str">
        <f>IFERROR(D116/C116,"")</f>
        <v/>
      </c>
      <c r="G116" s="572"/>
      <c r="H116" s="572"/>
      <c r="I116" s="572"/>
      <c r="J116" s="572"/>
    </row>
    <row r="117" spans="1:10">
      <c r="A117" s="335" t="s">
        <v>155</v>
      </c>
      <c r="B117" s="332" t="s">
        <v>484</v>
      </c>
      <c r="C117" s="332"/>
      <c r="D117" s="332"/>
      <c r="E117" s="332"/>
      <c r="F117" s="327" t="str">
        <f>IFERROR(D117/C117,"")</f>
        <v/>
      </c>
      <c r="G117" s="572"/>
      <c r="H117" s="572"/>
      <c r="I117" s="572"/>
      <c r="J117" s="572"/>
    </row>
    <row r="118" spans="1:10">
      <c r="A118" s="328" t="s">
        <v>4821</v>
      </c>
      <c r="B118" s="324" t="s">
        <v>484</v>
      </c>
      <c r="C118" s="324"/>
      <c r="D118" s="324"/>
      <c r="E118" s="324"/>
      <c r="F118" s="325" t="str">
        <f>IFERROR(D118/C118,"")</f>
        <v/>
      </c>
      <c r="G118" s="572"/>
      <c r="H118" s="572"/>
      <c r="I118" s="572"/>
      <c r="J118" s="572"/>
    </row>
    <row r="119" spans="1:10">
      <c r="A119" s="335" t="s">
        <v>957</v>
      </c>
      <c r="B119" s="332" t="s">
        <v>484</v>
      </c>
      <c r="C119" s="332"/>
      <c r="D119" s="332"/>
      <c r="E119" s="332"/>
      <c r="F119" s="327" t="str">
        <f>IFERROR(D119/C119,"")</f>
        <v/>
      </c>
      <c r="G119" s="572"/>
      <c r="H119" s="572"/>
      <c r="I119" s="572"/>
      <c r="J119" s="572"/>
    </row>
    <row r="120" spans="1:10">
      <c r="A120" s="597" t="s">
        <v>5649</v>
      </c>
      <c r="B120" s="597"/>
      <c r="C120" s="597"/>
      <c r="D120" s="597"/>
      <c r="E120" s="589" t="s">
        <v>5650</v>
      </c>
      <c r="F120" s="589"/>
      <c r="G120" s="589"/>
      <c r="H120" s="589"/>
      <c r="I120" s="589"/>
      <c r="J120" s="589"/>
    </row>
    <row r="121" spans="1:10">
      <c r="A121" s="597"/>
      <c r="B121" s="597"/>
      <c r="C121" s="597"/>
      <c r="D121" s="597"/>
      <c r="E121" s="589"/>
      <c r="F121" s="589"/>
      <c r="G121" s="589"/>
      <c r="H121" s="589"/>
      <c r="I121" s="589"/>
      <c r="J121" s="589"/>
    </row>
    <row r="122" spans="1:10">
      <c r="A122" s="575" t="s">
        <v>5672</v>
      </c>
      <c r="B122" s="575"/>
      <c r="C122" s="575"/>
      <c r="D122" s="575"/>
      <c r="E122" s="575"/>
      <c r="F122" s="575"/>
      <c r="G122" s="575"/>
      <c r="H122" s="575"/>
      <c r="I122" s="575"/>
      <c r="J122" s="575"/>
    </row>
    <row r="123" spans="1:10">
      <c r="A123" s="322" t="s">
        <v>4946</v>
      </c>
      <c r="B123" s="322" t="s">
        <v>77</v>
      </c>
      <c r="C123" s="322" t="s">
        <v>5638</v>
      </c>
      <c r="D123" s="322" t="s">
        <v>482</v>
      </c>
      <c r="E123" s="322" t="s">
        <v>572</v>
      </c>
      <c r="F123" s="322" t="s">
        <v>944</v>
      </c>
      <c r="G123" s="578" t="s">
        <v>5640</v>
      </c>
      <c r="H123" s="578"/>
      <c r="I123" s="578"/>
      <c r="J123" s="578"/>
    </row>
    <row r="124" spans="1:10" ht="25.5">
      <c r="A124" s="328" t="s">
        <v>5607</v>
      </c>
      <c r="B124" s="324" t="s">
        <v>484</v>
      </c>
      <c r="C124" s="324" t="s">
        <v>392</v>
      </c>
      <c r="D124" s="324" t="s">
        <v>1096</v>
      </c>
      <c r="E124" s="324">
        <f t="shared" ref="E124:E129" si="1">IF(D124="Yes",1,0)</f>
        <v>0</v>
      </c>
      <c r="F124" s="324"/>
      <c r="G124" s="572"/>
      <c r="H124" s="572"/>
      <c r="I124" s="572"/>
      <c r="J124" s="572"/>
    </row>
    <row r="125" spans="1:10">
      <c r="A125" s="335" t="s">
        <v>5608</v>
      </c>
      <c r="B125" s="324" t="s">
        <v>484</v>
      </c>
      <c r="C125" s="332" t="s">
        <v>392</v>
      </c>
      <c r="D125" s="324" t="s">
        <v>1096</v>
      </c>
      <c r="E125" s="332">
        <f t="shared" si="1"/>
        <v>0</v>
      </c>
      <c r="F125" s="332"/>
      <c r="G125" s="572"/>
      <c r="H125" s="572"/>
      <c r="I125" s="572"/>
      <c r="J125" s="572"/>
    </row>
    <row r="126" spans="1:10" ht="25.5">
      <c r="A126" s="328" t="s">
        <v>5609</v>
      </c>
      <c r="B126" s="324" t="s">
        <v>484</v>
      </c>
      <c r="C126" s="324" t="s">
        <v>392</v>
      </c>
      <c r="D126" s="324" t="s">
        <v>1096</v>
      </c>
      <c r="E126" s="324">
        <f t="shared" si="1"/>
        <v>0</v>
      </c>
      <c r="F126" s="324"/>
      <c r="G126" s="572"/>
      <c r="H126" s="572"/>
      <c r="I126" s="572"/>
      <c r="J126" s="572"/>
    </row>
    <row r="127" spans="1:10">
      <c r="A127" s="335" t="s">
        <v>5631</v>
      </c>
      <c r="B127" s="324" t="s">
        <v>484</v>
      </c>
      <c r="C127" s="332" t="s">
        <v>392</v>
      </c>
      <c r="D127" s="324" t="s">
        <v>1096</v>
      </c>
      <c r="E127" s="332">
        <f t="shared" si="1"/>
        <v>0</v>
      </c>
      <c r="F127" s="332"/>
      <c r="G127" s="572"/>
      <c r="H127" s="572"/>
      <c r="I127" s="572"/>
      <c r="J127" s="572"/>
    </row>
    <row r="128" spans="1:10" ht="25.5">
      <c r="A128" s="328" t="s">
        <v>5632</v>
      </c>
      <c r="B128" s="324" t="s">
        <v>484</v>
      </c>
      <c r="C128" s="324" t="s">
        <v>392</v>
      </c>
      <c r="D128" s="324" t="s">
        <v>1096</v>
      </c>
      <c r="E128" s="324">
        <f t="shared" si="1"/>
        <v>0</v>
      </c>
      <c r="F128" s="324"/>
      <c r="G128" s="572"/>
      <c r="H128" s="572"/>
      <c r="I128" s="572"/>
      <c r="J128" s="572"/>
    </row>
    <row r="129" spans="1:10" ht="25.5">
      <c r="A129" s="335" t="s">
        <v>5633</v>
      </c>
      <c r="B129" s="324" t="s">
        <v>484</v>
      </c>
      <c r="C129" s="332" t="s">
        <v>392</v>
      </c>
      <c r="D129" s="332" t="s">
        <v>1096</v>
      </c>
      <c r="E129" s="332">
        <f t="shared" si="1"/>
        <v>0</v>
      </c>
      <c r="F129" s="332"/>
      <c r="G129" s="572"/>
      <c r="H129" s="572"/>
      <c r="I129" s="572"/>
      <c r="J129" s="572"/>
    </row>
    <row r="130" spans="1:10" ht="15.75">
      <c r="A130" s="930" t="s">
        <v>5651</v>
      </c>
      <c r="B130" s="586"/>
      <c r="C130" s="587">
        <f>IFERROR(SUM(E124:E129)/COUNTIF(C124:C129,"Yes"),"")</f>
        <v>0</v>
      </c>
      <c r="D130" s="588"/>
      <c r="E130" s="589" t="s">
        <v>5652</v>
      </c>
      <c r="F130" s="589"/>
      <c r="G130" s="589"/>
      <c r="H130" s="589"/>
      <c r="I130" s="589"/>
      <c r="J130" s="589"/>
    </row>
    <row r="131" spans="1:10">
      <c r="A131" s="192"/>
      <c r="B131" s="192"/>
      <c r="C131" s="192"/>
      <c r="D131" s="192"/>
      <c r="E131" s="192"/>
      <c r="F131" s="192"/>
      <c r="G131" s="192"/>
      <c r="H131" s="192"/>
      <c r="I131" s="192"/>
      <c r="J131" s="192"/>
    </row>
    <row r="132" spans="1:10">
      <c r="A132" s="575" t="s">
        <v>5673</v>
      </c>
      <c r="B132" s="582"/>
      <c r="C132" s="582"/>
      <c r="D132" s="317"/>
      <c r="E132" s="317"/>
      <c r="F132" s="317"/>
      <c r="G132" s="317"/>
      <c r="H132" s="317"/>
      <c r="I132" s="317"/>
      <c r="J132" s="317"/>
    </row>
    <row r="133" spans="1:10" ht="38.25">
      <c r="A133" s="318" t="s">
        <v>905</v>
      </c>
      <c r="B133" s="318" t="s">
        <v>830</v>
      </c>
      <c r="C133" s="318"/>
      <c r="D133" s="318"/>
      <c r="E133" s="318"/>
      <c r="F133" s="318"/>
      <c r="G133" s="318"/>
      <c r="H133" s="318"/>
      <c r="I133" s="318"/>
      <c r="J133" s="318"/>
    </row>
    <row r="134" spans="1:10">
      <c r="A134" s="315" t="s">
        <v>1086</v>
      </c>
      <c r="B134" s="594" t="s">
        <v>3292</v>
      </c>
      <c r="C134" s="582"/>
      <c r="D134" s="582"/>
      <c r="E134" s="582"/>
      <c r="F134" s="582"/>
      <c r="G134" s="582"/>
      <c r="H134" s="582"/>
      <c r="I134" s="582"/>
      <c r="J134" s="582"/>
    </row>
    <row r="135" spans="1:10" ht="25.5">
      <c r="A135" s="315" t="s">
        <v>2090</v>
      </c>
      <c r="B135" s="594" t="s">
        <v>3293</v>
      </c>
      <c r="C135" s="582"/>
      <c r="D135" s="582"/>
      <c r="E135" s="582"/>
      <c r="F135" s="582"/>
      <c r="G135" s="582"/>
      <c r="H135" s="582"/>
      <c r="I135" s="582"/>
      <c r="J135" s="582"/>
    </row>
    <row r="136" spans="1:10">
      <c r="A136" s="315" t="s">
        <v>1089</v>
      </c>
      <c r="B136" s="594" t="s">
        <v>3294</v>
      </c>
      <c r="C136" s="582"/>
      <c r="D136" s="582"/>
      <c r="E136" s="582"/>
      <c r="F136" s="582"/>
      <c r="G136" s="582"/>
      <c r="H136" s="582"/>
      <c r="I136" s="582"/>
      <c r="J136" s="582"/>
    </row>
    <row r="137" spans="1:10">
      <c r="A137" s="315" t="s">
        <v>1090</v>
      </c>
      <c r="B137" s="594" t="s">
        <v>3295</v>
      </c>
      <c r="C137" s="582"/>
      <c r="D137" s="582"/>
      <c r="E137" s="582"/>
      <c r="F137" s="582"/>
      <c r="G137" s="582"/>
      <c r="H137" s="582"/>
      <c r="I137" s="582"/>
      <c r="J137" s="582"/>
    </row>
    <row r="138" spans="1:10">
      <c r="A138" s="315" t="s">
        <v>1088</v>
      </c>
      <c r="B138" s="594" t="s">
        <v>3296</v>
      </c>
      <c r="C138" s="582"/>
      <c r="D138" s="582"/>
      <c r="E138" s="582"/>
      <c r="F138" s="582"/>
      <c r="G138" s="582"/>
      <c r="H138" s="582"/>
      <c r="I138" s="582"/>
      <c r="J138" s="582"/>
    </row>
    <row r="139" spans="1:10" ht="25.5">
      <c r="A139" s="315" t="s">
        <v>3297</v>
      </c>
      <c r="B139" s="594" t="s">
        <v>3298</v>
      </c>
      <c r="C139" s="582"/>
      <c r="D139" s="582"/>
      <c r="E139" s="582"/>
      <c r="F139" s="582"/>
      <c r="G139" s="582"/>
      <c r="H139" s="582"/>
      <c r="I139" s="582"/>
      <c r="J139" s="582"/>
    </row>
    <row r="140" spans="1:10">
      <c r="A140" s="315" t="s">
        <v>1563</v>
      </c>
      <c r="B140" s="594" t="s">
        <v>1776</v>
      </c>
      <c r="C140" s="582"/>
      <c r="D140" s="582"/>
      <c r="E140" s="582"/>
      <c r="F140" s="582"/>
      <c r="G140" s="582"/>
      <c r="H140" s="582"/>
      <c r="I140" s="582"/>
      <c r="J140" s="582"/>
    </row>
    <row r="141" spans="1:10">
      <c r="A141" s="227"/>
      <c r="B141" s="227"/>
      <c r="C141" s="227"/>
      <c r="D141" s="227"/>
      <c r="E141" s="227"/>
      <c r="F141" s="227"/>
      <c r="G141" s="227"/>
      <c r="H141" s="227"/>
      <c r="I141" s="227"/>
      <c r="J141" s="227"/>
    </row>
    <row r="142" spans="1:10" ht="18">
      <c r="A142" s="598" t="s">
        <v>5562</v>
      </c>
      <c r="B142" s="598"/>
      <c r="C142" s="598"/>
      <c r="D142" s="598"/>
      <c r="E142" s="598"/>
      <c r="F142" s="598"/>
      <c r="G142" s="598"/>
      <c r="H142" s="598"/>
      <c r="I142" s="227"/>
      <c r="J142" s="227"/>
    </row>
    <row r="143" spans="1:10">
      <c r="A143" s="272" t="s">
        <v>2</v>
      </c>
      <c r="B143" s="591" t="s">
        <v>5563</v>
      </c>
      <c r="C143" s="591"/>
      <c r="D143" s="591"/>
      <c r="E143" s="591"/>
      <c r="F143" s="591"/>
      <c r="G143" s="591"/>
      <c r="H143" s="591"/>
      <c r="I143" s="227"/>
      <c r="J143" s="227"/>
    </row>
    <row r="144" spans="1:10">
      <c r="A144" s="272" t="s">
        <v>5564</v>
      </c>
      <c r="B144" s="591" t="s">
        <v>5565</v>
      </c>
      <c r="C144" s="591"/>
      <c r="D144" s="591"/>
      <c r="E144" s="591"/>
      <c r="F144" s="591"/>
      <c r="G144" s="591"/>
      <c r="H144" s="591"/>
      <c r="I144" s="227"/>
      <c r="J144" s="227"/>
    </row>
    <row r="145" spans="1:10">
      <c r="A145" s="192"/>
      <c r="B145" s="192"/>
      <c r="C145" s="192"/>
      <c r="D145" s="192"/>
      <c r="E145" s="192"/>
      <c r="F145" s="192"/>
      <c r="G145" s="192"/>
      <c r="H145" s="192"/>
      <c r="I145" s="227"/>
      <c r="J145" s="227"/>
    </row>
    <row r="146" spans="1:10">
      <c r="A146" s="319" t="s">
        <v>4946</v>
      </c>
      <c r="B146" s="319" t="s">
        <v>77</v>
      </c>
      <c r="C146" s="319" t="s">
        <v>5566</v>
      </c>
      <c r="D146" s="319" t="s">
        <v>263</v>
      </c>
      <c r="E146" s="319" t="s">
        <v>216</v>
      </c>
      <c r="F146" s="319" t="s">
        <v>5567</v>
      </c>
      <c r="G146" s="319" t="s">
        <v>5568</v>
      </c>
      <c r="H146" s="319" t="s">
        <v>5569</v>
      </c>
      <c r="I146" s="227"/>
      <c r="J146" s="227"/>
    </row>
    <row r="147" spans="1:10" ht="25.5">
      <c r="A147" s="273" t="s">
        <v>5570</v>
      </c>
      <c r="B147" s="274" t="s">
        <v>1096</v>
      </c>
      <c r="C147" s="273"/>
      <c r="D147" s="273"/>
      <c r="E147" s="273"/>
      <c r="F147" s="273"/>
      <c r="G147" s="275" t="str">
        <f t="shared" ref="G147:G154" si="2">IF(OR(B147="Yes",B147="N/A"),"🟢","🟡")</f>
        <v>🟡</v>
      </c>
      <c r="H147" s="273"/>
      <c r="I147" s="227"/>
      <c r="J147" s="227"/>
    </row>
    <row r="148" spans="1:10">
      <c r="A148" s="273" t="s">
        <v>5571</v>
      </c>
      <c r="B148" s="274" t="s">
        <v>1096</v>
      </c>
      <c r="C148" s="273"/>
      <c r="D148" s="273"/>
      <c r="E148" s="273"/>
      <c r="F148" s="273"/>
      <c r="G148" s="275" t="str">
        <f t="shared" si="2"/>
        <v>🟡</v>
      </c>
      <c r="H148" s="273"/>
      <c r="I148" s="227"/>
      <c r="J148" s="227"/>
    </row>
    <row r="149" spans="1:10">
      <c r="A149" s="273" t="s">
        <v>5572</v>
      </c>
      <c r="B149" s="274" t="s">
        <v>1096</v>
      </c>
      <c r="C149" s="273"/>
      <c r="D149" s="273"/>
      <c r="E149" s="273"/>
      <c r="F149" s="273"/>
      <c r="G149" s="275" t="str">
        <f t="shared" si="2"/>
        <v>🟡</v>
      </c>
      <c r="H149" s="273"/>
      <c r="I149" s="227"/>
      <c r="J149" s="227"/>
    </row>
    <row r="150" spans="1:10">
      <c r="A150" s="273" t="s">
        <v>5168</v>
      </c>
      <c r="B150" s="274" t="s">
        <v>1096</v>
      </c>
      <c r="C150" s="273"/>
      <c r="D150" s="273"/>
      <c r="E150" s="273"/>
      <c r="F150" s="273"/>
      <c r="G150" s="275" t="str">
        <f t="shared" si="2"/>
        <v>🟡</v>
      </c>
      <c r="H150" s="273"/>
      <c r="I150" s="227"/>
      <c r="J150" s="227"/>
    </row>
    <row r="151" spans="1:10">
      <c r="A151" s="273" t="s">
        <v>5573</v>
      </c>
      <c r="B151" s="274" t="s">
        <v>1096</v>
      </c>
      <c r="C151" s="273"/>
      <c r="D151" s="273"/>
      <c r="E151" s="273"/>
      <c r="F151" s="273"/>
      <c r="G151" s="275" t="str">
        <f t="shared" si="2"/>
        <v>🟡</v>
      </c>
      <c r="H151" s="273"/>
      <c r="I151" s="227"/>
      <c r="J151" s="227"/>
    </row>
    <row r="152" spans="1:10">
      <c r="A152" s="273" t="s">
        <v>5574</v>
      </c>
      <c r="B152" s="274" t="s">
        <v>1096</v>
      </c>
      <c r="C152" s="273"/>
      <c r="D152" s="273"/>
      <c r="E152" s="273"/>
      <c r="F152" s="273"/>
      <c r="G152" s="275" t="str">
        <f t="shared" si="2"/>
        <v>🟡</v>
      </c>
      <c r="H152" s="273"/>
      <c r="I152" s="227"/>
      <c r="J152" s="227"/>
    </row>
    <row r="153" spans="1:10">
      <c r="A153" s="273" t="s">
        <v>178</v>
      </c>
      <c r="B153" s="274" t="s">
        <v>1096</v>
      </c>
      <c r="C153" s="273"/>
      <c r="D153" s="273"/>
      <c r="E153" s="273"/>
      <c r="F153" s="273"/>
      <c r="G153" s="275" t="str">
        <f t="shared" si="2"/>
        <v>🟡</v>
      </c>
      <c r="H153" s="273"/>
      <c r="I153" s="227"/>
      <c r="J153" s="227"/>
    </row>
    <row r="154" spans="1:10" ht="25.5">
      <c r="A154" s="273" t="s">
        <v>5575</v>
      </c>
      <c r="B154" s="274" t="s">
        <v>1096</v>
      </c>
      <c r="C154" s="273"/>
      <c r="D154" s="273"/>
      <c r="E154" s="273"/>
      <c r="F154" s="273"/>
      <c r="G154" s="275" t="str">
        <f t="shared" si="2"/>
        <v>🟡</v>
      </c>
      <c r="H154" s="273"/>
      <c r="I154" s="227"/>
      <c r="J154" s="227"/>
    </row>
    <row r="155" spans="1:10">
      <c r="A155" s="320" t="s">
        <v>4946</v>
      </c>
      <c r="B155" s="320" t="s">
        <v>5583</v>
      </c>
      <c r="C155" s="192"/>
      <c r="D155" s="192"/>
      <c r="E155" s="320" t="s">
        <v>5584</v>
      </c>
      <c r="F155" s="192"/>
      <c r="G155" s="192"/>
      <c r="H155" s="192"/>
      <c r="I155" s="227"/>
      <c r="J155" s="227"/>
    </row>
    <row r="156" spans="1:10" ht="25.5">
      <c r="A156" s="287" t="s">
        <v>5570</v>
      </c>
      <c r="B156" s="577" t="s">
        <v>5585</v>
      </c>
      <c r="C156" s="577"/>
      <c r="D156" s="577"/>
      <c r="E156" s="577" t="s">
        <v>5586</v>
      </c>
      <c r="F156" s="577"/>
      <c r="G156" s="577"/>
      <c r="H156" s="192"/>
      <c r="I156" s="227"/>
      <c r="J156" s="227"/>
    </row>
    <row r="157" spans="1:10">
      <c r="A157" s="287" t="s">
        <v>5571</v>
      </c>
      <c r="B157" s="577" t="s">
        <v>5587</v>
      </c>
      <c r="C157" s="577"/>
      <c r="D157" s="577"/>
      <c r="E157" s="577" t="s">
        <v>5588</v>
      </c>
      <c r="F157" s="577"/>
      <c r="G157" s="577"/>
      <c r="H157" s="192"/>
      <c r="I157" s="227"/>
      <c r="J157" s="227"/>
    </row>
    <row r="158" spans="1:10">
      <c r="A158" s="287" t="s">
        <v>5572</v>
      </c>
      <c r="B158" s="577" t="s">
        <v>5589</v>
      </c>
      <c r="C158" s="577"/>
      <c r="D158" s="577"/>
      <c r="E158" s="577" t="s">
        <v>5590</v>
      </c>
      <c r="F158" s="577"/>
      <c r="G158" s="577"/>
      <c r="H158" s="192"/>
      <c r="I158" s="227"/>
      <c r="J158" s="227"/>
    </row>
    <row r="159" spans="1:10">
      <c r="A159" s="287" t="s">
        <v>5168</v>
      </c>
      <c r="B159" s="577" t="s">
        <v>5591</v>
      </c>
      <c r="C159" s="577"/>
      <c r="D159" s="577"/>
      <c r="E159" s="577" t="s">
        <v>5592</v>
      </c>
      <c r="F159" s="577"/>
      <c r="G159" s="577"/>
      <c r="H159" s="192"/>
      <c r="I159" s="227"/>
      <c r="J159" s="227"/>
    </row>
    <row r="160" spans="1:10">
      <c r="A160" s="287" t="s">
        <v>5573</v>
      </c>
      <c r="B160" s="577" t="s">
        <v>5593</v>
      </c>
      <c r="C160" s="577"/>
      <c r="D160" s="577"/>
      <c r="E160" s="577" t="s">
        <v>5594</v>
      </c>
      <c r="F160" s="577"/>
      <c r="G160" s="577"/>
      <c r="H160" s="192"/>
      <c r="I160" s="227"/>
      <c r="J160" s="227"/>
    </row>
    <row r="161" spans="1:10">
      <c r="A161" s="287" t="s">
        <v>5574</v>
      </c>
      <c r="B161" s="577" t="s">
        <v>5595</v>
      </c>
      <c r="C161" s="577"/>
      <c r="D161" s="577"/>
      <c r="E161" s="577" t="s">
        <v>5596</v>
      </c>
      <c r="F161" s="577"/>
      <c r="G161" s="577"/>
      <c r="H161" s="192"/>
      <c r="I161" s="227"/>
      <c r="J161" s="227"/>
    </row>
    <row r="162" spans="1:10">
      <c r="A162" s="287" t="s">
        <v>178</v>
      </c>
      <c r="B162" s="577" t="s">
        <v>5597</v>
      </c>
      <c r="C162" s="577"/>
      <c r="D162" s="577"/>
      <c r="E162" s="577" t="s">
        <v>5598</v>
      </c>
      <c r="F162" s="577"/>
      <c r="G162" s="577"/>
      <c r="H162" s="192"/>
      <c r="I162" s="227"/>
      <c r="J162" s="227"/>
    </row>
    <row r="163" spans="1:10" ht="25.5">
      <c r="A163" s="287" t="s">
        <v>5575</v>
      </c>
      <c r="B163" s="577" t="s">
        <v>5599</v>
      </c>
      <c r="C163" s="577"/>
      <c r="D163" s="577"/>
      <c r="E163" s="577" t="s">
        <v>5600</v>
      </c>
      <c r="F163" s="577"/>
      <c r="G163" s="577"/>
      <c r="H163" s="192"/>
      <c r="I163" s="227"/>
      <c r="J163" s="227"/>
    </row>
    <row r="164" spans="1:10">
      <c r="A164" s="272" t="s">
        <v>5576</v>
      </c>
      <c r="B164" s="276" t="str">
        <f>IF(COUNTIF(B147:B154,"No")=0,"🟢 PILOT COMPLETE / ACCEPTANCE READY","🟡 NOT COMPLETE — ACCEPTANCE GATES OPEN")</f>
        <v>🟡 NOT COMPLETE — ACCEPTANCE GATES OPEN</v>
      </c>
      <c r="C164" s="276"/>
      <c r="D164" s="276"/>
      <c r="E164" s="276"/>
      <c r="F164" s="276"/>
      <c r="G164" s="276"/>
      <c r="H164" s="276"/>
    </row>
    <row r="165" spans="1:10">
      <c r="A165" s="272" t="s">
        <v>5577</v>
      </c>
      <c r="B165" s="276">
        <f>COUNTIF(B147:B154,"No")</f>
        <v>8</v>
      </c>
      <c r="C165" s="276"/>
      <c r="D165" s="276"/>
      <c r="E165" s="276"/>
      <c r="F165" s="276"/>
      <c r="G165" s="276"/>
      <c r="H165" s="276"/>
    </row>
    <row r="166" spans="1:10">
      <c r="A166" s="272" t="s">
        <v>5578</v>
      </c>
      <c r="B166" s="276" t="str">
        <f>COUNTIF(B147:B154,"Yes")&amp;" / 8 Complete"</f>
        <v>0 / 8 Complete</v>
      </c>
      <c r="C166" s="276"/>
      <c r="D166" s="276"/>
      <c r="E166" s="276"/>
      <c r="F166" s="276"/>
      <c r="G166" s="276"/>
      <c r="H166" s="276"/>
    </row>
    <row r="167" spans="1:10" ht="90">
      <c r="A167" s="277" t="s">
        <v>5579</v>
      </c>
      <c r="B167" s="278" t="s">
        <v>5580</v>
      </c>
      <c r="C167" s="278"/>
      <c r="D167" s="278"/>
      <c r="E167" s="278"/>
      <c r="F167" s="278"/>
      <c r="G167" s="278"/>
      <c r="H167" s="278"/>
    </row>
    <row r="168" spans="1:10">
      <c r="A168" s="277"/>
      <c r="B168" s="278"/>
      <c r="C168" s="278"/>
      <c r="D168" s="278"/>
      <c r="E168" s="278"/>
      <c r="F168" s="278"/>
      <c r="G168" s="278"/>
      <c r="H168" s="278"/>
    </row>
    <row r="169" spans="1:10" ht="64.5">
      <c r="A169" s="277" t="s">
        <v>5581</v>
      </c>
      <c r="B169" s="278" t="s">
        <v>5582</v>
      </c>
      <c r="C169" s="278"/>
      <c r="D169" s="278"/>
      <c r="E169" s="278"/>
      <c r="F169" s="278"/>
      <c r="G169" s="278"/>
      <c r="H169" s="278"/>
    </row>
    <row r="170" spans="1:10">
      <c r="A170" s="575" t="s">
        <v>5694</v>
      </c>
      <c r="B170" s="575"/>
      <c r="C170" s="575"/>
      <c r="D170" s="575"/>
      <c r="E170" s="575"/>
      <c r="F170" s="575"/>
      <c r="G170" s="575"/>
      <c r="H170" s="575"/>
      <c r="I170" s="575"/>
      <c r="J170" s="575"/>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5" t="s">
        <v>5695</v>
      </c>
      <c r="B181" s="575"/>
      <c r="C181" s="575"/>
      <c r="D181" s="575"/>
      <c r="E181" s="575"/>
      <c r="F181" s="575"/>
      <c r="G181" s="575"/>
      <c r="H181" s="575"/>
      <c r="I181" s="575"/>
      <c r="J181" s="575"/>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5" t="s">
        <v>5696</v>
      </c>
      <c r="B191" s="575"/>
      <c r="C191" s="575"/>
      <c r="D191" s="575"/>
      <c r="E191" s="575"/>
      <c r="F191" s="575"/>
      <c r="G191" s="575"/>
      <c r="H191" s="575"/>
      <c r="I191" s="575"/>
      <c r="J191" s="575"/>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5" t="s">
        <v>5697</v>
      </c>
      <c r="B203" s="575"/>
      <c r="C203" s="575"/>
      <c r="D203" s="575"/>
      <c r="E203" s="575"/>
      <c r="F203" s="575"/>
      <c r="G203" s="575"/>
      <c r="H203" s="575"/>
      <c r="I203" s="575"/>
      <c r="J203" s="575"/>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599"/>
      <c r="H225" s="599"/>
      <c r="I225" s="599"/>
      <c r="J225" s="599"/>
    </row>
  </sheetData>
  <mergeCells count="119">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s>
  <conditionalFormatting sqref="B86:B90">
    <cfRule type="expression" dxfId="1213" priority="21">
      <formula>B86="Complete"</formula>
    </cfRule>
    <cfRule type="expression" dxfId="1212" priority="22">
      <formula>B86="In Progress"</formula>
    </cfRule>
    <cfRule type="expression" dxfId="1211" priority="23">
      <formula>B86="At Risk"</formula>
    </cfRule>
    <cfRule type="expression" dxfId="1210" priority="24">
      <formula>B86="Blocked"</formula>
    </cfRule>
    <cfRule type="expression" dxfId="1209" priority="25">
      <formula>B86="Not Started"</formula>
    </cfRule>
  </conditionalFormatting>
  <conditionalFormatting sqref="B95:B102">
    <cfRule type="expression" dxfId="1208" priority="1">
      <formula>B95="Complete"</formula>
    </cfRule>
    <cfRule type="expression" dxfId="1207" priority="2">
      <formula>B95="In Progress"</formula>
    </cfRule>
    <cfRule type="expression" dxfId="1206" priority="3">
      <formula>B95="At Risk"</formula>
    </cfRule>
    <cfRule type="expression" dxfId="1205" priority="4">
      <formula>B95="Blocked"</formula>
    </cfRule>
    <cfRule type="expression" dxfId="1204" priority="5">
      <formula>B95="Not Started"</formula>
    </cfRule>
  </conditionalFormatting>
  <conditionalFormatting sqref="B107:B111">
    <cfRule type="expression" dxfId="1203" priority="30">
      <formula>B107="Not Started"</formula>
    </cfRule>
    <cfRule type="expression" dxfId="1202" priority="29">
      <formula>B107="Blocked"</formula>
    </cfRule>
    <cfRule type="expression" dxfId="1201" priority="28">
      <formula>B107="At Risk"</formula>
    </cfRule>
    <cfRule type="expression" dxfId="1200" priority="27">
      <formula>B107="In Progress"</formula>
    </cfRule>
    <cfRule type="expression" dxfId="1199" priority="26">
      <formula>B107="Complete"</formula>
    </cfRule>
  </conditionalFormatting>
  <conditionalFormatting sqref="B116:B119">
    <cfRule type="expression" dxfId="1198" priority="6">
      <formula>B116="Complete"</formula>
    </cfRule>
    <cfRule type="expression" dxfId="1197" priority="7">
      <formula>B116="In Progress"</formula>
    </cfRule>
    <cfRule type="expression" dxfId="1196" priority="8">
      <formula>B116="At Risk"</formula>
    </cfRule>
    <cfRule type="expression" dxfId="1195" priority="9">
      <formula>B116="Blocked"</formula>
    </cfRule>
    <cfRule type="expression" dxfId="1194" priority="10">
      <formula>B116="Not Started"</formula>
    </cfRule>
  </conditionalFormatting>
  <conditionalFormatting sqref="B124:B129">
    <cfRule type="expression" dxfId="1193" priority="11">
      <formula>B124="Complete"</formula>
    </cfRule>
    <cfRule type="expression" dxfId="1192" priority="12">
      <formula>B124="In Progress"</formula>
    </cfRule>
    <cfRule type="expression" dxfId="1191" priority="13">
      <formula>B124="At Risk"</formula>
    </cfRule>
    <cfRule type="expression" dxfId="1190" priority="14">
      <formula>B124="Blocked"</formula>
    </cfRule>
    <cfRule type="expression" dxfId="1189" priority="15">
      <formula>B124="Not Started"</formula>
    </cfRule>
  </conditionalFormatting>
  <conditionalFormatting sqref="B147:B154">
    <cfRule type="expression" dxfId="1188" priority="82">
      <formula>B147="Yes"</formula>
    </cfRule>
    <cfRule type="expression" dxfId="1187" priority="83">
      <formula>B147="N/A"</formula>
    </cfRule>
    <cfRule type="expression" dxfId="1186" priority="84">
      <formula>B147="No"</formula>
    </cfRule>
  </conditionalFormatting>
  <conditionalFormatting sqref="B164:H164">
    <cfRule type="expression" dxfId="1185" priority="86">
      <formula>COUNTIF($B$6:$B$13,"No")&gt;0</formula>
    </cfRule>
    <cfRule type="expression" dxfId="1184"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1183" priority="32">
      <formula>C95="No"</formula>
    </cfRule>
    <cfRule type="expression" dxfId="1182" priority="31">
      <formula>C95="Yes"</formula>
    </cfRule>
    <cfRule type="expression" dxfId="118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180" priority="17">
      <formula>C124="No"</formula>
    </cfRule>
    <cfRule type="expression" dxfId="1179" priority="16">
      <formula>C124="Yes"</formula>
    </cfRule>
    <cfRule type="expression" dxfId="117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177" priority="87">
      <formula>E5="Pass"</formula>
    </cfRule>
    <cfRule type="expression" dxfId="1176" priority="88">
      <formula>E5="Verify"</formula>
    </cfRule>
    <cfRule type="expression" dxfId="1175" priority="89">
      <formula>E5="Fail"</formula>
    </cfRule>
    <cfRule type="expression" dxfId="1174" priority="90">
      <formula>E5="Not Started"</formula>
    </cfRule>
  </conditionalFormatting>
  <conditionalFormatting sqref="F3">
    <cfRule type="expression" dxfId="1173" priority="91">
      <formula>F3="Yes"</formula>
    </cfRule>
    <cfRule type="expression" dxfId="1172" priority="92">
      <formula>F3="No"</formula>
    </cfRule>
  </conditionalFormatting>
  <conditionalFormatting sqref="F107:F111">
    <cfRule type="expression" dxfId="1171" priority="35">
      <formula>F107="Fail"</formula>
    </cfRule>
    <cfRule type="expression" dxfId="1170" priority="36">
      <formula>F107="Pending"</formula>
    </cfRule>
    <cfRule type="expression" dxfId="1169"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Lookup_Lists!$L$37:$L$39</xm:f>
          </x14:formula1>
          <xm:sqref>C107:E111 J2</xm:sqref>
        </x14:dataValidation>
        <x14:dataValidation type="list" allowBlank="1" showInputMessage="1" showErrorMessage="1" xr:uid="{4BD42C86-975B-40BD-B8AE-8335C4809263}">
          <x14:formula1>
            <xm:f>Lookup_Lists!$A$36:$A$42</xm:f>
          </x14:formula1>
          <xm:sqref>B86:B90 B95:B102 B124:B129</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topLeftCell="A87" workbookViewId="0">
      <selection activeCell="C100" sqref="C100:C10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1565</v>
      </c>
      <c r="B1" s="896"/>
      <c r="C1" s="896"/>
      <c r="D1" s="896"/>
      <c r="E1" s="896"/>
      <c r="F1" s="896"/>
      <c r="G1" s="896"/>
      <c r="H1" s="896"/>
      <c r="I1" s="896"/>
      <c r="J1" s="896"/>
    </row>
    <row r="2" spans="1:10" s="223" customFormat="1">
      <c r="A2" s="219" t="s">
        <v>142</v>
      </c>
      <c r="B2" s="220" t="s">
        <v>1566</v>
      </c>
      <c r="C2" s="219" t="s">
        <v>902</v>
      </c>
      <c r="D2" s="220" t="s">
        <v>1094</v>
      </c>
      <c r="E2" s="219" t="s">
        <v>151</v>
      </c>
      <c r="F2" s="220" t="s">
        <v>1095</v>
      </c>
      <c r="G2" s="219" t="s">
        <v>174</v>
      </c>
      <c r="H2" s="221">
        <v>0.5</v>
      </c>
      <c r="I2" s="219" t="s">
        <v>154</v>
      </c>
      <c r="J2" s="222" t="s">
        <v>1096</v>
      </c>
    </row>
    <row r="3" spans="1:10" s="227" customFormat="1" ht="25.5">
      <c r="A3" s="219" t="s">
        <v>903</v>
      </c>
      <c r="B3" s="224">
        <v>46198.577594305563</v>
      </c>
      <c r="C3" s="225" t="s">
        <v>904</v>
      </c>
      <c r="D3" s="226" t="s">
        <v>721</v>
      </c>
      <c r="E3" s="219" t="s">
        <v>905</v>
      </c>
      <c r="F3" s="226" t="s">
        <v>1567</v>
      </c>
      <c r="G3" s="219" t="s">
        <v>907</v>
      </c>
      <c r="H3" s="226" t="s">
        <v>908</v>
      </c>
      <c r="I3" s="219" t="s">
        <v>551</v>
      </c>
      <c r="J3" s="226" t="s">
        <v>1568</v>
      </c>
    </row>
    <row r="4" spans="1:10" s="227" customFormat="1" ht="114.75">
      <c r="A4" s="219" t="s">
        <v>161</v>
      </c>
      <c r="B4" s="226">
        <v>0</v>
      </c>
      <c r="C4" s="219" t="s">
        <v>199</v>
      </c>
      <c r="D4" s="226">
        <v>0</v>
      </c>
      <c r="E4" s="219" t="s">
        <v>179</v>
      </c>
      <c r="F4" s="226">
        <v>0</v>
      </c>
      <c r="G4" s="219" t="s">
        <v>870</v>
      </c>
      <c r="H4" s="228" t="s">
        <v>1569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604" t="s">
        <v>1570</v>
      </c>
      <c r="E6" s="582"/>
      <c r="F6" s="582"/>
      <c r="G6" s="582"/>
      <c r="H6" s="582"/>
      <c r="I6" s="582"/>
      <c r="J6" s="582"/>
    </row>
    <row r="7" spans="1:10">
      <c r="A7" s="13"/>
      <c r="B7" s="13"/>
      <c r="C7" s="13"/>
      <c r="D7" s="13"/>
      <c r="E7" s="13"/>
      <c r="F7" s="13"/>
      <c r="G7" s="13"/>
      <c r="H7" s="13"/>
      <c r="I7" s="13"/>
      <c r="J7" s="13"/>
    </row>
    <row r="8" spans="1:10">
      <c r="A8" s="575" t="s">
        <v>918</v>
      </c>
      <c r="B8" s="896"/>
      <c r="C8" s="896"/>
      <c r="D8" s="896"/>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38.25">
      <c r="A10" s="13" t="s">
        <v>1566</v>
      </c>
      <c r="B10" s="13" t="s">
        <v>1571</v>
      </c>
      <c r="C10" s="13" t="s">
        <v>923</v>
      </c>
      <c r="D10" s="13" t="s">
        <v>1572</v>
      </c>
      <c r="E10" s="13" t="s">
        <v>1473</v>
      </c>
      <c r="F10" s="13">
        <v>1</v>
      </c>
      <c r="G10" s="13">
        <v>0</v>
      </c>
      <c r="H10" s="13" t="s">
        <v>677</v>
      </c>
      <c r="I10" s="13" t="s">
        <v>1573</v>
      </c>
      <c r="J10" s="13" t="s">
        <v>1574</v>
      </c>
    </row>
    <row r="11" spans="1:10" ht="51">
      <c r="A11" s="13" t="s">
        <v>1566</v>
      </c>
      <c r="B11" s="13" t="s">
        <v>691</v>
      </c>
      <c r="C11" s="13" t="s">
        <v>919</v>
      </c>
      <c r="D11" s="13" t="s">
        <v>1575</v>
      </c>
      <c r="E11" s="13" t="s">
        <v>356</v>
      </c>
      <c r="F11" s="13">
        <v>2</v>
      </c>
      <c r="G11" s="13">
        <v>0</v>
      </c>
      <c r="H11" s="13" t="s">
        <v>677</v>
      </c>
      <c r="I11" s="13" t="s">
        <v>1576</v>
      </c>
      <c r="J11" s="13" t="s">
        <v>1577</v>
      </c>
    </row>
    <row r="12" spans="1:10" ht="51">
      <c r="A12" s="13" t="s">
        <v>1566</v>
      </c>
      <c r="B12" s="13" t="s">
        <v>692</v>
      </c>
      <c r="C12" s="13" t="s">
        <v>933</v>
      </c>
      <c r="D12" s="13" t="s">
        <v>1578</v>
      </c>
      <c r="E12" s="13" t="s">
        <v>356</v>
      </c>
      <c r="F12" s="13">
        <v>1</v>
      </c>
      <c r="G12" s="13">
        <v>1</v>
      </c>
      <c r="H12" s="13" t="s">
        <v>677</v>
      </c>
      <c r="I12" s="13" t="s">
        <v>1579</v>
      </c>
      <c r="J12" s="13" t="s">
        <v>1580</v>
      </c>
    </row>
    <row r="13" spans="1:10">
      <c r="A13" s="13"/>
      <c r="B13" s="13"/>
      <c r="C13" s="13"/>
      <c r="D13" s="13"/>
      <c r="E13" s="13"/>
      <c r="F13" s="13"/>
      <c r="G13" s="13"/>
      <c r="H13" s="13"/>
      <c r="I13" s="13"/>
      <c r="J13" s="13"/>
    </row>
    <row r="14" spans="1:10">
      <c r="A14" s="575" t="s">
        <v>936</v>
      </c>
      <c r="B14" s="896"/>
      <c r="C14" s="896"/>
      <c r="D14" s="896"/>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25.5">
      <c r="A16" s="13" t="s">
        <v>1571</v>
      </c>
      <c r="B16" s="13" t="s">
        <v>677</v>
      </c>
      <c r="C16" s="13" t="s">
        <v>677</v>
      </c>
      <c r="D16" s="13" t="s">
        <v>677</v>
      </c>
      <c r="E16" s="13" t="s">
        <v>677</v>
      </c>
      <c r="F16" s="13" t="s">
        <v>677</v>
      </c>
      <c r="G16" s="13" t="s">
        <v>677</v>
      </c>
      <c r="H16" s="13" t="s">
        <v>677</v>
      </c>
      <c r="I16" s="13" t="s">
        <v>677</v>
      </c>
      <c r="J16" s="13" t="s">
        <v>1581</v>
      </c>
    </row>
    <row r="17" spans="1:10" ht="38.25">
      <c r="A17" s="13" t="s">
        <v>691</v>
      </c>
      <c r="B17" s="13" t="s">
        <v>677</v>
      </c>
      <c r="C17" s="13" t="s">
        <v>677</v>
      </c>
      <c r="D17" s="13" t="s">
        <v>677</v>
      </c>
      <c r="E17" s="13" t="s">
        <v>677</v>
      </c>
      <c r="F17" s="13" t="s">
        <v>677</v>
      </c>
      <c r="G17" s="13" t="s">
        <v>677</v>
      </c>
      <c r="H17" s="13" t="s">
        <v>677</v>
      </c>
      <c r="I17" s="13" t="s">
        <v>677</v>
      </c>
      <c r="J17" s="13" t="s">
        <v>1582</v>
      </c>
    </row>
    <row r="18" spans="1:10" ht="51">
      <c r="A18" s="13" t="s">
        <v>692</v>
      </c>
      <c r="B18" s="13" t="s">
        <v>677</v>
      </c>
      <c r="C18" s="13" t="s">
        <v>677</v>
      </c>
      <c r="D18" s="13" t="s">
        <v>677</v>
      </c>
      <c r="E18" s="13" t="s">
        <v>677</v>
      </c>
      <c r="F18" s="13" t="s">
        <v>677</v>
      </c>
      <c r="G18" s="13" t="s">
        <v>677</v>
      </c>
      <c r="H18" s="13" t="s">
        <v>677</v>
      </c>
      <c r="I18" s="13" t="s">
        <v>677</v>
      </c>
      <c r="J18" s="13" t="s">
        <v>1583</v>
      </c>
    </row>
    <row r="19" spans="1:10">
      <c r="A19" s="13"/>
      <c r="B19" s="13"/>
      <c r="C19" s="13"/>
      <c r="D19" s="13"/>
      <c r="E19" s="13"/>
      <c r="F19" s="13"/>
      <c r="G19" s="13"/>
      <c r="H19" s="13"/>
      <c r="I19" s="13"/>
      <c r="J19" s="13"/>
    </row>
    <row r="20" spans="1:10">
      <c r="A20" s="575" t="s">
        <v>951</v>
      </c>
      <c r="B20" s="896"/>
      <c r="C20" s="896"/>
      <c r="D20" s="896"/>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25.5">
      <c r="A22" s="13" t="s">
        <v>1571</v>
      </c>
      <c r="B22" s="13" t="s">
        <v>677</v>
      </c>
      <c r="C22" s="13" t="s">
        <v>679</v>
      </c>
      <c r="D22" s="13" t="s">
        <v>677</v>
      </c>
      <c r="E22" s="13" t="s">
        <v>677</v>
      </c>
      <c r="F22" s="13" t="s">
        <v>677</v>
      </c>
      <c r="G22" s="13" t="s">
        <v>677</v>
      </c>
      <c r="H22" s="13" t="s">
        <v>677</v>
      </c>
      <c r="I22" s="13" t="s">
        <v>677</v>
      </c>
      <c r="J22" s="13" t="s">
        <v>1584</v>
      </c>
    </row>
    <row r="23" spans="1:10" ht="51">
      <c r="A23" s="13" t="s">
        <v>691</v>
      </c>
      <c r="B23" s="13" t="s">
        <v>677</v>
      </c>
      <c r="C23" s="13" t="s">
        <v>677</v>
      </c>
      <c r="D23" s="13" t="s">
        <v>677</v>
      </c>
      <c r="E23" s="13" t="s">
        <v>677</v>
      </c>
      <c r="F23" s="13" t="s">
        <v>677</v>
      </c>
      <c r="G23" s="13" t="s">
        <v>677</v>
      </c>
      <c r="H23" s="13" t="s">
        <v>677</v>
      </c>
      <c r="I23" s="13" t="s">
        <v>677</v>
      </c>
      <c r="J23" s="13" t="s">
        <v>1585</v>
      </c>
    </row>
    <row r="24" spans="1:10" ht="38.25">
      <c r="A24" s="13" t="s">
        <v>692</v>
      </c>
      <c r="B24" s="13" t="s">
        <v>677</v>
      </c>
      <c r="C24" s="13" t="s">
        <v>677</v>
      </c>
      <c r="D24" s="13" t="s">
        <v>677</v>
      </c>
      <c r="E24" s="13" t="s">
        <v>677</v>
      </c>
      <c r="F24" s="13" t="s">
        <v>677</v>
      </c>
      <c r="G24" s="13" t="s">
        <v>677</v>
      </c>
      <c r="H24" s="13" t="s">
        <v>677</v>
      </c>
      <c r="I24" s="13" t="s">
        <v>677</v>
      </c>
      <c r="J24" s="13" t="s">
        <v>1586</v>
      </c>
    </row>
    <row r="25" spans="1:10">
      <c r="A25" s="13"/>
      <c r="B25" s="13"/>
      <c r="C25" s="13"/>
      <c r="D25" s="13"/>
      <c r="E25" s="13"/>
      <c r="F25" s="13"/>
      <c r="G25" s="13"/>
      <c r="H25" s="13"/>
      <c r="I25" s="13"/>
      <c r="J25" s="13"/>
    </row>
    <row r="26" spans="1:10">
      <c r="A26" s="575" t="s">
        <v>964</v>
      </c>
      <c r="B26" s="896"/>
      <c r="C26" s="896"/>
      <c r="D26" s="896"/>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1571</v>
      </c>
      <c r="B28" s="13" t="s">
        <v>988</v>
      </c>
      <c r="C28" s="13" t="s">
        <v>677</v>
      </c>
      <c r="D28" s="13" t="s">
        <v>677</v>
      </c>
      <c r="E28" s="13" t="s">
        <v>677</v>
      </c>
      <c r="F28" s="13" t="s">
        <v>677</v>
      </c>
      <c r="G28" s="13" t="s">
        <v>677</v>
      </c>
      <c r="H28" s="13" t="s">
        <v>677</v>
      </c>
      <c r="I28" s="13" t="s">
        <v>677</v>
      </c>
      <c r="J28" s="13" t="s">
        <v>1587</v>
      </c>
    </row>
    <row r="29" spans="1:10" ht="63.75">
      <c r="A29" s="13" t="s">
        <v>691</v>
      </c>
      <c r="B29" s="13" t="s">
        <v>972</v>
      </c>
      <c r="C29" s="13" t="s">
        <v>677</v>
      </c>
      <c r="D29" s="13" t="s">
        <v>677</v>
      </c>
      <c r="E29" s="13" t="s">
        <v>677</v>
      </c>
      <c r="F29" s="13" t="s">
        <v>677</v>
      </c>
      <c r="G29" s="13" t="s">
        <v>677</v>
      </c>
      <c r="H29" s="13" t="s">
        <v>677</v>
      </c>
      <c r="I29" s="13" t="s">
        <v>677</v>
      </c>
      <c r="J29" s="13" t="s">
        <v>1588</v>
      </c>
    </row>
    <row r="30" spans="1:10" ht="51">
      <c r="A30" s="13" t="s">
        <v>692</v>
      </c>
      <c r="B30" s="13" t="s">
        <v>1589</v>
      </c>
      <c r="C30" s="13" t="s">
        <v>677</v>
      </c>
      <c r="D30" s="13" t="s">
        <v>677</v>
      </c>
      <c r="E30" s="13" t="s">
        <v>677</v>
      </c>
      <c r="F30" s="13" t="s">
        <v>677</v>
      </c>
      <c r="G30" s="13" t="s">
        <v>677</v>
      </c>
      <c r="H30" s="13" t="s">
        <v>677</v>
      </c>
      <c r="I30" s="13" t="s">
        <v>677</v>
      </c>
      <c r="J30" s="13" t="s">
        <v>1590</v>
      </c>
    </row>
    <row r="31" spans="1:10">
      <c r="A31" s="13"/>
      <c r="B31" s="13"/>
      <c r="C31" s="13"/>
      <c r="D31" s="13"/>
      <c r="E31" s="13"/>
      <c r="F31" s="13"/>
      <c r="G31" s="13"/>
      <c r="H31" s="13"/>
      <c r="I31" s="13"/>
      <c r="J31" s="13"/>
    </row>
    <row r="32" spans="1:10">
      <c r="A32" s="575" t="s">
        <v>977</v>
      </c>
      <c r="B32" s="896"/>
      <c r="C32" s="896"/>
      <c r="D32" s="896"/>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38.25">
      <c r="A34" s="13" t="s">
        <v>1571</v>
      </c>
      <c r="B34" s="13" t="s">
        <v>988</v>
      </c>
      <c r="C34" s="13" t="s">
        <v>1485</v>
      </c>
      <c r="D34" s="13" t="s">
        <v>988</v>
      </c>
      <c r="E34" s="13" t="s">
        <v>677</v>
      </c>
      <c r="F34" s="13" t="s">
        <v>677</v>
      </c>
      <c r="G34" s="13" t="s">
        <v>677</v>
      </c>
      <c r="H34" s="13" t="s">
        <v>677</v>
      </c>
      <c r="I34" s="13" t="s">
        <v>677</v>
      </c>
      <c r="J34" s="13" t="s">
        <v>1591</v>
      </c>
    </row>
    <row r="35" spans="1:10" ht="63.75">
      <c r="A35" s="13" t="s">
        <v>691</v>
      </c>
      <c r="B35" s="13" t="s">
        <v>677</v>
      </c>
      <c r="C35" s="13" t="s">
        <v>1592</v>
      </c>
      <c r="D35" s="13" t="s">
        <v>677</v>
      </c>
      <c r="E35" s="13" t="s">
        <v>677</v>
      </c>
      <c r="F35" s="13" t="s">
        <v>1593</v>
      </c>
      <c r="G35" s="13" t="s">
        <v>677</v>
      </c>
      <c r="H35" s="13" t="s">
        <v>677</v>
      </c>
      <c r="I35" s="13" t="s">
        <v>677</v>
      </c>
      <c r="J35" s="13" t="s">
        <v>1594</v>
      </c>
    </row>
    <row r="36" spans="1:10" ht="51">
      <c r="A36" s="13" t="s">
        <v>692</v>
      </c>
      <c r="B36" s="13" t="s">
        <v>677</v>
      </c>
      <c r="C36" s="13" t="s">
        <v>1592</v>
      </c>
      <c r="D36" s="13" t="s">
        <v>677</v>
      </c>
      <c r="E36" s="13" t="s">
        <v>677</v>
      </c>
      <c r="F36" s="13" t="s">
        <v>1595</v>
      </c>
      <c r="G36" s="13" t="s">
        <v>677</v>
      </c>
      <c r="H36" s="13" t="s">
        <v>677</v>
      </c>
      <c r="I36" s="13" t="s">
        <v>677</v>
      </c>
      <c r="J36" s="13" t="s">
        <v>1596</v>
      </c>
    </row>
    <row r="37" spans="1:10">
      <c r="A37" s="13"/>
      <c r="B37" s="13"/>
      <c r="C37" s="13"/>
      <c r="D37" s="13"/>
      <c r="E37" s="13"/>
      <c r="F37" s="13"/>
      <c r="G37" s="13"/>
      <c r="H37" s="13"/>
      <c r="I37" s="13"/>
      <c r="J37" s="13"/>
    </row>
    <row r="38" spans="1:10">
      <c r="A38" s="575" t="s">
        <v>994</v>
      </c>
      <c r="B38" s="896"/>
      <c r="C38" s="896"/>
      <c r="D38" s="896"/>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38.25">
      <c r="A40" s="13" t="s">
        <v>1571</v>
      </c>
      <c r="B40" s="13" t="s">
        <v>988</v>
      </c>
      <c r="C40" s="13" t="s">
        <v>1487</v>
      </c>
      <c r="D40" s="13" t="s">
        <v>988</v>
      </c>
      <c r="E40" s="13" t="s">
        <v>677</v>
      </c>
      <c r="F40" s="13" t="s">
        <v>677</v>
      </c>
      <c r="G40" s="13" t="s">
        <v>677</v>
      </c>
      <c r="H40" s="13" t="s">
        <v>677</v>
      </c>
      <c r="I40" s="13" t="s">
        <v>677</v>
      </c>
      <c r="J40" s="13" t="s">
        <v>1597</v>
      </c>
    </row>
    <row r="41" spans="1:10" ht="51">
      <c r="A41" s="13" t="s">
        <v>691</v>
      </c>
      <c r="B41" s="13" t="s">
        <v>677</v>
      </c>
      <c r="C41" s="13" t="s">
        <v>677</v>
      </c>
      <c r="D41" s="13" t="s">
        <v>677</v>
      </c>
      <c r="E41" s="13" t="s">
        <v>677</v>
      </c>
      <c r="F41" s="13" t="s">
        <v>677</v>
      </c>
      <c r="G41" s="13" t="s">
        <v>677</v>
      </c>
      <c r="H41" s="13" t="s">
        <v>677</v>
      </c>
      <c r="I41" s="13" t="s">
        <v>677</v>
      </c>
      <c r="J41" s="13" t="s">
        <v>1598</v>
      </c>
    </row>
    <row r="42" spans="1:10" ht="51">
      <c r="A42" s="13" t="s">
        <v>692</v>
      </c>
      <c r="B42" s="13" t="s">
        <v>677</v>
      </c>
      <c r="C42" s="13" t="s">
        <v>677</v>
      </c>
      <c r="D42" s="13" t="s">
        <v>677</v>
      </c>
      <c r="E42" s="13" t="s">
        <v>677</v>
      </c>
      <c r="F42" s="13" t="s">
        <v>677</v>
      </c>
      <c r="G42" s="13" t="s">
        <v>677</v>
      </c>
      <c r="H42" s="13" t="s">
        <v>677</v>
      </c>
      <c r="I42" s="13" t="s">
        <v>677</v>
      </c>
      <c r="J42" s="13" t="s">
        <v>1599</v>
      </c>
    </row>
    <row r="43" spans="1:10">
      <c r="A43" s="13"/>
      <c r="B43" s="13"/>
      <c r="C43" s="13"/>
      <c r="D43" s="13"/>
      <c r="E43" s="13"/>
      <c r="F43" s="13"/>
      <c r="G43" s="13"/>
      <c r="H43" s="13"/>
      <c r="I43" s="13"/>
      <c r="J43" s="13"/>
    </row>
    <row r="44" spans="1:10">
      <c r="A44" s="575" t="s">
        <v>1007</v>
      </c>
      <c r="B44" s="896"/>
      <c r="C44" s="896"/>
      <c r="D44" s="896"/>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38.25">
      <c r="A46" s="13" t="s">
        <v>1571</v>
      </c>
      <c r="B46" s="13" t="s">
        <v>677</v>
      </c>
      <c r="C46" s="13" t="s">
        <v>677</v>
      </c>
      <c r="D46" s="13" t="s">
        <v>677</v>
      </c>
      <c r="E46" s="13" t="s">
        <v>677</v>
      </c>
      <c r="F46" s="13" t="s">
        <v>677</v>
      </c>
      <c r="G46" s="13" t="s">
        <v>677</v>
      </c>
      <c r="H46" s="13" t="s">
        <v>677</v>
      </c>
      <c r="I46" s="13" t="s">
        <v>677</v>
      </c>
      <c r="J46" s="13" t="s">
        <v>1600</v>
      </c>
    </row>
    <row r="47" spans="1:10" ht="51">
      <c r="A47" s="13" t="s">
        <v>691</v>
      </c>
      <c r="B47" s="13" t="s">
        <v>677</v>
      </c>
      <c r="C47" s="13" t="s">
        <v>677</v>
      </c>
      <c r="D47" s="13" t="s">
        <v>677</v>
      </c>
      <c r="E47" s="13" t="s">
        <v>677</v>
      </c>
      <c r="F47" s="13" t="s">
        <v>677</v>
      </c>
      <c r="G47" s="13" t="s">
        <v>677</v>
      </c>
      <c r="H47" s="13" t="s">
        <v>677</v>
      </c>
      <c r="I47" s="13" t="s">
        <v>677</v>
      </c>
      <c r="J47" s="13" t="s">
        <v>1601</v>
      </c>
    </row>
    <row r="48" spans="1:10" ht="38.25">
      <c r="A48" s="13" t="s">
        <v>692</v>
      </c>
      <c r="B48" s="13" t="s">
        <v>677</v>
      </c>
      <c r="C48" s="13" t="s">
        <v>677</v>
      </c>
      <c r="D48" s="13" t="s">
        <v>677</v>
      </c>
      <c r="E48" s="13" t="s">
        <v>677</v>
      </c>
      <c r="F48" s="13" t="s">
        <v>677</v>
      </c>
      <c r="G48" s="13" t="s">
        <v>677</v>
      </c>
      <c r="H48" s="13" t="s">
        <v>677</v>
      </c>
      <c r="I48" s="13" t="s">
        <v>677</v>
      </c>
      <c r="J48" s="13" t="s">
        <v>1602</v>
      </c>
    </row>
    <row r="49" spans="1:10">
      <c r="A49" s="13"/>
      <c r="B49" s="13"/>
      <c r="C49" s="13"/>
      <c r="D49" s="13"/>
      <c r="E49" s="13"/>
      <c r="F49" s="13"/>
      <c r="G49" s="13"/>
      <c r="H49" s="13"/>
      <c r="I49" s="13"/>
      <c r="J49" s="13"/>
    </row>
    <row r="50" spans="1:10">
      <c r="A50" s="575" t="s">
        <v>1019</v>
      </c>
      <c r="B50" s="896"/>
      <c r="C50" s="896"/>
      <c r="D50" s="896"/>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1603</v>
      </c>
      <c r="B52" s="13" t="s">
        <v>575</v>
      </c>
      <c r="C52" s="13" t="s">
        <v>1604</v>
      </c>
      <c r="D52" s="13" t="s">
        <v>391</v>
      </c>
      <c r="E52" s="13" t="s">
        <v>488</v>
      </c>
      <c r="F52" s="13">
        <v>6</v>
      </c>
      <c r="G52" s="13" t="s">
        <v>1381</v>
      </c>
      <c r="H52" s="13" t="s">
        <v>1023</v>
      </c>
      <c r="I52" s="13" t="s">
        <v>502</v>
      </c>
      <c r="J52" s="13" t="s">
        <v>1605</v>
      </c>
    </row>
    <row r="53" spans="1:10" ht="51">
      <c r="A53" s="13" t="s">
        <v>1606</v>
      </c>
      <c r="B53" s="13" t="s">
        <v>1571</v>
      </c>
      <c r="C53" s="13" t="s">
        <v>1607</v>
      </c>
      <c r="D53" s="13" t="s">
        <v>492</v>
      </c>
      <c r="E53" s="13" t="s">
        <v>488</v>
      </c>
      <c r="F53" s="13">
        <v>8</v>
      </c>
      <c r="G53" s="13" t="s">
        <v>1608</v>
      </c>
      <c r="H53" s="13" t="s">
        <v>584</v>
      </c>
      <c r="I53" s="13" t="s">
        <v>502</v>
      </c>
      <c r="J53" s="13" t="s">
        <v>1609</v>
      </c>
    </row>
    <row r="54" spans="1:10" ht="63.75">
      <c r="A54" s="13" t="s">
        <v>1610</v>
      </c>
      <c r="B54" s="13" t="s">
        <v>691</v>
      </c>
      <c r="C54" s="13" t="s">
        <v>1611</v>
      </c>
      <c r="D54" s="13" t="s">
        <v>492</v>
      </c>
      <c r="E54" s="13" t="s">
        <v>488</v>
      </c>
      <c r="F54" s="13">
        <v>8</v>
      </c>
      <c r="G54" s="13" t="s">
        <v>1612</v>
      </c>
      <c r="H54" s="13" t="s">
        <v>1032</v>
      </c>
      <c r="I54" s="13" t="s">
        <v>502</v>
      </c>
      <c r="J54" s="13" t="s">
        <v>1613</v>
      </c>
    </row>
    <row r="55" spans="1:10" ht="76.5">
      <c r="A55" s="13" t="s">
        <v>1614</v>
      </c>
      <c r="B55" s="13" t="s">
        <v>692</v>
      </c>
      <c r="C55" s="13" t="s">
        <v>1615</v>
      </c>
      <c r="D55" s="13" t="s">
        <v>391</v>
      </c>
      <c r="E55" s="13" t="s">
        <v>488</v>
      </c>
      <c r="F55" s="13">
        <v>6</v>
      </c>
      <c r="G55" s="13" t="s">
        <v>1616</v>
      </c>
      <c r="H55" s="13" t="s">
        <v>1617</v>
      </c>
      <c r="I55" s="13" t="s">
        <v>502</v>
      </c>
      <c r="J55" s="13" t="s">
        <v>1618</v>
      </c>
    </row>
    <row r="56" spans="1:10" ht="76.5">
      <c r="A56" s="13" t="s">
        <v>1619</v>
      </c>
      <c r="B56" s="13" t="s">
        <v>1620</v>
      </c>
      <c r="C56" s="13" t="s">
        <v>1621</v>
      </c>
      <c r="D56" s="13" t="s">
        <v>492</v>
      </c>
      <c r="E56" s="13" t="s">
        <v>488</v>
      </c>
      <c r="F56" s="13">
        <v>8</v>
      </c>
      <c r="G56" s="13" t="s">
        <v>1622</v>
      </c>
      <c r="H56" s="13" t="s">
        <v>592</v>
      </c>
      <c r="I56" s="13" t="s">
        <v>502</v>
      </c>
      <c r="J56" s="13" t="s">
        <v>1623</v>
      </c>
    </row>
    <row r="57" spans="1:10" ht="63.75">
      <c r="A57" s="13" t="s">
        <v>1624</v>
      </c>
      <c r="B57" s="13" t="s">
        <v>575</v>
      </c>
      <c r="C57" s="13" t="s">
        <v>1625</v>
      </c>
      <c r="D57" s="13" t="s">
        <v>492</v>
      </c>
      <c r="E57" s="13" t="s">
        <v>488</v>
      </c>
      <c r="F57" s="13">
        <v>8</v>
      </c>
      <c r="G57" s="13" t="s">
        <v>1626</v>
      </c>
      <c r="H57" s="13" t="s">
        <v>1403</v>
      </c>
      <c r="I57" s="13" t="s">
        <v>502</v>
      </c>
      <c r="J57" s="13" t="s">
        <v>1627</v>
      </c>
    </row>
    <row r="58" spans="1:10" ht="63.75">
      <c r="A58" s="13" t="s">
        <v>1628</v>
      </c>
      <c r="B58" s="13" t="s">
        <v>575</v>
      </c>
      <c r="C58" s="13" t="s">
        <v>649</v>
      </c>
      <c r="D58" s="13" t="s">
        <v>492</v>
      </c>
      <c r="E58" s="13" t="s">
        <v>488</v>
      </c>
      <c r="F58" s="13">
        <v>8</v>
      </c>
      <c r="G58" s="13" t="s">
        <v>1629</v>
      </c>
      <c r="H58" s="13" t="s">
        <v>584</v>
      </c>
      <c r="I58" s="13" t="s">
        <v>502</v>
      </c>
      <c r="J58" s="13" t="s">
        <v>1630</v>
      </c>
    </row>
    <row r="59" spans="1:10" ht="51">
      <c r="A59" s="13" t="s">
        <v>1631</v>
      </c>
      <c r="B59" s="13" t="s">
        <v>575</v>
      </c>
      <c r="C59" s="13" t="s">
        <v>1632</v>
      </c>
      <c r="D59" s="13" t="s">
        <v>391</v>
      </c>
      <c r="E59" s="13" t="s">
        <v>488</v>
      </c>
      <c r="F59" s="13">
        <v>6</v>
      </c>
      <c r="G59" s="13" t="s">
        <v>1633</v>
      </c>
      <c r="H59" s="13" t="s">
        <v>1049</v>
      </c>
      <c r="I59" s="13" t="s">
        <v>502</v>
      </c>
      <c r="J59" s="13" t="s">
        <v>1634</v>
      </c>
    </row>
    <row r="60" spans="1:10">
      <c r="A60" s="13"/>
      <c r="B60" s="13"/>
      <c r="C60" s="13"/>
      <c r="D60" s="13"/>
      <c r="E60" s="13"/>
      <c r="F60" s="13"/>
      <c r="G60" s="13"/>
      <c r="H60" s="13"/>
      <c r="I60" s="13"/>
      <c r="J60" s="13"/>
    </row>
    <row r="61" spans="1:10">
      <c r="A61" s="575" t="s">
        <v>1051</v>
      </c>
      <c r="B61" s="896"/>
      <c r="C61" s="896"/>
      <c r="D61" s="896"/>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51">
      <c r="A63" s="13" t="s">
        <v>1635</v>
      </c>
      <c r="B63" s="13" t="s">
        <v>1636</v>
      </c>
      <c r="C63" s="13" t="s">
        <v>579</v>
      </c>
      <c r="D63" s="13" t="s">
        <v>502</v>
      </c>
      <c r="E63" s="13"/>
      <c r="F63" s="13"/>
      <c r="G63" s="13" t="s">
        <v>580</v>
      </c>
      <c r="H63" s="13"/>
      <c r="I63" s="13"/>
      <c r="J63" s="13"/>
    </row>
    <row r="64" spans="1:10" ht="51">
      <c r="A64" s="13" t="s">
        <v>1637</v>
      </c>
      <c r="B64" s="13" t="s">
        <v>1638</v>
      </c>
      <c r="C64" s="13" t="s">
        <v>587</v>
      </c>
      <c r="D64" s="13" t="s">
        <v>502</v>
      </c>
      <c r="E64" s="13"/>
      <c r="F64" s="13"/>
      <c r="G64" s="13" t="s">
        <v>1421</v>
      </c>
      <c r="H64" s="13"/>
      <c r="I64" s="13"/>
      <c r="J64" s="13"/>
    </row>
    <row r="65" spans="1:10" ht="51">
      <c r="A65" s="13" t="s">
        <v>1639</v>
      </c>
      <c r="B65" s="13" t="s">
        <v>1640</v>
      </c>
      <c r="C65" s="13" t="s">
        <v>587</v>
      </c>
      <c r="D65" s="13" t="s">
        <v>502</v>
      </c>
      <c r="E65" s="13"/>
      <c r="F65" s="13"/>
      <c r="G65" s="13" t="s">
        <v>1528</v>
      </c>
      <c r="H65" s="13"/>
      <c r="I65" s="13"/>
      <c r="J65" s="13"/>
    </row>
    <row r="66" spans="1:10" ht="63.75">
      <c r="A66" s="13" t="s">
        <v>1641</v>
      </c>
      <c r="B66" s="13" t="s">
        <v>1642</v>
      </c>
      <c r="C66" s="13" t="s">
        <v>601</v>
      </c>
      <c r="D66" s="13" t="s">
        <v>502</v>
      </c>
      <c r="E66" s="13"/>
      <c r="F66" s="13"/>
      <c r="G66" s="13" t="s">
        <v>602</v>
      </c>
      <c r="H66" s="13"/>
      <c r="I66" s="13"/>
      <c r="J66" s="13"/>
    </row>
    <row r="67" spans="1:10" ht="76.5">
      <c r="A67" s="13" t="s">
        <v>1643</v>
      </c>
      <c r="B67" s="13" t="s">
        <v>1417</v>
      </c>
      <c r="C67" s="13" t="s">
        <v>609</v>
      </c>
      <c r="D67" s="13" t="s">
        <v>502</v>
      </c>
      <c r="E67" s="13"/>
      <c r="F67" s="13"/>
      <c r="G67" s="13" t="s">
        <v>1418</v>
      </c>
      <c r="H67" s="13"/>
      <c r="I67" s="13"/>
      <c r="J67" s="13"/>
    </row>
    <row r="68" spans="1:10" ht="63.75">
      <c r="A68" s="13" t="s">
        <v>1644</v>
      </c>
      <c r="B68" s="13" t="s">
        <v>1645</v>
      </c>
      <c r="C68" s="13" t="s">
        <v>616</v>
      </c>
      <c r="D68" s="13" t="s">
        <v>502</v>
      </c>
      <c r="E68" s="13"/>
      <c r="F68" s="13"/>
      <c r="G68" s="13" t="s">
        <v>617</v>
      </c>
      <c r="H68" s="13"/>
      <c r="I68" s="13"/>
      <c r="J68" s="13"/>
    </row>
    <row r="69" spans="1:10" ht="76.5">
      <c r="A69" s="13" t="s">
        <v>1646</v>
      </c>
      <c r="B69" s="13" t="s">
        <v>1647</v>
      </c>
      <c r="C69" s="13" t="s">
        <v>622</v>
      </c>
      <c r="D69" s="13" t="s">
        <v>502</v>
      </c>
      <c r="E69" s="13"/>
      <c r="F69" s="13"/>
      <c r="G69" s="13" t="s">
        <v>623</v>
      </c>
      <c r="H69" s="13"/>
      <c r="I69" s="13"/>
      <c r="J69" s="13"/>
    </row>
    <row r="70" spans="1:10" ht="63.75">
      <c r="A70" s="13" t="s">
        <v>1648</v>
      </c>
      <c r="B70" s="13" t="s">
        <v>1649</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96"/>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3.75">
      <c r="A74" s="13" t="s">
        <v>1650</v>
      </c>
      <c r="B74" s="13" t="s">
        <v>1571</v>
      </c>
      <c r="C74" s="13" t="s">
        <v>269</v>
      </c>
      <c r="D74" s="13" t="s">
        <v>1651</v>
      </c>
      <c r="E74" s="13"/>
      <c r="F74" s="13" t="s">
        <v>229</v>
      </c>
      <c r="G74" s="13"/>
      <c r="H74" s="13" t="s">
        <v>1652</v>
      </c>
      <c r="I74" s="13" t="s">
        <v>502</v>
      </c>
      <c r="J74" s="13"/>
    </row>
    <row r="75" spans="1:10" ht="63.75">
      <c r="A75" s="13" t="s">
        <v>1653</v>
      </c>
      <c r="B75" s="13" t="s">
        <v>691</v>
      </c>
      <c r="C75" s="13" t="s">
        <v>269</v>
      </c>
      <c r="D75" s="13" t="s">
        <v>1654</v>
      </c>
      <c r="E75" s="13"/>
      <c r="F75" s="13" t="s">
        <v>229</v>
      </c>
      <c r="G75" s="13"/>
      <c r="H75" s="13" t="s">
        <v>1655</v>
      </c>
      <c r="I75" s="13" t="s">
        <v>502</v>
      </c>
      <c r="J75" s="13"/>
    </row>
    <row r="76" spans="1:10" ht="63.75">
      <c r="A76" s="13" t="s">
        <v>1656</v>
      </c>
      <c r="B76" s="13" t="s">
        <v>692</v>
      </c>
      <c r="C76" s="13" t="s">
        <v>269</v>
      </c>
      <c r="D76" s="13" t="s">
        <v>1657</v>
      </c>
      <c r="E76" s="13"/>
      <c r="F76" s="13" t="s">
        <v>229</v>
      </c>
      <c r="G76" s="13"/>
      <c r="H76" s="13" t="s">
        <v>1614</v>
      </c>
      <c r="I76" s="13" t="s">
        <v>502</v>
      </c>
      <c r="J76" s="13"/>
    </row>
    <row r="77" spans="1:10" ht="63.75">
      <c r="A77" s="13" t="s">
        <v>1658</v>
      </c>
      <c r="B77" s="13" t="s">
        <v>575</v>
      </c>
      <c r="C77" s="13" t="s">
        <v>957</v>
      </c>
      <c r="D77" s="13" t="s">
        <v>1659</v>
      </c>
      <c r="E77" s="13"/>
      <c r="F77" s="13" t="s">
        <v>229</v>
      </c>
      <c r="G77" s="13"/>
      <c r="H77" s="13" t="s">
        <v>1624</v>
      </c>
      <c r="I77" s="13" t="s">
        <v>502</v>
      </c>
      <c r="J77" s="13"/>
    </row>
    <row r="78" spans="1:10" ht="76.5">
      <c r="A78" s="13" t="s">
        <v>1660</v>
      </c>
      <c r="B78" s="13" t="s">
        <v>1620</v>
      </c>
      <c r="C78" s="13" t="s">
        <v>148</v>
      </c>
      <c r="D78" s="13" t="s">
        <v>1661</v>
      </c>
      <c r="E78" s="13"/>
      <c r="F78" s="13" t="s">
        <v>229</v>
      </c>
      <c r="G78" s="13"/>
      <c r="H78" s="13" t="s">
        <v>1619</v>
      </c>
      <c r="I78" s="13" t="s">
        <v>502</v>
      </c>
      <c r="J78" s="13"/>
    </row>
    <row r="79" spans="1:10" ht="51">
      <c r="A79" s="13" t="s">
        <v>1662</v>
      </c>
      <c r="B79" s="13" t="s">
        <v>575</v>
      </c>
      <c r="C79" s="13" t="s">
        <v>153</v>
      </c>
      <c r="D79" s="13" t="s">
        <v>1663</v>
      </c>
      <c r="E79" s="13"/>
      <c r="F79" s="13" t="s">
        <v>229</v>
      </c>
      <c r="G79" s="13"/>
      <c r="H79" s="13" t="s">
        <v>1664</v>
      </c>
      <c r="I79" s="13" t="s">
        <v>502</v>
      </c>
      <c r="J79" s="13"/>
    </row>
    <row r="80" spans="1:10" ht="51">
      <c r="A80" s="13" t="s">
        <v>1665</v>
      </c>
      <c r="B80" s="13" t="s">
        <v>575</v>
      </c>
      <c r="C80" s="13" t="s">
        <v>155</v>
      </c>
      <c r="D80" s="13" t="s">
        <v>1666</v>
      </c>
      <c r="E80" s="13"/>
      <c r="F80" s="13" t="s">
        <v>229</v>
      </c>
      <c r="G80" s="13"/>
      <c r="H80" s="13" t="s">
        <v>1628</v>
      </c>
      <c r="I80" s="13" t="s">
        <v>502</v>
      </c>
      <c r="J80" s="13"/>
    </row>
    <row r="81" spans="1:10" ht="63.75">
      <c r="A81" s="13" t="s">
        <v>1667</v>
      </c>
      <c r="B81" s="13" t="s">
        <v>575</v>
      </c>
      <c r="C81" s="13" t="s">
        <v>556</v>
      </c>
      <c r="D81" s="13" t="s">
        <v>1668</v>
      </c>
      <c r="E81" s="13"/>
      <c r="F81" s="13" t="s">
        <v>229</v>
      </c>
      <c r="G81" s="13"/>
      <c r="H81" s="13" t="s">
        <v>1614</v>
      </c>
      <c r="I81" s="13" t="s">
        <v>502</v>
      </c>
      <c r="J81" s="13"/>
    </row>
    <row r="82" spans="1:10">
      <c r="A82" s="13"/>
      <c r="B82" s="13"/>
      <c r="C82" s="13"/>
      <c r="D82" s="13"/>
      <c r="E82" s="13"/>
      <c r="F82" s="13"/>
      <c r="G82" s="13"/>
      <c r="H82" s="13"/>
      <c r="I82" s="13"/>
      <c r="J82" s="13"/>
    </row>
    <row r="83" spans="1:10">
      <c r="A83" s="575" t="s">
        <v>1079</v>
      </c>
      <c r="B83" s="896"/>
      <c r="C83" s="896"/>
      <c r="D83" s="896"/>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1571</v>
      </c>
      <c r="B85" s="128">
        <v>0.5</v>
      </c>
      <c r="C85" s="128">
        <v>0.5</v>
      </c>
      <c r="D85" s="128">
        <v>0.5</v>
      </c>
      <c r="E85" s="128">
        <v>0.5</v>
      </c>
      <c r="F85" s="128">
        <v>0.5</v>
      </c>
      <c r="G85" s="13" t="s">
        <v>677</v>
      </c>
      <c r="H85" s="128">
        <v>0.5</v>
      </c>
      <c r="I85" s="13" t="s">
        <v>1201</v>
      </c>
      <c r="J85" s="13" t="s">
        <v>1669</v>
      </c>
    </row>
    <row r="86" spans="1:10" ht="25.5">
      <c r="A86" s="13" t="s">
        <v>691</v>
      </c>
      <c r="B86" s="128">
        <v>0.5</v>
      </c>
      <c r="C86" s="128">
        <v>0.5</v>
      </c>
      <c r="D86" s="128">
        <v>0.5</v>
      </c>
      <c r="E86" s="128">
        <v>0.5</v>
      </c>
      <c r="F86" s="128">
        <v>0.5</v>
      </c>
      <c r="G86" s="13" t="s">
        <v>677</v>
      </c>
      <c r="H86" s="128">
        <v>0.5</v>
      </c>
      <c r="I86" s="13" t="s">
        <v>1201</v>
      </c>
      <c r="J86" s="13" t="s">
        <v>1670</v>
      </c>
    </row>
    <row r="87" spans="1:10" ht="25.5">
      <c r="A87" s="13" t="s">
        <v>692</v>
      </c>
      <c r="B87" s="128">
        <v>0.5</v>
      </c>
      <c r="C87" s="128">
        <v>0.5</v>
      </c>
      <c r="D87" s="128">
        <v>0.5</v>
      </c>
      <c r="E87" s="128">
        <v>0.5</v>
      </c>
      <c r="F87" s="128">
        <v>0.5</v>
      </c>
      <c r="G87" s="13" t="s">
        <v>677</v>
      </c>
      <c r="H87" s="128">
        <v>0.5</v>
      </c>
      <c r="I87" s="13" t="s">
        <v>1201</v>
      </c>
      <c r="J87" s="13" t="s">
        <v>1671</v>
      </c>
    </row>
    <row r="88" spans="1:10">
      <c r="A88" s="13"/>
      <c r="B88" s="13"/>
      <c r="C88" s="13"/>
      <c r="D88" s="13"/>
      <c r="E88" s="13"/>
      <c r="F88" s="13"/>
      <c r="G88" s="13"/>
      <c r="H88" s="13"/>
      <c r="I88" s="13"/>
      <c r="J88" s="13"/>
    </row>
    <row r="89" spans="1:10">
      <c r="A89" s="575" t="s">
        <v>1085</v>
      </c>
      <c r="B89" s="896"/>
      <c r="C89" s="896"/>
      <c r="D89" s="896"/>
      <c r="E89" s="85"/>
      <c r="F89" s="85"/>
      <c r="G89" s="85"/>
      <c r="H89" s="85"/>
      <c r="I89" s="85"/>
      <c r="J89" s="85"/>
    </row>
    <row r="90" spans="1:10" ht="38.25">
      <c r="A90" s="50" t="s">
        <v>905</v>
      </c>
      <c r="B90" s="50" t="s">
        <v>782</v>
      </c>
      <c r="C90" s="50"/>
      <c r="D90" s="50"/>
      <c r="E90" s="50"/>
      <c r="F90" s="50"/>
      <c r="G90" s="50"/>
      <c r="H90" s="50"/>
      <c r="I90" s="50"/>
      <c r="J90" s="50"/>
    </row>
    <row r="91" spans="1:10">
      <c r="A91" s="13" t="s">
        <v>1086</v>
      </c>
      <c r="B91" s="594" t="s">
        <v>1672</v>
      </c>
      <c r="C91" s="896"/>
      <c r="D91" s="896"/>
      <c r="E91" s="896"/>
      <c r="F91" s="896"/>
      <c r="G91" s="896"/>
      <c r="H91" s="896"/>
      <c r="I91" s="896"/>
      <c r="J91" s="896"/>
    </row>
    <row r="92" spans="1:10">
      <c r="A92" s="13" t="s">
        <v>1088</v>
      </c>
      <c r="B92" s="594" t="s">
        <v>1673</v>
      </c>
      <c r="C92" s="896"/>
      <c r="D92" s="896"/>
      <c r="E92" s="896"/>
      <c r="F92" s="896"/>
      <c r="G92" s="896"/>
      <c r="H92" s="896"/>
      <c r="I92" s="896"/>
      <c r="J92" s="896"/>
    </row>
    <row r="93" spans="1:10">
      <c r="A93" s="13" t="s">
        <v>1090</v>
      </c>
      <c r="B93" s="594" t="s">
        <v>1674</v>
      </c>
      <c r="C93" s="896"/>
      <c r="D93" s="896"/>
      <c r="E93" s="896"/>
      <c r="F93" s="896"/>
      <c r="G93" s="896"/>
      <c r="H93" s="896"/>
      <c r="I93" s="896"/>
      <c r="J93" s="896"/>
    </row>
    <row r="94" spans="1:10">
      <c r="A94" s="13" t="s">
        <v>1089</v>
      </c>
      <c r="B94" s="594" t="s">
        <v>1675</v>
      </c>
      <c r="C94" s="896"/>
      <c r="D94" s="896"/>
      <c r="E94" s="896"/>
      <c r="F94" s="896"/>
      <c r="G94" s="896"/>
      <c r="H94" s="896"/>
      <c r="I94" s="896"/>
      <c r="J94" s="896"/>
    </row>
    <row r="95" spans="1:10" ht="25.5">
      <c r="A95" s="13" t="s">
        <v>1676</v>
      </c>
      <c r="B95" s="594" t="s">
        <v>1677</v>
      </c>
      <c r="C95" s="896"/>
      <c r="D95" s="896"/>
      <c r="E95" s="896"/>
      <c r="F95" s="896"/>
      <c r="G95" s="896"/>
      <c r="H95" s="896"/>
      <c r="I95" s="896"/>
      <c r="J95" s="896"/>
    </row>
    <row r="96" spans="1:10">
      <c r="A96" s="13" t="s">
        <v>1563</v>
      </c>
      <c r="B96" s="594" t="s">
        <v>1678</v>
      </c>
      <c r="C96" s="896"/>
      <c r="D96" s="896"/>
      <c r="E96" s="896"/>
      <c r="F96" s="896"/>
      <c r="G96" s="896"/>
      <c r="H96" s="896"/>
      <c r="I96" s="896"/>
      <c r="J96"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5">
        <v>0</v>
      </c>
      <c r="D101" s="327">
        <v>0</v>
      </c>
      <c r="E101" s="310" t="s">
        <v>5675</v>
      </c>
      <c r="F101" s="327">
        <f>IF(AND(C101&lt;&gt;"",D101&lt;&gt;""),D101-C101,"")</f>
        <v>0</v>
      </c>
      <c r="G101" s="610"/>
      <c r="H101" s="610"/>
      <c r="I101" s="610"/>
      <c r="J101" s="611"/>
    </row>
    <row r="102" spans="1:10">
      <c r="A102" s="323" t="s">
        <v>5615</v>
      </c>
      <c r="B102" s="333" t="s">
        <v>484</v>
      </c>
      <c r="C102" s="325">
        <v>0</v>
      </c>
      <c r="D102" s="327">
        <v>0</v>
      </c>
      <c r="E102" s="310" t="s">
        <v>5675</v>
      </c>
      <c r="F102" s="325">
        <f>IF(AND(C102&lt;&gt;"",D102&lt;&gt;""),D102-C102,"")</f>
        <v>0</v>
      </c>
      <c r="G102" s="328"/>
      <c r="H102" s="227"/>
      <c r="I102" s="227"/>
      <c r="J102" s="329"/>
    </row>
    <row r="103" spans="1:10">
      <c r="A103" s="326" t="s">
        <v>5616</v>
      </c>
      <c r="B103" s="333" t="s">
        <v>484</v>
      </c>
      <c r="C103" s="325">
        <v>0</v>
      </c>
      <c r="D103" s="327">
        <v>0</v>
      </c>
      <c r="E103" s="310" t="s">
        <v>5675</v>
      </c>
      <c r="F103" s="327">
        <f>IF(AND(C103&lt;&gt;"",D103&lt;&gt;""),D103-C103,"")</f>
        <v>0</v>
      </c>
      <c r="G103" s="610"/>
      <c r="H103" s="610"/>
      <c r="I103" s="610"/>
      <c r="J103" s="611"/>
    </row>
    <row r="104" spans="1:10">
      <c r="A104" s="323" t="s">
        <v>5168</v>
      </c>
      <c r="B104" s="333" t="s">
        <v>484</v>
      </c>
      <c r="C104" s="325">
        <v>0</v>
      </c>
      <c r="D104" s="327">
        <v>0</v>
      </c>
      <c r="E104" s="310" t="s">
        <v>5675</v>
      </c>
      <c r="F104" s="325">
        <f>IF(AND(C104&lt;&gt;"",D104&lt;&gt;""),D104-C104,"")</f>
        <v>0</v>
      </c>
      <c r="G104" s="328"/>
      <c r="H104" s="227"/>
      <c r="I104" s="227"/>
      <c r="J104" s="329"/>
    </row>
    <row r="105" spans="1:10" ht="15.75">
      <c r="A105" s="585" t="s">
        <v>5636</v>
      </c>
      <c r="B105" s="586"/>
      <c r="C105" s="330">
        <f>IFERROR(AVERAGE(C100:C104),"")</f>
        <v>0</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s>
  <conditionalFormatting sqref="B100:B104">
    <cfRule type="expression" dxfId="1168" priority="21">
      <formula>B100="Complete"</formula>
    </cfRule>
    <cfRule type="expression" dxfId="1167" priority="22">
      <formula>B100="In Progress"</formula>
    </cfRule>
    <cfRule type="expression" dxfId="1166" priority="23">
      <formula>B100="At Risk"</formula>
    </cfRule>
    <cfRule type="expression" dxfId="1165" priority="24">
      <formula>B100="Blocked"</formula>
    </cfRule>
    <cfRule type="expression" dxfId="1164" priority="25">
      <formula>B100="Not Started"</formula>
    </cfRule>
  </conditionalFormatting>
  <conditionalFormatting sqref="B109:B116">
    <cfRule type="expression" dxfId="1163" priority="1">
      <formula>B109="Complete"</formula>
    </cfRule>
    <cfRule type="expression" dxfId="1162" priority="2">
      <formula>B109="In Progress"</formula>
    </cfRule>
    <cfRule type="expression" dxfId="1161" priority="3">
      <formula>B109="At Risk"</formula>
    </cfRule>
    <cfRule type="expression" dxfId="1160" priority="4">
      <formula>B109="Blocked"</formula>
    </cfRule>
    <cfRule type="expression" dxfId="1159" priority="5">
      <formula>B109="Not Started"</formula>
    </cfRule>
  </conditionalFormatting>
  <conditionalFormatting sqref="B121:B125">
    <cfRule type="expression" dxfId="1158" priority="30">
      <formula>B121="Not Started"</formula>
    </cfRule>
    <cfRule type="expression" dxfId="1157" priority="29">
      <formula>B121="Blocked"</formula>
    </cfRule>
    <cfRule type="expression" dxfId="1156" priority="28">
      <formula>B121="At Risk"</formula>
    </cfRule>
    <cfRule type="expression" dxfId="1155" priority="27">
      <formula>B121="In Progress"</formula>
    </cfRule>
    <cfRule type="expression" dxfId="1154" priority="26">
      <formula>B121="Complete"</formula>
    </cfRule>
  </conditionalFormatting>
  <conditionalFormatting sqref="B130:B133">
    <cfRule type="expression" dxfId="1153" priority="6">
      <formula>B130="Complete"</formula>
    </cfRule>
    <cfRule type="expression" dxfId="1152" priority="7">
      <formula>B130="In Progress"</formula>
    </cfRule>
    <cfRule type="expression" dxfId="1151" priority="8">
      <formula>B130="At Risk"</formula>
    </cfRule>
    <cfRule type="expression" dxfId="1150" priority="9">
      <formula>B130="Blocked"</formula>
    </cfRule>
    <cfRule type="expression" dxfId="1149" priority="10">
      <formula>B130="Not Started"</formula>
    </cfRule>
  </conditionalFormatting>
  <conditionalFormatting sqref="B138:B143">
    <cfRule type="expression" dxfId="1148" priority="11">
      <formula>B138="Complete"</formula>
    </cfRule>
    <cfRule type="expression" dxfId="1147" priority="12">
      <formula>B138="In Progress"</formula>
    </cfRule>
    <cfRule type="expression" dxfId="1146" priority="13">
      <formula>B138="At Risk"</formula>
    </cfRule>
    <cfRule type="expression" dxfId="1145" priority="14">
      <formula>B138="Blocked"</formula>
    </cfRule>
    <cfRule type="expression" dxfId="1144" priority="15">
      <formula>B138="Not Started"</formula>
    </cfRule>
  </conditionalFormatting>
  <conditionalFormatting sqref="B161:B168">
    <cfRule type="expression" dxfId="1143" priority="82">
      <formula>B161="Yes"</formula>
    </cfRule>
    <cfRule type="expression" dxfId="1142" priority="83">
      <formula>B161="N/A"</formula>
    </cfRule>
    <cfRule type="expression" dxfId="1141" priority="84">
      <formula>B161="No"</formula>
    </cfRule>
  </conditionalFormatting>
  <conditionalFormatting sqref="B178:H178">
    <cfRule type="expression" dxfId="1140" priority="86">
      <formula>COUNTIF($B$6:$B$13,"No")&gt;0</formula>
    </cfRule>
    <cfRule type="expression" dxfId="113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138" priority="32">
      <formula>C109="No"</formula>
    </cfRule>
    <cfRule type="expression" dxfId="1137" priority="31">
      <formula>C109="Yes"</formula>
    </cfRule>
    <cfRule type="expression" dxfId="113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35" priority="17">
      <formula>C138="No"</formula>
    </cfRule>
    <cfRule type="expression" dxfId="1134" priority="16">
      <formula>C138="Yes"</formula>
    </cfRule>
    <cfRule type="expression" dxfId="113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32" priority="87">
      <formula>E5="Pass"</formula>
    </cfRule>
    <cfRule type="expression" dxfId="1131" priority="88">
      <formula>E5="Verify"</formula>
    </cfRule>
    <cfRule type="expression" dxfId="1130" priority="89">
      <formula>E5="Fail"</formula>
    </cfRule>
    <cfRule type="expression" dxfId="1129" priority="90">
      <formula>E5="Not Started"</formula>
    </cfRule>
  </conditionalFormatting>
  <conditionalFormatting sqref="F3">
    <cfRule type="expression" dxfId="1128" priority="91">
      <formula>F3="Yes"</formula>
    </cfRule>
    <cfRule type="expression" dxfId="1127" priority="92">
      <formula>F3="No"</formula>
    </cfRule>
  </conditionalFormatting>
  <conditionalFormatting sqref="F121:F125">
    <cfRule type="expression" dxfId="1126" priority="35">
      <formula>F121="Fail"</formula>
    </cfRule>
    <cfRule type="expression" dxfId="1125" priority="36">
      <formula>F121="Pending"</formula>
    </cfRule>
    <cfRule type="expression" dxfId="112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Lookup_Lists!$L$37:$L$39</xm:f>
          </x14:formula1>
          <xm:sqref>C121:E125 J2</xm:sqref>
        </x14:dataValidation>
        <x14:dataValidation type="list" allowBlank="1" showInputMessage="1" showErrorMessage="1" xr:uid="{B96028B6-F2E8-4AB1-AC67-3A2427339341}">
          <x14:formula1>
            <xm:f>Lookup_Lists!$A$36:$A$42</xm:f>
          </x14:formula1>
          <xm:sqref>B100:B104 B109:B116 B138:B143</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1679</v>
      </c>
      <c r="B1" s="896"/>
      <c r="C1" s="896"/>
      <c r="D1" s="896"/>
      <c r="E1" s="896"/>
      <c r="F1" s="896"/>
      <c r="G1" s="896"/>
      <c r="H1" s="896"/>
      <c r="I1" s="896"/>
      <c r="J1" s="896"/>
    </row>
    <row r="2" spans="1:10" s="223" customFormat="1">
      <c r="A2" s="219" t="s">
        <v>142</v>
      </c>
      <c r="B2" s="220" t="s">
        <v>1680</v>
      </c>
      <c r="C2" s="219" t="s">
        <v>902</v>
      </c>
      <c r="D2" s="220" t="s">
        <v>1094</v>
      </c>
      <c r="E2" s="219" t="s">
        <v>151</v>
      </c>
      <c r="F2" s="220" t="s">
        <v>1095</v>
      </c>
      <c r="G2" s="219" t="s">
        <v>174</v>
      </c>
      <c r="H2" s="221">
        <v>0.5</v>
      </c>
      <c r="I2" s="219" t="s">
        <v>154</v>
      </c>
      <c r="J2" s="222" t="s">
        <v>1096</v>
      </c>
    </row>
    <row r="3" spans="1:10" s="227" customFormat="1" ht="25.5">
      <c r="A3" s="219" t="s">
        <v>903</v>
      </c>
      <c r="B3" s="224">
        <v>46198.588005347221</v>
      </c>
      <c r="C3" s="225" t="s">
        <v>904</v>
      </c>
      <c r="D3" s="226" t="s">
        <v>721</v>
      </c>
      <c r="E3" s="219" t="s">
        <v>905</v>
      </c>
      <c r="F3" s="226" t="s">
        <v>1681</v>
      </c>
      <c r="G3" s="219" t="s">
        <v>907</v>
      </c>
      <c r="H3" s="226" t="s">
        <v>908</v>
      </c>
      <c r="I3" s="219" t="s">
        <v>551</v>
      </c>
      <c r="J3" s="226" t="s">
        <v>1682</v>
      </c>
    </row>
    <row r="4" spans="1:10" s="227" customFormat="1" ht="114.75">
      <c r="A4" s="219" t="s">
        <v>161</v>
      </c>
      <c r="B4" s="226">
        <v>0</v>
      </c>
      <c r="C4" s="219" t="s">
        <v>199</v>
      </c>
      <c r="D4" s="226">
        <v>0</v>
      </c>
      <c r="E4" s="219" t="s">
        <v>179</v>
      </c>
      <c r="F4" s="226">
        <v>0</v>
      </c>
      <c r="G4" s="219" t="s">
        <v>870</v>
      </c>
      <c r="H4" s="228" t="s">
        <v>1683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604" t="s">
        <v>1684</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1680</v>
      </c>
      <c r="B10" s="13" t="s">
        <v>1685</v>
      </c>
      <c r="C10" s="13" t="s">
        <v>923</v>
      </c>
      <c r="D10" s="13" t="s">
        <v>1686</v>
      </c>
      <c r="E10" s="13" t="s">
        <v>356</v>
      </c>
      <c r="F10" s="13">
        <v>1</v>
      </c>
      <c r="G10" s="13">
        <v>1</v>
      </c>
      <c r="H10" s="13" t="s">
        <v>677</v>
      </c>
      <c r="I10" s="13" t="s">
        <v>1687</v>
      </c>
      <c r="J10" s="13" t="s">
        <v>1688</v>
      </c>
    </row>
    <row r="11" spans="1:10" ht="76.5">
      <c r="A11" s="13" t="s">
        <v>1680</v>
      </c>
      <c r="B11" s="13" t="s">
        <v>404</v>
      </c>
      <c r="C11" s="13" t="s">
        <v>933</v>
      </c>
      <c r="D11" s="13" t="s">
        <v>1689</v>
      </c>
      <c r="E11" s="13" t="s">
        <v>356</v>
      </c>
      <c r="F11" s="13">
        <v>1</v>
      </c>
      <c r="G11" s="13">
        <v>1</v>
      </c>
      <c r="H11" s="13" t="s">
        <v>677</v>
      </c>
      <c r="I11" s="13" t="s">
        <v>1690</v>
      </c>
      <c r="J11" s="13" t="s">
        <v>1691</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1685</v>
      </c>
      <c r="B15" s="13" t="s">
        <v>677</v>
      </c>
      <c r="C15" s="13" t="s">
        <v>677</v>
      </c>
      <c r="D15" s="13" t="s">
        <v>677</v>
      </c>
      <c r="E15" s="13" t="s">
        <v>677</v>
      </c>
      <c r="F15" s="13" t="s">
        <v>677</v>
      </c>
      <c r="G15" s="13" t="s">
        <v>677</v>
      </c>
      <c r="H15" s="13" t="s">
        <v>677</v>
      </c>
      <c r="I15" s="13" t="s">
        <v>677</v>
      </c>
      <c r="J15" s="13" t="s">
        <v>1692</v>
      </c>
    </row>
    <row r="16" spans="1:10" ht="63.75">
      <c r="A16" s="13" t="s">
        <v>404</v>
      </c>
      <c r="B16" s="13" t="s">
        <v>677</v>
      </c>
      <c r="C16" s="13" t="s">
        <v>677</v>
      </c>
      <c r="D16" s="13" t="s">
        <v>677</v>
      </c>
      <c r="E16" s="13" t="s">
        <v>677</v>
      </c>
      <c r="F16" s="13" t="s">
        <v>677</v>
      </c>
      <c r="G16" s="13" t="s">
        <v>677</v>
      </c>
      <c r="H16" s="13" t="s">
        <v>677</v>
      </c>
      <c r="I16" s="13" t="s">
        <v>677</v>
      </c>
      <c r="J16" s="13" t="s">
        <v>1693</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1685</v>
      </c>
      <c r="B20" s="13" t="s">
        <v>677</v>
      </c>
      <c r="C20" s="13" t="s">
        <v>677</v>
      </c>
      <c r="D20" s="13" t="s">
        <v>677</v>
      </c>
      <c r="E20" s="13" t="s">
        <v>677</v>
      </c>
      <c r="F20" s="13" t="s">
        <v>677</v>
      </c>
      <c r="G20" s="13" t="s">
        <v>677</v>
      </c>
      <c r="H20" s="13" t="s">
        <v>677</v>
      </c>
      <c r="I20" s="13" t="s">
        <v>677</v>
      </c>
      <c r="J20" s="13" t="s">
        <v>1694</v>
      </c>
    </row>
    <row r="21" spans="1:10" ht="51">
      <c r="A21" s="13" t="s">
        <v>404</v>
      </c>
      <c r="B21" s="13" t="s">
        <v>677</v>
      </c>
      <c r="C21" s="13" t="s">
        <v>677</v>
      </c>
      <c r="D21" s="13" t="s">
        <v>677</v>
      </c>
      <c r="E21" s="13" t="s">
        <v>677</v>
      </c>
      <c r="F21" s="13" t="s">
        <v>677</v>
      </c>
      <c r="G21" s="13" t="s">
        <v>677</v>
      </c>
      <c r="H21" s="13" t="s">
        <v>677</v>
      </c>
      <c r="I21" s="13" t="s">
        <v>677</v>
      </c>
      <c r="J21" s="13" t="s">
        <v>1695</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1685</v>
      </c>
      <c r="B25" s="13" t="s">
        <v>1696</v>
      </c>
      <c r="C25" s="13" t="s">
        <v>677</v>
      </c>
      <c r="D25" s="13" t="s">
        <v>677</v>
      </c>
      <c r="E25" s="13" t="s">
        <v>677</v>
      </c>
      <c r="F25" s="13" t="s">
        <v>677</v>
      </c>
      <c r="G25" s="13" t="s">
        <v>677</v>
      </c>
      <c r="H25" s="13" t="s">
        <v>677</v>
      </c>
      <c r="I25" s="13" t="s">
        <v>677</v>
      </c>
      <c r="J25" s="13" t="s">
        <v>1697</v>
      </c>
    </row>
    <row r="26" spans="1:10" ht="63.75">
      <c r="A26" s="13" t="s">
        <v>404</v>
      </c>
      <c r="B26" s="13" t="s">
        <v>1589</v>
      </c>
      <c r="C26" s="13" t="s">
        <v>677</v>
      </c>
      <c r="D26" s="13" t="s">
        <v>677</v>
      </c>
      <c r="E26" s="13" t="s">
        <v>677</v>
      </c>
      <c r="F26" s="13" t="s">
        <v>677</v>
      </c>
      <c r="G26" s="13" t="s">
        <v>677</v>
      </c>
      <c r="H26" s="13" t="s">
        <v>677</v>
      </c>
      <c r="I26" s="13" t="s">
        <v>677</v>
      </c>
      <c r="J26" s="13" t="s">
        <v>1698</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3.75">
      <c r="A30" s="13" t="s">
        <v>1685</v>
      </c>
      <c r="B30" s="13" t="s">
        <v>677</v>
      </c>
      <c r="C30" s="13" t="s">
        <v>1592</v>
      </c>
      <c r="D30" s="13" t="s">
        <v>677</v>
      </c>
      <c r="E30" s="13" t="s">
        <v>677</v>
      </c>
      <c r="F30" s="13" t="s">
        <v>1699</v>
      </c>
      <c r="G30" s="13" t="s">
        <v>677</v>
      </c>
      <c r="H30" s="13" t="s">
        <v>677</v>
      </c>
      <c r="I30" s="13" t="s">
        <v>677</v>
      </c>
      <c r="J30" s="13" t="s">
        <v>1700</v>
      </c>
    </row>
    <row r="31" spans="1:10" ht="63.75">
      <c r="A31" s="13" t="s">
        <v>404</v>
      </c>
      <c r="B31" s="13" t="s">
        <v>677</v>
      </c>
      <c r="C31" s="13" t="s">
        <v>1592</v>
      </c>
      <c r="D31" s="13" t="s">
        <v>677</v>
      </c>
      <c r="E31" s="13" t="s">
        <v>677</v>
      </c>
      <c r="F31" s="13" t="s">
        <v>1701</v>
      </c>
      <c r="G31" s="13" t="s">
        <v>677</v>
      </c>
      <c r="H31" s="13" t="s">
        <v>677</v>
      </c>
      <c r="I31" s="13" t="s">
        <v>677</v>
      </c>
      <c r="J31" s="13" t="s">
        <v>1702</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63.75">
      <c r="A35" s="13" t="s">
        <v>1685</v>
      </c>
      <c r="B35" s="13" t="s">
        <v>677</v>
      </c>
      <c r="C35" s="13" t="s">
        <v>677</v>
      </c>
      <c r="D35" s="13" t="s">
        <v>677</v>
      </c>
      <c r="E35" s="13" t="s">
        <v>677</v>
      </c>
      <c r="F35" s="13" t="s">
        <v>677</v>
      </c>
      <c r="G35" s="13" t="s">
        <v>677</v>
      </c>
      <c r="H35" s="13" t="s">
        <v>677</v>
      </c>
      <c r="I35" s="13" t="s">
        <v>677</v>
      </c>
      <c r="J35" s="13" t="s">
        <v>1703</v>
      </c>
    </row>
    <row r="36" spans="1:10" ht="63.75">
      <c r="A36" s="13" t="s">
        <v>404</v>
      </c>
      <c r="B36" s="13" t="s">
        <v>677</v>
      </c>
      <c r="C36" s="13" t="s">
        <v>677</v>
      </c>
      <c r="D36" s="13" t="s">
        <v>677</v>
      </c>
      <c r="E36" s="13" t="s">
        <v>677</v>
      </c>
      <c r="F36" s="13" t="s">
        <v>677</v>
      </c>
      <c r="G36" s="13" t="s">
        <v>677</v>
      </c>
      <c r="H36" s="13" t="s">
        <v>677</v>
      </c>
      <c r="I36" s="13" t="s">
        <v>677</v>
      </c>
      <c r="J36" s="13" t="s">
        <v>1704</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38.25">
      <c r="A40" s="13" t="s">
        <v>1685</v>
      </c>
      <c r="B40" s="13" t="s">
        <v>677</v>
      </c>
      <c r="C40" s="13" t="s">
        <v>677</v>
      </c>
      <c r="D40" s="13" t="s">
        <v>677</v>
      </c>
      <c r="E40" s="13" t="s">
        <v>677</v>
      </c>
      <c r="F40" s="13" t="s">
        <v>677</v>
      </c>
      <c r="G40" s="13" t="s">
        <v>677</v>
      </c>
      <c r="H40" s="13" t="s">
        <v>677</v>
      </c>
      <c r="I40" s="13" t="s">
        <v>677</v>
      </c>
      <c r="J40" s="13" t="s">
        <v>1705</v>
      </c>
    </row>
    <row r="41" spans="1:10" ht="63.75">
      <c r="A41" s="13" t="s">
        <v>404</v>
      </c>
      <c r="B41" s="13" t="s">
        <v>677</v>
      </c>
      <c r="C41" s="13" t="s">
        <v>677</v>
      </c>
      <c r="D41" s="13" t="s">
        <v>677</v>
      </c>
      <c r="E41" s="13" t="s">
        <v>677</v>
      </c>
      <c r="F41" s="13" t="s">
        <v>677</v>
      </c>
      <c r="G41" s="13" t="s">
        <v>677</v>
      </c>
      <c r="H41" s="13" t="s">
        <v>677</v>
      </c>
      <c r="I41" s="13" t="s">
        <v>677</v>
      </c>
      <c r="J41" s="13" t="s">
        <v>1706</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1707</v>
      </c>
      <c r="B45" s="13" t="s">
        <v>575</v>
      </c>
      <c r="C45" s="13" t="s">
        <v>1708</v>
      </c>
      <c r="D45" s="13" t="s">
        <v>391</v>
      </c>
      <c r="E45" s="13" t="s">
        <v>488</v>
      </c>
      <c r="F45" s="13">
        <v>6</v>
      </c>
      <c r="G45" s="13" t="s">
        <v>1381</v>
      </c>
      <c r="H45" s="13" t="s">
        <v>1023</v>
      </c>
      <c r="I45" s="13" t="s">
        <v>502</v>
      </c>
      <c r="J45" s="13" t="s">
        <v>1709</v>
      </c>
    </row>
    <row r="46" spans="1:10" ht="63.75">
      <c r="A46" s="13" t="s">
        <v>1710</v>
      </c>
      <c r="B46" s="13" t="s">
        <v>1685</v>
      </c>
      <c r="C46" s="13" t="s">
        <v>1711</v>
      </c>
      <c r="D46" s="13" t="s">
        <v>391</v>
      </c>
      <c r="E46" s="13" t="s">
        <v>488</v>
      </c>
      <c r="F46" s="13">
        <v>6</v>
      </c>
      <c r="G46" s="13" t="s">
        <v>1712</v>
      </c>
      <c r="H46" s="13" t="s">
        <v>1713</v>
      </c>
      <c r="I46" s="13" t="s">
        <v>502</v>
      </c>
      <c r="J46" s="13" t="s">
        <v>1714</v>
      </c>
    </row>
    <row r="47" spans="1:10" ht="76.5">
      <c r="A47" s="13" t="s">
        <v>1715</v>
      </c>
      <c r="B47" s="13" t="s">
        <v>404</v>
      </c>
      <c r="C47" s="13" t="s">
        <v>1716</v>
      </c>
      <c r="D47" s="13" t="s">
        <v>391</v>
      </c>
      <c r="E47" s="13" t="s">
        <v>488</v>
      </c>
      <c r="F47" s="13">
        <v>6</v>
      </c>
      <c r="G47" s="13" t="s">
        <v>1717</v>
      </c>
      <c r="H47" s="13" t="s">
        <v>1617</v>
      </c>
      <c r="I47" s="13" t="s">
        <v>502</v>
      </c>
      <c r="J47" s="13" t="s">
        <v>1718</v>
      </c>
    </row>
    <row r="48" spans="1:10" ht="89.25">
      <c r="A48" s="13" t="s">
        <v>1719</v>
      </c>
      <c r="B48" s="13" t="s">
        <v>1720</v>
      </c>
      <c r="C48" s="13" t="s">
        <v>1721</v>
      </c>
      <c r="D48" s="13" t="s">
        <v>492</v>
      </c>
      <c r="E48" s="13" t="s">
        <v>488</v>
      </c>
      <c r="F48" s="13">
        <v>8</v>
      </c>
      <c r="G48" s="13" t="s">
        <v>1722</v>
      </c>
      <c r="H48" s="13" t="s">
        <v>592</v>
      </c>
      <c r="I48" s="13" t="s">
        <v>502</v>
      </c>
      <c r="J48" s="13" t="s">
        <v>1723</v>
      </c>
    </row>
    <row r="49" spans="1:10" ht="76.5">
      <c r="A49" s="13" t="s">
        <v>1724</v>
      </c>
      <c r="B49" s="13" t="s">
        <v>575</v>
      </c>
      <c r="C49" s="13" t="s">
        <v>1725</v>
      </c>
      <c r="D49" s="13" t="s">
        <v>391</v>
      </c>
      <c r="E49" s="13" t="s">
        <v>488</v>
      </c>
      <c r="F49" s="13">
        <v>6</v>
      </c>
      <c r="G49" s="13" t="s">
        <v>1726</v>
      </c>
      <c r="H49" s="13" t="s">
        <v>1032</v>
      </c>
      <c r="I49" s="13" t="s">
        <v>502</v>
      </c>
      <c r="J49" s="13" t="s">
        <v>1727</v>
      </c>
    </row>
    <row r="50" spans="1:10" ht="63.75">
      <c r="A50" s="13" t="s">
        <v>1728</v>
      </c>
      <c r="B50" s="13" t="s">
        <v>575</v>
      </c>
      <c r="C50" s="13" t="s">
        <v>1729</v>
      </c>
      <c r="D50" s="13" t="s">
        <v>492</v>
      </c>
      <c r="E50" s="13" t="s">
        <v>488</v>
      </c>
      <c r="F50" s="13">
        <v>8</v>
      </c>
      <c r="G50" s="13" t="s">
        <v>1730</v>
      </c>
      <c r="H50" s="13" t="s">
        <v>584</v>
      </c>
      <c r="I50" s="13" t="s">
        <v>502</v>
      </c>
      <c r="J50" s="13" t="s">
        <v>1731</v>
      </c>
    </row>
    <row r="51" spans="1:10" ht="76.5">
      <c r="A51" s="13" t="s">
        <v>1732</v>
      </c>
      <c r="B51" s="13" t="s">
        <v>575</v>
      </c>
      <c r="C51" s="13" t="s">
        <v>1733</v>
      </c>
      <c r="D51" s="13" t="s">
        <v>492</v>
      </c>
      <c r="E51" s="13" t="s">
        <v>488</v>
      </c>
      <c r="F51" s="13">
        <v>8</v>
      </c>
      <c r="G51" s="13" t="s">
        <v>1734</v>
      </c>
      <c r="H51" s="13" t="s">
        <v>1403</v>
      </c>
      <c r="I51" s="13" t="s">
        <v>502</v>
      </c>
      <c r="J51" s="13" t="s">
        <v>1627</v>
      </c>
    </row>
    <row r="52" spans="1:10" ht="51">
      <c r="A52" s="13" t="s">
        <v>1735</v>
      </c>
      <c r="B52" s="13" t="s">
        <v>575</v>
      </c>
      <c r="C52" s="13" t="s">
        <v>1047</v>
      </c>
      <c r="D52" s="13" t="s">
        <v>391</v>
      </c>
      <c r="E52" s="13" t="s">
        <v>488</v>
      </c>
      <c r="F52" s="13">
        <v>6</v>
      </c>
      <c r="G52" s="13" t="s">
        <v>1736</v>
      </c>
      <c r="H52" s="13" t="s">
        <v>1049</v>
      </c>
      <c r="I52" s="13" t="s">
        <v>502</v>
      </c>
      <c r="J52" s="13" t="s">
        <v>1737</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51">
      <c r="A56" s="13" t="s">
        <v>1738</v>
      </c>
      <c r="B56" s="13" t="s">
        <v>1739</v>
      </c>
      <c r="C56" s="13" t="s">
        <v>579</v>
      </c>
      <c r="D56" s="13" t="s">
        <v>502</v>
      </c>
      <c r="E56" s="13"/>
      <c r="F56" s="13"/>
      <c r="G56" s="13" t="s">
        <v>580</v>
      </c>
      <c r="H56" s="13"/>
      <c r="I56" s="13"/>
      <c r="J56" s="13"/>
    </row>
    <row r="57" spans="1:10" ht="51">
      <c r="A57" s="13" t="s">
        <v>1740</v>
      </c>
      <c r="B57" s="13" t="s">
        <v>1741</v>
      </c>
      <c r="C57" s="13" t="s">
        <v>1742</v>
      </c>
      <c r="D57" s="13" t="s">
        <v>502</v>
      </c>
      <c r="E57" s="13"/>
      <c r="F57" s="13"/>
      <c r="G57" s="13" t="s">
        <v>1743</v>
      </c>
      <c r="H57" s="13"/>
      <c r="I57" s="13"/>
      <c r="J57" s="13"/>
    </row>
    <row r="58" spans="1:10" ht="51">
      <c r="A58" s="13" t="s">
        <v>1744</v>
      </c>
      <c r="B58" s="13" t="s">
        <v>1745</v>
      </c>
      <c r="C58" s="13" t="s">
        <v>601</v>
      </c>
      <c r="D58" s="13" t="s">
        <v>502</v>
      </c>
      <c r="E58" s="13"/>
      <c r="F58" s="13"/>
      <c r="G58" s="13" t="s">
        <v>1415</v>
      </c>
      <c r="H58" s="13"/>
      <c r="I58" s="13"/>
      <c r="J58" s="13"/>
    </row>
    <row r="59" spans="1:10" ht="76.5">
      <c r="A59" s="13" t="s">
        <v>1746</v>
      </c>
      <c r="B59" s="13" t="s">
        <v>1417</v>
      </c>
      <c r="C59" s="13" t="s">
        <v>609</v>
      </c>
      <c r="D59" s="13" t="s">
        <v>502</v>
      </c>
      <c r="E59" s="13"/>
      <c r="F59" s="13"/>
      <c r="G59" s="13" t="s">
        <v>1418</v>
      </c>
      <c r="H59" s="13"/>
      <c r="I59" s="13"/>
      <c r="J59" s="13"/>
    </row>
    <row r="60" spans="1:10" ht="63.75">
      <c r="A60" s="13" t="s">
        <v>1747</v>
      </c>
      <c r="B60" s="13" t="s">
        <v>1748</v>
      </c>
      <c r="C60" s="13" t="s">
        <v>587</v>
      </c>
      <c r="D60" s="13" t="s">
        <v>502</v>
      </c>
      <c r="E60" s="13"/>
      <c r="F60" s="13"/>
      <c r="G60" s="13" t="s">
        <v>1421</v>
      </c>
      <c r="H60" s="13"/>
      <c r="I60" s="13"/>
      <c r="J60" s="13"/>
    </row>
    <row r="61" spans="1:10" ht="76.5">
      <c r="A61" s="13" t="s">
        <v>1749</v>
      </c>
      <c r="B61" s="13" t="s">
        <v>1750</v>
      </c>
      <c r="C61" s="13" t="s">
        <v>616</v>
      </c>
      <c r="D61" s="13" t="s">
        <v>502</v>
      </c>
      <c r="E61" s="13"/>
      <c r="F61" s="13"/>
      <c r="G61" s="13" t="s">
        <v>617</v>
      </c>
      <c r="H61" s="13"/>
      <c r="I61" s="13"/>
      <c r="J61" s="13"/>
    </row>
    <row r="62" spans="1:10" ht="76.5">
      <c r="A62" s="13" t="s">
        <v>1751</v>
      </c>
      <c r="B62" s="13" t="s">
        <v>1647</v>
      </c>
      <c r="C62" s="13" t="s">
        <v>622</v>
      </c>
      <c r="D62" s="13" t="s">
        <v>502</v>
      </c>
      <c r="E62" s="13"/>
      <c r="F62" s="13"/>
      <c r="G62" s="13" t="s">
        <v>623</v>
      </c>
      <c r="H62" s="13"/>
      <c r="I62" s="13"/>
      <c r="J62" s="13"/>
    </row>
    <row r="63" spans="1:10" ht="76.5">
      <c r="A63" s="13" t="s">
        <v>1752</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76.5">
      <c r="A67" s="13" t="s">
        <v>1754</v>
      </c>
      <c r="B67" s="13" t="s">
        <v>1685</v>
      </c>
      <c r="C67" s="13" t="s">
        <v>269</v>
      </c>
      <c r="D67" s="13" t="s">
        <v>1755</v>
      </c>
      <c r="E67" s="13"/>
      <c r="F67" s="13" t="s">
        <v>229</v>
      </c>
      <c r="G67" s="13"/>
      <c r="H67" s="13" t="s">
        <v>1756</v>
      </c>
      <c r="I67" s="13" t="s">
        <v>502</v>
      </c>
      <c r="J67" s="13"/>
    </row>
    <row r="68" spans="1:10" ht="76.5">
      <c r="A68" s="13" t="s">
        <v>1757</v>
      </c>
      <c r="B68" s="13" t="s">
        <v>404</v>
      </c>
      <c r="C68" s="13" t="s">
        <v>269</v>
      </c>
      <c r="D68" s="13" t="s">
        <v>1758</v>
      </c>
      <c r="E68" s="13"/>
      <c r="F68" s="13" t="s">
        <v>229</v>
      </c>
      <c r="G68" s="13"/>
      <c r="H68" s="13" t="s">
        <v>1759</v>
      </c>
      <c r="I68" s="13" t="s">
        <v>502</v>
      </c>
      <c r="J68" s="13"/>
    </row>
    <row r="69" spans="1:10" ht="63.75">
      <c r="A69" s="13" t="s">
        <v>1760</v>
      </c>
      <c r="B69" s="13" t="s">
        <v>575</v>
      </c>
      <c r="C69" s="13" t="s">
        <v>957</v>
      </c>
      <c r="D69" s="13" t="s">
        <v>1659</v>
      </c>
      <c r="E69" s="13"/>
      <c r="F69" s="13" t="s">
        <v>229</v>
      </c>
      <c r="G69" s="13"/>
      <c r="H69" s="13" t="s">
        <v>1732</v>
      </c>
      <c r="I69" s="13" t="s">
        <v>502</v>
      </c>
      <c r="J69" s="13"/>
    </row>
    <row r="70" spans="1:10" ht="89.25">
      <c r="A70" s="13" t="s">
        <v>1761</v>
      </c>
      <c r="B70" s="13" t="s">
        <v>1720</v>
      </c>
      <c r="C70" s="13" t="s">
        <v>148</v>
      </c>
      <c r="D70" s="13" t="s">
        <v>1762</v>
      </c>
      <c r="E70" s="13"/>
      <c r="F70" s="13" t="s">
        <v>229</v>
      </c>
      <c r="G70" s="13"/>
      <c r="H70" s="13" t="s">
        <v>1719</v>
      </c>
      <c r="I70" s="13" t="s">
        <v>502</v>
      </c>
      <c r="J70" s="13"/>
    </row>
    <row r="71" spans="1:10" ht="76.5">
      <c r="A71" s="13" t="s">
        <v>1763</v>
      </c>
      <c r="B71" s="13" t="s">
        <v>575</v>
      </c>
      <c r="C71" s="13" t="s">
        <v>153</v>
      </c>
      <c r="D71" s="13" t="s">
        <v>1764</v>
      </c>
      <c r="E71" s="13"/>
      <c r="F71" s="13" t="s">
        <v>229</v>
      </c>
      <c r="G71" s="13"/>
      <c r="H71" s="13" t="s">
        <v>1724</v>
      </c>
      <c r="I71" s="13" t="s">
        <v>502</v>
      </c>
      <c r="J71" s="13"/>
    </row>
    <row r="72" spans="1:10" ht="51">
      <c r="A72" s="13" t="s">
        <v>1765</v>
      </c>
      <c r="B72" s="13" t="s">
        <v>575</v>
      </c>
      <c r="C72" s="13" t="s">
        <v>155</v>
      </c>
      <c r="D72" s="13" t="s">
        <v>1766</v>
      </c>
      <c r="E72" s="13"/>
      <c r="F72" s="13" t="s">
        <v>229</v>
      </c>
      <c r="G72" s="13"/>
      <c r="H72" s="13" t="s">
        <v>1728</v>
      </c>
      <c r="I72" s="13" t="s">
        <v>502</v>
      </c>
      <c r="J72" s="13"/>
    </row>
    <row r="73" spans="1:10" ht="51">
      <c r="A73" s="13" t="s">
        <v>1767</v>
      </c>
      <c r="B73" s="13" t="s">
        <v>575</v>
      </c>
      <c r="C73" s="13" t="s">
        <v>556</v>
      </c>
      <c r="D73" s="13" t="s">
        <v>1768</v>
      </c>
      <c r="E73" s="13"/>
      <c r="F73" s="13" t="s">
        <v>229</v>
      </c>
      <c r="G73" s="13"/>
      <c r="H73" s="13" t="s">
        <v>1715</v>
      </c>
      <c r="I73" s="13" t="s">
        <v>502</v>
      </c>
      <c r="J73" s="13"/>
    </row>
    <row r="74" spans="1:10">
      <c r="A74" s="13"/>
      <c r="B74" s="13"/>
      <c r="C74" s="13"/>
      <c r="D74" s="13"/>
      <c r="E74" s="13"/>
      <c r="F74" s="13"/>
      <c r="G74" s="13"/>
      <c r="H74" s="13"/>
      <c r="I74" s="13"/>
      <c r="J74" s="13"/>
    </row>
    <row r="75" spans="1:10">
      <c r="A75" s="575" t="s">
        <v>1079</v>
      </c>
      <c r="B75" s="896"/>
      <c r="C75" s="896"/>
      <c r="D75" s="85"/>
      <c r="E75" s="85"/>
      <c r="F75" s="85"/>
      <c r="G75" s="85"/>
      <c r="H75" s="85"/>
      <c r="I75" s="85"/>
      <c r="J75" s="85"/>
    </row>
    <row r="76" spans="1:10">
      <c r="A76" s="50" t="s">
        <v>275</v>
      </c>
      <c r="B76" s="50" t="s">
        <v>895</v>
      </c>
      <c r="C76" s="50" t="s">
        <v>896</v>
      </c>
      <c r="D76" s="50" t="s">
        <v>148</v>
      </c>
      <c r="E76" s="50" t="s">
        <v>153</v>
      </c>
      <c r="F76" s="50" t="s">
        <v>155</v>
      </c>
      <c r="G76" s="50" t="s">
        <v>491</v>
      </c>
      <c r="H76" s="50" t="s">
        <v>897</v>
      </c>
      <c r="I76" s="50" t="s">
        <v>174</v>
      </c>
      <c r="J76" s="50" t="s">
        <v>11</v>
      </c>
    </row>
    <row r="77" spans="1:10">
      <c r="A77" s="13" t="s">
        <v>1685</v>
      </c>
      <c r="B77" s="128">
        <v>0.5</v>
      </c>
      <c r="C77" s="128">
        <v>0.5</v>
      </c>
      <c r="D77" s="128">
        <v>0.5</v>
      </c>
      <c r="E77" s="128">
        <v>0.5</v>
      </c>
      <c r="F77" s="128">
        <v>0.5</v>
      </c>
      <c r="G77" s="13" t="s">
        <v>677</v>
      </c>
      <c r="H77" s="128">
        <v>0.5</v>
      </c>
      <c r="I77" s="13" t="s">
        <v>1201</v>
      </c>
      <c r="J77" s="13" t="s">
        <v>1769</v>
      </c>
    </row>
    <row r="78" spans="1:10" ht="25.5">
      <c r="A78" s="13" t="s">
        <v>404</v>
      </c>
      <c r="B78" s="128">
        <v>0.5</v>
      </c>
      <c r="C78" s="128">
        <v>0.5</v>
      </c>
      <c r="D78" s="128">
        <v>0.5</v>
      </c>
      <c r="E78" s="128">
        <v>0.5</v>
      </c>
      <c r="F78" s="128">
        <v>0.5</v>
      </c>
      <c r="G78" s="13" t="s">
        <v>677</v>
      </c>
      <c r="H78" s="128">
        <v>0.5</v>
      </c>
      <c r="I78" s="13" t="s">
        <v>1201</v>
      </c>
      <c r="J78" s="13" t="s">
        <v>1770</v>
      </c>
    </row>
    <row r="79" spans="1:10">
      <c r="A79" s="13"/>
      <c r="B79" s="13"/>
      <c r="C79" s="13"/>
      <c r="D79" s="13"/>
      <c r="E79" s="13"/>
      <c r="F79" s="13"/>
      <c r="G79" s="13"/>
      <c r="H79" s="13"/>
      <c r="I79" s="13"/>
      <c r="J79" s="13"/>
    </row>
    <row r="80" spans="1:10">
      <c r="A80" s="575" t="s">
        <v>1085</v>
      </c>
      <c r="B80" s="896"/>
      <c r="C80" s="896"/>
      <c r="D80" s="85"/>
      <c r="E80" s="85"/>
      <c r="F80" s="85"/>
      <c r="G80" s="85"/>
      <c r="H80" s="85"/>
      <c r="I80" s="85"/>
      <c r="J80" s="85"/>
    </row>
    <row r="81" spans="1:10" ht="38.25">
      <c r="A81" s="50" t="s">
        <v>905</v>
      </c>
      <c r="B81" s="50" t="s">
        <v>785</v>
      </c>
      <c r="C81" s="50"/>
      <c r="D81" s="50"/>
      <c r="E81" s="50"/>
      <c r="F81" s="50"/>
      <c r="G81" s="50"/>
      <c r="H81" s="50"/>
      <c r="I81" s="50"/>
      <c r="J81" s="50"/>
    </row>
    <row r="82" spans="1:10">
      <c r="A82" s="13" t="s">
        <v>1086</v>
      </c>
      <c r="B82" s="594" t="s">
        <v>1771</v>
      </c>
      <c r="C82" s="896"/>
      <c r="D82" s="896"/>
      <c r="E82" s="896"/>
      <c r="F82" s="896"/>
      <c r="G82" s="896"/>
      <c r="H82" s="896"/>
      <c r="I82" s="896"/>
      <c r="J82" s="896"/>
    </row>
    <row r="83" spans="1:10">
      <c r="A83" s="13" t="s">
        <v>1088</v>
      </c>
      <c r="B83" s="594" t="s">
        <v>1772</v>
      </c>
      <c r="C83" s="896"/>
      <c r="D83" s="896"/>
      <c r="E83" s="896"/>
      <c r="F83" s="896"/>
      <c r="G83" s="896"/>
      <c r="H83" s="896"/>
      <c r="I83" s="896"/>
      <c r="J83" s="896"/>
    </row>
    <row r="84" spans="1:10" ht="25.5">
      <c r="A84" s="13" t="s">
        <v>1455</v>
      </c>
      <c r="B84" s="594" t="s">
        <v>1773</v>
      </c>
      <c r="C84" s="896"/>
      <c r="D84" s="896"/>
      <c r="E84" s="896"/>
      <c r="F84" s="896"/>
      <c r="G84" s="896"/>
      <c r="H84" s="896"/>
      <c r="I84" s="896"/>
      <c r="J84" s="896"/>
    </row>
    <row r="85" spans="1:10">
      <c r="A85" s="13" t="s">
        <v>1089</v>
      </c>
      <c r="B85" s="594" t="s">
        <v>1774</v>
      </c>
      <c r="C85" s="896"/>
      <c r="D85" s="896"/>
      <c r="E85" s="896"/>
      <c r="F85" s="896"/>
      <c r="G85" s="896"/>
      <c r="H85" s="896"/>
      <c r="I85" s="896"/>
      <c r="J85" s="896"/>
    </row>
    <row r="86" spans="1:10">
      <c r="A86" s="13" t="s">
        <v>1090</v>
      </c>
      <c r="B86" s="594" t="s">
        <v>1775</v>
      </c>
      <c r="C86" s="896"/>
      <c r="D86" s="896"/>
      <c r="E86" s="896"/>
      <c r="F86" s="896"/>
      <c r="G86" s="896"/>
      <c r="H86" s="896"/>
      <c r="I86" s="896"/>
      <c r="J86" s="896"/>
    </row>
    <row r="87" spans="1:10">
      <c r="A87" s="13" t="s">
        <v>1563</v>
      </c>
      <c r="B87" s="594" t="s">
        <v>1776</v>
      </c>
      <c r="C87" s="896"/>
      <c r="D87" s="896"/>
      <c r="E87" s="896"/>
      <c r="F87" s="896"/>
      <c r="G87" s="896"/>
      <c r="H87" s="896"/>
      <c r="I87" s="896"/>
      <c r="J87" s="896"/>
    </row>
    <row r="88" spans="1:10" ht="15.75" thickBot="1"/>
    <row r="89" spans="1:10">
      <c r="A89" s="605" t="s">
        <v>5668</v>
      </c>
      <c r="B89" s="602"/>
      <c r="C89" s="602"/>
      <c r="D89" s="606"/>
      <c r="E89" s="602"/>
      <c r="F89" s="602"/>
      <c r="G89" s="606"/>
      <c r="H89" s="606"/>
      <c r="I89" s="606"/>
      <c r="J89" s="607"/>
    </row>
    <row r="90" spans="1:10">
      <c r="A90" s="321" t="s">
        <v>5610</v>
      </c>
      <c r="B90" s="322" t="s">
        <v>77</v>
      </c>
      <c r="C90" s="322" t="s">
        <v>5611</v>
      </c>
      <c r="D90" s="322" t="s">
        <v>5612</v>
      </c>
      <c r="E90" s="322" t="s">
        <v>5634</v>
      </c>
      <c r="F90" s="322" t="s">
        <v>5601</v>
      </c>
      <c r="G90" s="578" t="s">
        <v>5635</v>
      </c>
      <c r="H90" s="578"/>
      <c r="I90" s="578"/>
      <c r="J90" s="579"/>
    </row>
    <row r="91" spans="1:10" ht="25.5">
      <c r="A91" s="323" t="s">
        <v>5613</v>
      </c>
      <c r="B91" s="333" t="s">
        <v>484</v>
      </c>
      <c r="C91" s="325">
        <v>0</v>
      </c>
      <c r="D91" s="325">
        <v>0</v>
      </c>
      <c r="E91" s="192" t="s">
        <v>5674</v>
      </c>
      <c r="F91" s="325">
        <f>IF(AND(C91&lt;&gt;"",D91&lt;&gt;""),D91-C91,"")</f>
        <v>0</v>
      </c>
      <c r="G91" s="608"/>
      <c r="H91" s="608"/>
      <c r="I91" s="608"/>
      <c r="J91" s="609"/>
    </row>
    <row r="92" spans="1:10" ht="25.5">
      <c r="A92" s="326" t="s">
        <v>5614</v>
      </c>
      <c r="B92" s="333" t="s">
        <v>484</v>
      </c>
      <c r="C92" s="327">
        <v>1</v>
      </c>
      <c r="D92" s="327">
        <v>0</v>
      </c>
      <c r="E92" s="310" t="s">
        <v>5675</v>
      </c>
      <c r="F92" s="327">
        <f>IF(AND(C92&lt;&gt;"",D92&lt;&gt;""),D92-C92,"")</f>
        <v>-1</v>
      </c>
      <c r="G92" s="610"/>
      <c r="H92" s="610"/>
      <c r="I92" s="610"/>
      <c r="J92" s="611"/>
    </row>
    <row r="93" spans="1:10">
      <c r="A93" s="323" t="s">
        <v>5615</v>
      </c>
      <c r="B93" s="333" t="s">
        <v>484</v>
      </c>
      <c r="C93" s="327">
        <v>1</v>
      </c>
      <c r="D93" s="327">
        <v>0</v>
      </c>
      <c r="E93" s="310" t="s">
        <v>5675</v>
      </c>
      <c r="F93" s="325">
        <f>IF(AND(C93&lt;&gt;"",D93&lt;&gt;""),D93-C93,"")</f>
        <v>-1</v>
      </c>
      <c r="G93" s="328"/>
      <c r="H93" s="227"/>
      <c r="I93" s="227"/>
      <c r="J93" s="329"/>
    </row>
    <row r="94" spans="1:10">
      <c r="A94" s="326" t="s">
        <v>5616</v>
      </c>
      <c r="B94" s="333" t="s">
        <v>484</v>
      </c>
      <c r="C94" s="327">
        <v>1</v>
      </c>
      <c r="D94" s="327">
        <v>0</v>
      </c>
      <c r="E94" s="310" t="s">
        <v>5675</v>
      </c>
      <c r="F94" s="327">
        <f>IF(AND(C94&lt;&gt;"",D94&lt;&gt;""),D94-C94,"")</f>
        <v>-1</v>
      </c>
      <c r="G94" s="610"/>
      <c r="H94" s="610"/>
      <c r="I94" s="610"/>
      <c r="J94" s="611"/>
    </row>
    <row r="95" spans="1:10">
      <c r="A95" s="323" t="s">
        <v>5168</v>
      </c>
      <c r="B95" s="333" t="s">
        <v>484</v>
      </c>
      <c r="C95" s="327">
        <v>1</v>
      </c>
      <c r="D95" s="327">
        <v>0</v>
      </c>
      <c r="E95" s="310" t="s">
        <v>5675</v>
      </c>
      <c r="F95" s="325">
        <f>IF(AND(C95&lt;&gt;"",D95&lt;&gt;""),D95-C95,"")</f>
        <v>-1</v>
      </c>
      <c r="G95" s="328"/>
      <c r="H95" s="227"/>
      <c r="I95" s="227"/>
      <c r="J95" s="329"/>
    </row>
    <row r="96" spans="1:10" ht="15.75">
      <c r="A96" s="585" t="s">
        <v>5636</v>
      </c>
      <c r="B96" s="586"/>
      <c r="C96" s="330">
        <f>IFERROR(AVERAGE(C91:C95),"")</f>
        <v>0.8</v>
      </c>
      <c r="D96" s="330">
        <f>IFERROR(AVERAGE(D91:D95),"")</f>
        <v>0</v>
      </c>
      <c r="E96" s="589" t="s">
        <v>5637</v>
      </c>
      <c r="F96" s="589"/>
      <c r="G96" s="589"/>
      <c r="H96" s="589"/>
      <c r="I96" s="589"/>
      <c r="J96" s="590"/>
    </row>
    <row r="97" spans="1:10">
      <c r="A97" s="331"/>
      <c r="B97" s="316"/>
      <c r="C97" s="316"/>
      <c r="D97" s="316"/>
      <c r="E97" s="316"/>
      <c r="F97" s="316"/>
      <c r="G97" s="316"/>
      <c r="H97" s="227"/>
      <c r="I97" s="227"/>
      <c r="J97" s="329"/>
    </row>
    <row r="98" spans="1:10">
      <c r="A98" s="574" t="s">
        <v>5669</v>
      </c>
      <c r="B98" s="582"/>
      <c r="C98" s="582"/>
      <c r="D98" s="575"/>
      <c r="E98" s="582"/>
      <c r="F98" s="582"/>
      <c r="G98" s="575"/>
      <c r="H98" s="575"/>
      <c r="I98" s="575"/>
      <c r="J98" s="576"/>
    </row>
    <row r="99" spans="1:10">
      <c r="A99" s="321" t="s">
        <v>4946</v>
      </c>
      <c r="B99" s="322" t="s">
        <v>77</v>
      </c>
      <c r="C99" s="322" t="s">
        <v>5676</v>
      </c>
      <c r="D99" s="322" t="s">
        <v>482</v>
      </c>
      <c r="E99" s="322" t="s">
        <v>572</v>
      </c>
      <c r="F99" s="322" t="s">
        <v>5639</v>
      </c>
      <c r="G99" s="578" t="s">
        <v>5640</v>
      </c>
      <c r="H99" s="578"/>
      <c r="I99" s="578"/>
      <c r="J99" s="579"/>
    </row>
    <row r="100" spans="1:10" ht="25.5">
      <c r="A100" s="326" t="s">
        <v>5602</v>
      </c>
      <c r="B100" s="333" t="s">
        <v>484</v>
      </c>
      <c r="C100" s="332" t="s">
        <v>679</v>
      </c>
      <c r="D100" s="324" t="s">
        <v>679</v>
      </c>
      <c r="E100" s="332">
        <f>IF(D100="Yes",1,0)</f>
        <v>0</v>
      </c>
      <c r="F100" s="580"/>
      <c r="G100" s="580"/>
      <c r="H100" s="580"/>
      <c r="I100" s="580"/>
      <c r="J100" s="581"/>
    </row>
    <row r="101" spans="1:10">
      <c r="A101" s="323" t="s">
        <v>995</v>
      </c>
      <c r="B101" s="333" t="s">
        <v>484</v>
      </c>
      <c r="C101" s="332" t="s">
        <v>679</v>
      </c>
      <c r="D101" s="324" t="s">
        <v>679</v>
      </c>
      <c r="E101" s="324">
        <f t="shared" ref="E101:E107" si="0">IF(D101="Yes",1,0)</f>
        <v>0</v>
      </c>
      <c r="F101" s="580"/>
      <c r="G101" s="580"/>
      <c r="H101" s="580"/>
      <c r="I101" s="580"/>
      <c r="J101" s="581"/>
    </row>
    <row r="102" spans="1:10">
      <c r="A102" s="326" t="s">
        <v>5603</v>
      </c>
      <c r="B102" s="333" t="s">
        <v>484</v>
      </c>
      <c r="C102" s="332" t="s">
        <v>679</v>
      </c>
      <c r="D102" s="324" t="s">
        <v>679</v>
      </c>
      <c r="E102" s="332">
        <f t="shared" si="0"/>
        <v>0</v>
      </c>
      <c r="F102" s="580"/>
      <c r="G102" s="580"/>
      <c r="H102" s="580"/>
      <c r="I102" s="580"/>
      <c r="J102" s="581"/>
    </row>
    <row r="103" spans="1:10">
      <c r="A103" s="323" t="s">
        <v>5617</v>
      </c>
      <c r="B103" s="333" t="s">
        <v>484</v>
      </c>
      <c r="C103" s="332" t="s">
        <v>679</v>
      </c>
      <c r="D103" s="324" t="s">
        <v>679</v>
      </c>
      <c r="E103" s="324">
        <f t="shared" si="0"/>
        <v>0</v>
      </c>
      <c r="F103" s="580"/>
      <c r="G103" s="580"/>
      <c r="H103" s="580"/>
      <c r="I103" s="580"/>
      <c r="J103" s="581"/>
    </row>
    <row r="104" spans="1:10" ht="38.25">
      <c r="A104" s="326" t="s">
        <v>5618</v>
      </c>
      <c r="B104" s="333" t="s">
        <v>484</v>
      </c>
      <c r="C104" s="332" t="s">
        <v>679</v>
      </c>
      <c r="D104" s="324" t="s">
        <v>679</v>
      </c>
      <c r="E104" s="332">
        <f t="shared" si="0"/>
        <v>0</v>
      </c>
      <c r="F104" s="580"/>
      <c r="G104" s="580"/>
      <c r="H104" s="580"/>
      <c r="I104" s="580"/>
      <c r="J104" s="581"/>
    </row>
    <row r="105" spans="1:10" ht="25.5">
      <c r="A105" s="323" t="s">
        <v>5619</v>
      </c>
      <c r="B105" s="333" t="s">
        <v>484</v>
      </c>
      <c r="C105" s="332" t="s">
        <v>679</v>
      </c>
      <c r="D105" s="324" t="s">
        <v>679</v>
      </c>
      <c r="E105" s="324">
        <f t="shared" si="0"/>
        <v>0</v>
      </c>
      <c r="F105" s="580"/>
      <c r="G105" s="580"/>
      <c r="H105" s="580"/>
      <c r="I105" s="580"/>
      <c r="J105" s="581"/>
    </row>
    <row r="106" spans="1:10">
      <c r="A106" s="326" t="s">
        <v>5604</v>
      </c>
      <c r="B106" s="333" t="s">
        <v>484</v>
      </c>
      <c r="C106" s="332" t="s">
        <v>679</v>
      </c>
      <c r="D106" s="324" t="s">
        <v>679</v>
      </c>
      <c r="E106" s="332">
        <f t="shared" si="0"/>
        <v>0</v>
      </c>
      <c r="F106" s="580"/>
      <c r="G106" s="580"/>
      <c r="H106" s="580"/>
      <c r="I106" s="580"/>
      <c r="J106" s="581"/>
    </row>
    <row r="107" spans="1:10" ht="25.5">
      <c r="A107" s="323" t="s">
        <v>5605</v>
      </c>
      <c r="B107" s="333" t="s">
        <v>484</v>
      </c>
      <c r="C107" s="332" t="s">
        <v>679</v>
      </c>
      <c r="D107" s="324" t="s">
        <v>679</v>
      </c>
      <c r="E107" s="324">
        <f t="shared" si="0"/>
        <v>0</v>
      </c>
      <c r="F107" s="580"/>
      <c r="G107" s="580"/>
      <c r="H107" s="580"/>
      <c r="I107" s="580"/>
      <c r="J107" s="581"/>
    </row>
    <row r="108" spans="1:10" ht="15.75">
      <c r="A108" s="585" t="s">
        <v>5641</v>
      </c>
      <c r="B108" s="586"/>
      <c r="C108" s="587" t="str">
        <f>IFERROR(SUM(E100:E107)/COUNTIF(C100:C107,"Yes"),"")</f>
        <v/>
      </c>
      <c r="D108" s="588"/>
      <c r="E108" s="589" t="s">
        <v>5642</v>
      </c>
      <c r="F108" s="589"/>
      <c r="G108" s="589"/>
      <c r="H108" s="589"/>
      <c r="I108" s="589"/>
      <c r="J108" s="590"/>
    </row>
    <row r="109" spans="1:10">
      <c r="A109" s="331"/>
      <c r="B109" s="316"/>
      <c r="C109" s="316"/>
      <c r="D109" s="316"/>
      <c r="E109" s="316"/>
      <c r="F109" s="316"/>
      <c r="G109" s="316"/>
      <c r="H109" s="227"/>
      <c r="I109" s="227"/>
      <c r="J109" s="329"/>
    </row>
    <row r="110" spans="1:10">
      <c r="A110" s="574" t="s">
        <v>5670</v>
      </c>
      <c r="B110" s="582"/>
      <c r="C110" s="582"/>
      <c r="D110" s="575"/>
      <c r="E110" s="582"/>
      <c r="F110" s="582"/>
      <c r="G110" s="575"/>
      <c r="H110" s="575"/>
      <c r="I110" s="575"/>
      <c r="J110" s="576"/>
    </row>
    <row r="111" spans="1:10">
      <c r="A111" s="321" t="s">
        <v>5643</v>
      </c>
      <c r="B111" s="322" t="s">
        <v>77</v>
      </c>
      <c r="C111" s="322" t="s">
        <v>5620</v>
      </c>
      <c r="D111" s="322" t="s">
        <v>5621</v>
      </c>
      <c r="E111" s="322" t="s">
        <v>5622</v>
      </c>
      <c r="F111" s="322" t="s">
        <v>5644</v>
      </c>
      <c r="G111" s="578" t="s">
        <v>5645</v>
      </c>
      <c r="H111" s="578"/>
      <c r="I111" s="578"/>
      <c r="J111" s="579"/>
    </row>
    <row r="112" spans="1:10" ht="25.5">
      <c r="A112" s="326" t="s">
        <v>5623</v>
      </c>
      <c r="B112" s="332" t="s">
        <v>484</v>
      </c>
      <c r="C112" s="332" t="s">
        <v>1096</v>
      </c>
      <c r="D112" s="332" t="s">
        <v>1096</v>
      </c>
      <c r="E112" s="332" t="s">
        <v>1096</v>
      </c>
      <c r="F112" s="332" t="s">
        <v>348</v>
      </c>
      <c r="G112" s="583"/>
      <c r="H112" s="583"/>
      <c r="I112" s="583"/>
      <c r="J112" s="584"/>
    </row>
    <row r="113" spans="1:10">
      <c r="A113" s="323" t="s">
        <v>5624</v>
      </c>
      <c r="B113" s="332" t="s">
        <v>484</v>
      </c>
      <c r="C113" s="332" t="s">
        <v>1096</v>
      </c>
      <c r="D113" s="332" t="s">
        <v>1096</v>
      </c>
      <c r="E113" s="332" t="s">
        <v>1096</v>
      </c>
      <c r="F113" s="332" t="s">
        <v>348</v>
      </c>
      <c r="G113" s="583"/>
      <c r="H113" s="583"/>
      <c r="I113" s="583"/>
      <c r="J113" s="584"/>
    </row>
    <row r="114" spans="1:10">
      <c r="A114" s="326" t="s">
        <v>5646</v>
      </c>
      <c r="B114" s="332" t="s">
        <v>484</v>
      </c>
      <c r="C114" s="332" t="s">
        <v>1096</v>
      </c>
      <c r="D114" s="332" t="s">
        <v>1096</v>
      </c>
      <c r="E114" s="332" t="s">
        <v>1096</v>
      </c>
      <c r="F114" s="332" t="s">
        <v>348</v>
      </c>
      <c r="G114" s="583"/>
      <c r="H114" s="583"/>
      <c r="I114" s="583"/>
      <c r="J114" s="584"/>
    </row>
    <row r="115" spans="1:10">
      <c r="A115" s="323" t="s">
        <v>5625</v>
      </c>
      <c r="B115" s="332" t="s">
        <v>484</v>
      </c>
      <c r="C115" s="332" t="s">
        <v>1096</v>
      </c>
      <c r="D115" s="332" t="s">
        <v>1096</v>
      </c>
      <c r="E115" s="332" t="s">
        <v>1096</v>
      </c>
      <c r="F115" s="332" t="s">
        <v>348</v>
      </c>
      <c r="G115" s="583"/>
      <c r="H115" s="583"/>
      <c r="I115" s="583"/>
      <c r="J115" s="584"/>
    </row>
    <row r="116" spans="1:10" ht="25.5">
      <c r="A116" s="326" t="s">
        <v>5626</v>
      </c>
      <c r="B116" s="332" t="s">
        <v>484</v>
      </c>
      <c r="C116" s="332" t="s">
        <v>1096</v>
      </c>
      <c r="D116" s="332" t="s">
        <v>1096</v>
      </c>
      <c r="E116" s="332" t="s">
        <v>1096</v>
      </c>
      <c r="F116" s="332" t="s">
        <v>348</v>
      </c>
      <c r="G116" s="583"/>
      <c r="H116" s="583"/>
      <c r="I116" s="583"/>
      <c r="J116" s="584"/>
    </row>
    <row r="117" spans="1:10" ht="15.75">
      <c r="A117" s="585" t="s">
        <v>5677</v>
      </c>
      <c r="B117" s="586"/>
      <c r="C117" s="587">
        <f>IFERROR(COUNTIF(E112:E116,"Yes")/COUNTA(A112:A116),"")</f>
        <v>0</v>
      </c>
      <c r="D117" s="588"/>
      <c r="E117" s="589" t="s">
        <v>5648</v>
      </c>
      <c r="F117" s="589"/>
      <c r="G117" s="589"/>
      <c r="H117" s="589"/>
      <c r="I117" s="589"/>
      <c r="J117" s="590"/>
    </row>
    <row r="118" spans="1:10">
      <c r="A118" s="331"/>
      <c r="B118" s="316"/>
      <c r="C118" s="316"/>
      <c r="D118" s="316"/>
      <c r="E118" s="316"/>
      <c r="F118" s="316"/>
      <c r="G118" s="599"/>
      <c r="H118" s="599"/>
      <c r="I118" s="599"/>
      <c r="J118" s="600"/>
    </row>
    <row r="119" spans="1:10">
      <c r="A119" s="574" t="s">
        <v>5671</v>
      </c>
      <c r="B119" s="582"/>
      <c r="C119" s="582"/>
      <c r="D119" s="575"/>
      <c r="E119" s="582"/>
      <c r="F119" s="582"/>
      <c r="G119" s="575"/>
      <c r="H119" s="575"/>
      <c r="I119" s="575"/>
      <c r="J119" s="576"/>
    </row>
    <row r="120" spans="1:10">
      <c r="A120" s="322" t="s">
        <v>5606</v>
      </c>
      <c r="B120" s="322" t="s">
        <v>77</v>
      </c>
      <c r="C120" s="322" t="s">
        <v>5627</v>
      </c>
      <c r="D120" s="322" t="s">
        <v>5628</v>
      </c>
      <c r="E120" s="322" t="s">
        <v>5629</v>
      </c>
      <c r="F120" s="322" t="s">
        <v>5630</v>
      </c>
      <c r="G120" s="578" t="s">
        <v>5678</v>
      </c>
      <c r="H120" s="578"/>
      <c r="I120" s="578"/>
      <c r="J120" s="578"/>
    </row>
    <row r="121" spans="1:10">
      <c r="A121" s="328" t="s">
        <v>153</v>
      </c>
      <c r="B121" s="324" t="s">
        <v>484</v>
      </c>
      <c r="C121" s="324"/>
      <c r="D121" s="324"/>
      <c r="E121" s="324"/>
      <c r="F121" s="325" t="str">
        <f>IFERROR(D121/C121,"")</f>
        <v/>
      </c>
      <c r="G121" s="572"/>
      <c r="H121" s="572"/>
      <c r="I121" s="572"/>
      <c r="J121" s="572"/>
    </row>
    <row r="122" spans="1:10">
      <c r="A122" s="335" t="s">
        <v>155</v>
      </c>
      <c r="B122" s="332" t="s">
        <v>484</v>
      </c>
      <c r="C122" s="332"/>
      <c r="D122" s="332"/>
      <c r="E122" s="332"/>
      <c r="F122" s="327" t="str">
        <f>IFERROR(D122/C122,"")</f>
        <v/>
      </c>
      <c r="G122" s="572"/>
      <c r="H122" s="572"/>
      <c r="I122" s="572"/>
      <c r="J122" s="572"/>
    </row>
    <row r="123" spans="1:10">
      <c r="A123" s="328" t="s">
        <v>4821</v>
      </c>
      <c r="B123" s="324" t="s">
        <v>484</v>
      </c>
      <c r="C123" s="324"/>
      <c r="D123" s="324"/>
      <c r="E123" s="324"/>
      <c r="F123" s="325" t="str">
        <f>IFERROR(D123/C123,"")</f>
        <v/>
      </c>
      <c r="G123" s="572"/>
      <c r="H123" s="572"/>
      <c r="I123" s="572"/>
      <c r="J123" s="572"/>
    </row>
    <row r="124" spans="1:10">
      <c r="A124" s="335" t="s">
        <v>957</v>
      </c>
      <c r="B124" s="332" t="s">
        <v>484</v>
      </c>
      <c r="C124" s="332"/>
      <c r="D124" s="332"/>
      <c r="E124" s="332"/>
      <c r="F124" s="327" t="str">
        <f>IFERROR(D124/C124,"")</f>
        <v/>
      </c>
      <c r="G124" s="572"/>
      <c r="H124" s="572"/>
      <c r="I124" s="572"/>
      <c r="J124" s="572"/>
    </row>
    <row r="125" spans="1:10">
      <c r="A125" s="597" t="s">
        <v>5649</v>
      </c>
      <c r="B125" s="597"/>
      <c r="C125" s="597"/>
      <c r="D125" s="597"/>
      <c r="E125" s="589" t="s">
        <v>5650</v>
      </c>
      <c r="F125" s="589"/>
      <c r="G125" s="589"/>
      <c r="H125" s="589"/>
      <c r="I125" s="589"/>
      <c r="J125" s="589"/>
    </row>
    <row r="126" spans="1:10">
      <c r="A126" s="597"/>
      <c r="B126" s="597"/>
      <c r="C126" s="597"/>
      <c r="D126" s="597"/>
      <c r="E126" s="589"/>
      <c r="F126" s="589"/>
      <c r="G126" s="589"/>
      <c r="H126" s="589"/>
      <c r="I126" s="589"/>
      <c r="J126" s="589"/>
    </row>
    <row r="127" spans="1:10">
      <c r="A127" s="575" t="s">
        <v>5672</v>
      </c>
      <c r="B127" s="575"/>
      <c r="C127" s="575"/>
      <c r="D127" s="575"/>
      <c r="E127" s="575"/>
      <c r="F127" s="575"/>
      <c r="G127" s="575"/>
      <c r="H127" s="575"/>
      <c r="I127" s="575"/>
      <c r="J127" s="575"/>
    </row>
    <row r="128" spans="1:10">
      <c r="A128" s="322" t="s">
        <v>4946</v>
      </c>
      <c r="B128" s="322" t="s">
        <v>77</v>
      </c>
      <c r="C128" s="322" t="s">
        <v>5638</v>
      </c>
      <c r="D128" s="322" t="s">
        <v>482</v>
      </c>
      <c r="E128" s="322" t="s">
        <v>572</v>
      </c>
      <c r="F128" s="322" t="s">
        <v>944</v>
      </c>
      <c r="G128" s="578" t="s">
        <v>5640</v>
      </c>
      <c r="H128" s="578"/>
      <c r="I128" s="578"/>
      <c r="J128" s="578"/>
    </row>
    <row r="129" spans="1:10" ht="25.5">
      <c r="A129" s="328" t="s">
        <v>5607</v>
      </c>
      <c r="B129" s="324" t="s">
        <v>484</v>
      </c>
      <c r="C129" s="324" t="s">
        <v>392</v>
      </c>
      <c r="D129" s="324" t="s">
        <v>1096</v>
      </c>
      <c r="E129" s="324">
        <f t="shared" ref="E129:E134" si="1">IF(D129="Yes",1,0)</f>
        <v>0</v>
      </c>
      <c r="F129" s="324"/>
      <c r="G129" s="572"/>
      <c r="H129" s="572"/>
      <c r="I129" s="572"/>
      <c r="J129" s="572"/>
    </row>
    <row r="130" spans="1:10">
      <c r="A130" s="335" t="s">
        <v>5608</v>
      </c>
      <c r="B130" s="324" t="s">
        <v>484</v>
      </c>
      <c r="C130" s="332" t="s">
        <v>392</v>
      </c>
      <c r="D130" s="324" t="s">
        <v>1096</v>
      </c>
      <c r="E130" s="332">
        <f t="shared" si="1"/>
        <v>0</v>
      </c>
      <c r="F130" s="332"/>
      <c r="G130" s="572"/>
      <c r="H130" s="572"/>
      <c r="I130" s="572"/>
      <c r="J130" s="572"/>
    </row>
    <row r="131" spans="1:10" ht="25.5">
      <c r="A131" s="328" t="s">
        <v>5609</v>
      </c>
      <c r="B131" s="324" t="s">
        <v>484</v>
      </c>
      <c r="C131" s="324" t="s">
        <v>392</v>
      </c>
      <c r="D131" s="324" t="s">
        <v>1096</v>
      </c>
      <c r="E131" s="324">
        <f t="shared" si="1"/>
        <v>0</v>
      </c>
      <c r="F131" s="324"/>
      <c r="G131" s="572"/>
      <c r="H131" s="572"/>
      <c r="I131" s="572"/>
      <c r="J131" s="572"/>
    </row>
    <row r="132" spans="1:10">
      <c r="A132" s="335" t="s">
        <v>5631</v>
      </c>
      <c r="B132" s="324" t="s">
        <v>484</v>
      </c>
      <c r="C132" s="332" t="s">
        <v>392</v>
      </c>
      <c r="D132" s="324" t="s">
        <v>1096</v>
      </c>
      <c r="E132" s="332">
        <f t="shared" si="1"/>
        <v>0</v>
      </c>
      <c r="F132" s="332"/>
      <c r="G132" s="572"/>
      <c r="H132" s="572"/>
      <c r="I132" s="572"/>
      <c r="J132" s="572"/>
    </row>
    <row r="133" spans="1:10" ht="25.5">
      <c r="A133" s="328" t="s">
        <v>5632</v>
      </c>
      <c r="B133" s="324" t="s">
        <v>484</v>
      </c>
      <c r="C133" s="324" t="s">
        <v>392</v>
      </c>
      <c r="D133" s="324" t="s">
        <v>1096</v>
      </c>
      <c r="E133" s="324">
        <f t="shared" si="1"/>
        <v>0</v>
      </c>
      <c r="F133" s="324"/>
      <c r="G133" s="572"/>
      <c r="H133" s="572"/>
      <c r="I133" s="572"/>
      <c r="J133" s="572"/>
    </row>
    <row r="134" spans="1:10" ht="25.5">
      <c r="A134" s="335" t="s">
        <v>5633</v>
      </c>
      <c r="B134" s="324" t="s">
        <v>484</v>
      </c>
      <c r="C134" s="332" t="s">
        <v>392</v>
      </c>
      <c r="D134" s="332" t="s">
        <v>1096</v>
      </c>
      <c r="E134" s="332">
        <f t="shared" si="1"/>
        <v>0</v>
      </c>
      <c r="F134" s="332"/>
      <c r="G134" s="572"/>
      <c r="H134" s="572"/>
      <c r="I134" s="572"/>
      <c r="J134" s="572"/>
    </row>
    <row r="135" spans="1:10" ht="15.75">
      <c r="A135" s="930" t="s">
        <v>5651</v>
      </c>
      <c r="B135" s="586"/>
      <c r="C135" s="587">
        <f>IFERROR(SUM(E129:E134)/COUNTIF(C129:C134,"Yes"),"")</f>
        <v>0</v>
      </c>
      <c r="D135" s="588"/>
      <c r="E135" s="589" t="s">
        <v>5652</v>
      </c>
      <c r="F135" s="589"/>
      <c r="G135" s="589"/>
      <c r="H135" s="589"/>
      <c r="I135" s="589"/>
      <c r="J135" s="589"/>
    </row>
    <row r="136" spans="1:10">
      <c r="A136" s="192"/>
      <c r="B136" s="192"/>
      <c r="C136" s="192"/>
      <c r="D136" s="192"/>
      <c r="E136" s="192"/>
      <c r="F136" s="192"/>
      <c r="G136" s="192"/>
      <c r="H136" s="192"/>
      <c r="I136" s="192"/>
      <c r="J136" s="192"/>
    </row>
    <row r="137" spans="1:10">
      <c r="A137" s="575" t="s">
        <v>5673</v>
      </c>
      <c r="B137" s="582"/>
      <c r="C137" s="582"/>
      <c r="D137" s="317"/>
      <c r="E137" s="317"/>
      <c r="F137" s="317"/>
      <c r="G137" s="317"/>
      <c r="H137" s="317"/>
      <c r="I137" s="317"/>
      <c r="J137" s="317"/>
    </row>
    <row r="138" spans="1:10" ht="38.25">
      <c r="A138" s="318" t="s">
        <v>905</v>
      </c>
      <c r="B138" s="318" t="s">
        <v>830</v>
      </c>
      <c r="C138" s="318"/>
      <c r="D138" s="318"/>
      <c r="E138" s="318"/>
      <c r="F138" s="318"/>
      <c r="G138" s="318"/>
      <c r="H138" s="318"/>
      <c r="I138" s="318"/>
      <c r="J138" s="318"/>
    </row>
    <row r="139" spans="1:10">
      <c r="A139" s="315" t="s">
        <v>1086</v>
      </c>
      <c r="B139" s="594" t="s">
        <v>3292</v>
      </c>
      <c r="C139" s="582"/>
      <c r="D139" s="582"/>
      <c r="E139" s="582"/>
      <c r="F139" s="582"/>
      <c r="G139" s="582"/>
      <c r="H139" s="582"/>
      <c r="I139" s="582"/>
      <c r="J139" s="582"/>
    </row>
    <row r="140" spans="1:10" ht="25.5">
      <c r="A140" s="315" t="s">
        <v>2090</v>
      </c>
      <c r="B140" s="594" t="s">
        <v>3293</v>
      </c>
      <c r="C140" s="582"/>
      <c r="D140" s="582"/>
      <c r="E140" s="582"/>
      <c r="F140" s="582"/>
      <c r="G140" s="582"/>
      <c r="H140" s="582"/>
      <c r="I140" s="582"/>
      <c r="J140" s="582"/>
    </row>
    <row r="141" spans="1:10">
      <c r="A141" s="315" t="s">
        <v>1089</v>
      </c>
      <c r="B141" s="594" t="s">
        <v>3294</v>
      </c>
      <c r="C141" s="582"/>
      <c r="D141" s="582"/>
      <c r="E141" s="582"/>
      <c r="F141" s="582"/>
      <c r="G141" s="582"/>
      <c r="H141" s="582"/>
      <c r="I141" s="582"/>
      <c r="J141" s="582"/>
    </row>
    <row r="142" spans="1:10">
      <c r="A142" s="315" t="s">
        <v>1090</v>
      </c>
      <c r="B142" s="594" t="s">
        <v>3295</v>
      </c>
      <c r="C142" s="582"/>
      <c r="D142" s="582"/>
      <c r="E142" s="582"/>
      <c r="F142" s="582"/>
      <c r="G142" s="582"/>
      <c r="H142" s="582"/>
      <c r="I142" s="582"/>
      <c r="J142" s="582"/>
    </row>
    <row r="143" spans="1:10">
      <c r="A143" s="315" t="s">
        <v>1088</v>
      </c>
      <c r="B143" s="594" t="s">
        <v>3296</v>
      </c>
      <c r="C143" s="582"/>
      <c r="D143" s="582"/>
      <c r="E143" s="582"/>
      <c r="F143" s="582"/>
      <c r="G143" s="582"/>
      <c r="H143" s="582"/>
      <c r="I143" s="582"/>
      <c r="J143" s="582"/>
    </row>
    <row r="144" spans="1:10" ht="25.5">
      <c r="A144" s="315" t="s">
        <v>3297</v>
      </c>
      <c r="B144" s="594" t="s">
        <v>3298</v>
      </c>
      <c r="C144" s="582"/>
      <c r="D144" s="582"/>
      <c r="E144" s="582"/>
      <c r="F144" s="582"/>
      <c r="G144" s="582"/>
      <c r="H144" s="582"/>
      <c r="I144" s="582"/>
      <c r="J144" s="582"/>
    </row>
    <row r="145" spans="1:10">
      <c r="A145" s="315" t="s">
        <v>1563</v>
      </c>
      <c r="B145" s="594" t="s">
        <v>1776</v>
      </c>
      <c r="C145" s="582"/>
      <c r="D145" s="582"/>
      <c r="E145" s="582"/>
      <c r="F145" s="582"/>
      <c r="G145" s="582"/>
      <c r="H145" s="582"/>
      <c r="I145" s="582"/>
      <c r="J145" s="582"/>
    </row>
    <row r="146" spans="1:10">
      <c r="A146" s="227"/>
      <c r="B146" s="227"/>
      <c r="C146" s="227"/>
      <c r="D146" s="227"/>
      <c r="E146" s="227"/>
      <c r="F146" s="227"/>
      <c r="G146" s="227"/>
      <c r="H146" s="227"/>
      <c r="I146" s="227"/>
      <c r="J146" s="227"/>
    </row>
    <row r="147" spans="1:10" ht="18">
      <c r="A147" s="598" t="s">
        <v>5562</v>
      </c>
      <c r="B147" s="598"/>
      <c r="C147" s="598"/>
      <c r="D147" s="598"/>
      <c r="E147" s="598"/>
      <c r="F147" s="598"/>
      <c r="G147" s="598"/>
      <c r="H147" s="598"/>
      <c r="I147" s="227"/>
      <c r="J147" s="227"/>
    </row>
    <row r="148" spans="1:10">
      <c r="A148" s="272" t="s">
        <v>2</v>
      </c>
      <c r="B148" s="591" t="s">
        <v>5563</v>
      </c>
      <c r="C148" s="591"/>
      <c r="D148" s="591"/>
      <c r="E148" s="591"/>
      <c r="F148" s="591"/>
      <c r="G148" s="591"/>
      <c r="H148" s="591"/>
      <c r="I148" s="227"/>
      <c r="J148" s="227"/>
    </row>
    <row r="149" spans="1:10">
      <c r="A149" s="272" t="s">
        <v>5564</v>
      </c>
      <c r="B149" s="591" t="s">
        <v>5565</v>
      </c>
      <c r="C149" s="591"/>
      <c r="D149" s="591"/>
      <c r="E149" s="591"/>
      <c r="F149" s="591"/>
      <c r="G149" s="591"/>
      <c r="H149" s="591"/>
      <c r="I149" s="227"/>
      <c r="J149" s="227"/>
    </row>
    <row r="150" spans="1:10">
      <c r="A150" s="192"/>
      <c r="B150" s="192"/>
      <c r="C150" s="192"/>
      <c r="D150" s="192"/>
      <c r="E150" s="192"/>
      <c r="F150" s="192"/>
      <c r="G150" s="192"/>
      <c r="H150" s="192"/>
      <c r="I150" s="227"/>
      <c r="J150" s="227"/>
    </row>
    <row r="151" spans="1:10">
      <c r="A151" s="319" t="s">
        <v>4946</v>
      </c>
      <c r="B151" s="319" t="s">
        <v>77</v>
      </c>
      <c r="C151" s="319" t="s">
        <v>5566</v>
      </c>
      <c r="D151" s="319" t="s">
        <v>263</v>
      </c>
      <c r="E151" s="319" t="s">
        <v>216</v>
      </c>
      <c r="F151" s="319" t="s">
        <v>5567</v>
      </c>
      <c r="G151" s="319" t="s">
        <v>5568</v>
      </c>
      <c r="H151" s="319" t="s">
        <v>5569</v>
      </c>
      <c r="I151" s="227"/>
      <c r="J151" s="227"/>
    </row>
    <row r="152" spans="1:10" ht="25.5">
      <c r="A152" s="273" t="s">
        <v>5570</v>
      </c>
      <c r="B152" s="274" t="s">
        <v>1096</v>
      </c>
      <c r="C152" s="273"/>
      <c r="D152" s="273"/>
      <c r="E152" s="273"/>
      <c r="F152" s="273"/>
      <c r="G152" s="275" t="str">
        <f t="shared" ref="G152:G159" si="2">IF(OR(B152="Yes",B152="N/A"),"🟢","🟡")</f>
        <v>🟡</v>
      </c>
      <c r="H152" s="273"/>
      <c r="I152" s="227"/>
      <c r="J152" s="227"/>
    </row>
    <row r="153" spans="1:10">
      <c r="A153" s="273" t="s">
        <v>5571</v>
      </c>
      <c r="B153" s="274" t="s">
        <v>1096</v>
      </c>
      <c r="C153" s="273"/>
      <c r="D153" s="273"/>
      <c r="E153" s="273"/>
      <c r="F153" s="273"/>
      <c r="G153" s="275" t="str">
        <f t="shared" si="2"/>
        <v>🟡</v>
      </c>
      <c r="H153" s="273"/>
      <c r="I153" s="227"/>
      <c r="J153" s="227"/>
    </row>
    <row r="154" spans="1:10">
      <c r="A154" s="273" t="s">
        <v>5572</v>
      </c>
      <c r="B154" s="274" t="s">
        <v>1096</v>
      </c>
      <c r="C154" s="273"/>
      <c r="D154" s="273"/>
      <c r="E154" s="273"/>
      <c r="F154" s="273"/>
      <c r="G154" s="275" t="str">
        <f t="shared" si="2"/>
        <v>🟡</v>
      </c>
      <c r="H154" s="273"/>
      <c r="I154" s="227"/>
      <c r="J154" s="227"/>
    </row>
    <row r="155" spans="1:10">
      <c r="A155" s="273" t="s">
        <v>5168</v>
      </c>
      <c r="B155" s="274" t="s">
        <v>1096</v>
      </c>
      <c r="C155" s="273"/>
      <c r="D155" s="273"/>
      <c r="E155" s="273"/>
      <c r="F155" s="273"/>
      <c r="G155" s="275" t="str">
        <f t="shared" si="2"/>
        <v>🟡</v>
      </c>
      <c r="H155" s="273"/>
      <c r="I155" s="227"/>
      <c r="J155" s="227"/>
    </row>
    <row r="156" spans="1:10">
      <c r="A156" s="273" t="s">
        <v>5573</v>
      </c>
      <c r="B156" s="274" t="s">
        <v>1096</v>
      </c>
      <c r="C156" s="273"/>
      <c r="D156" s="273"/>
      <c r="E156" s="273"/>
      <c r="F156" s="273"/>
      <c r="G156" s="275" t="str">
        <f t="shared" si="2"/>
        <v>🟡</v>
      </c>
      <c r="H156" s="273"/>
      <c r="I156" s="227"/>
      <c r="J156" s="227"/>
    </row>
    <row r="157" spans="1:10">
      <c r="A157" s="273" t="s">
        <v>5574</v>
      </c>
      <c r="B157" s="274" t="s">
        <v>1096</v>
      </c>
      <c r="C157" s="273"/>
      <c r="D157" s="273"/>
      <c r="E157" s="273"/>
      <c r="F157" s="273"/>
      <c r="G157" s="275" t="str">
        <f t="shared" si="2"/>
        <v>🟡</v>
      </c>
      <c r="H157" s="273"/>
      <c r="I157" s="227"/>
      <c r="J157" s="227"/>
    </row>
    <row r="158" spans="1:10">
      <c r="A158" s="273" t="s">
        <v>178</v>
      </c>
      <c r="B158" s="274" t="s">
        <v>1096</v>
      </c>
      <c r="C158" s="273"/>
      <c r="D158" s="273"/>
      <c r="E158" s="273"/>
      <c r="F158" s="273"/>
      <c r="G158" s="275" t="str">
        <f t="shared" si="2"/>
        <v>🟡</v>
      </c>
      <c r="H158" s="273"/>
      <c r="I158" s="227"/>
      <c r="J158" s="227"/>
    </row>
    <row r="159" spans="1:10" ht="25.5">
      <c r="A159" s="273" t="s">
        <v>5575</v>
      </c>
      <c r="B159" s="274" t="s">
        <v>1096</v>
      </c>
      <c r="C159" s="273"/>
      <c r="D159" s="273"/>
      <c r="E159" s="273"/>
      <c r="F159" s="273"/>
      <c r="G159" s="275" t="str">
        <f t="shared" si="2"/>
        <v>🟡</v>
      </c>
      <c r="H159" s="273"/>
      <c r="I159" s="227"/>
      <c r="J159" s="227"/>
    </row>
    <row r="160" spans="1:10">
      <c r="A160" s="320" t="s">
        <v>4946</v>
      </c>
      <c r="B160" s="320" t="s">
        <v>5583</v>
      </c>
      <c r="C160" s="192"/>
      <c r="D160" s="192"/>
      <c r="E160" s="320" t="s">
        <v>5584</v>
      </c>
      <c r="F160" s="192"/>
      <c r="G160" s="192"/>
      <c r="H160" s="192"/>
      <c r="I160" s="227"/>
      <c r="J160" s="227"/>
    </row>
    <row r="161" spans="1:10" ht="25.5">
      <c r="A161" s="287" t="s">
        <v>5570</v>
      </c>
      <c r="B161" s="577" t="s">
        <v>5585</v>
      </c>
      <c r="C161" s="577"/>
      <c r="D161" s="577"/>
      <c r="E161" s="577" t="s">
        <v>5586</v>
      </c>
      <c r="F161" s="577"/>
      <c r="G161" s="577"/>
      <c r="H161" s="192"/>
      <c r="I161" s="227"/>
      <c r="J161" s="227"/>
    </row>
    <row r="162" spans="1:10">
      <c r="A162" s="287" t="s">
        <v>5571</v>
      </c>
      <c r="B162" s="577" t="s">
        <v>5587</v>
      </c>
      <c r="C162" s="577"/>
      <c r="D162" s="577"/>
      <c r="E162" s="577" t="s">
        <v>5588</v>
      </c>
      <c r="F162" s="577"/>
      <c r="G162" s="577"/>
      <c r="H162" s="192"/>
      <c r="I162" s="227"/>
      <c r="J162" s="227"/>
    </row>
    <row r="163" spans="1:10">
      <c r="A163" s="287" t="s">
        <v>5572</v>
      </c>
      <c r="B163" s="577" t="s">
        <v>5589</v>
      </c>
      <c r="C163" s="577"/>
      <c r="D163" s="577"/>
      <c r="E163" s="577" t="s">
        <v>5590</v>
      </c>
      <c r="F163" s="577"/>
      <c r="G163" s="577"/>
      <c r="H163" s="192"/>
      <c r="I163" s="227"/>
      <c r="J163" s="227"/>
    </row>
    <row r="164" spans="1:10">
      <c r="A164" s="287" t="s">
        <v>5168</v>
      </c>
      <c r="B164" s="577" t="s">
        <v>5591</v>
      </c>
      <c r="C164" s="577"/>
      <c r="D164" s="577"/>
      <c r="E164" s="577" t="s">
        <v>5592</v>
      </c>
      <c r="F164" s="577"/>
      <c r="G164" s="577"/>
      <c r="H164" s="192"/>
      <c r="I164" s="227"/>
      <c r="J164" s="227"/>
    </row>
    <row r="165" spans="1:10">
      <c r="A165" s="287" t="s">
        <v>5573</v>
      </c>
      <c r="B165" s="577" t="s">
        <v>5593</v>
      </c>
      <c r="C165" s="577"/>
      <c r="D165" s="577"/>
      <c r="E165" s="577" t="s">
        <v>5594</v>
      </c>
      <c r="F165" s="577"/>
      <c r="G165" s="577"/>
      <c r="H165" s="192"/>
      <c r="I165" s="227"/>
      <c r="J165" s="227"/>
    </row>
    <row r="166" spans="1:10">
      <c r="A166" s="287" t="s">
        <v>5574</v>
      </c>
      <c r="B166" s="577" t="s">
        <v>5595</v>
      </c>
      <c r="C166" s="577"/>
      <c r="D166" s="577"/>
      <c r="E166" s="577" t="s">
        <v>5596</v>
      </c>
      <c r="F166" s="577"/>
      <c r="G166" s="577"/>
      <c r="H166" s="192"/>
      <c r="I166" s="227"/>
      <c r="J166" s="227"/>
    </row>
    <row r="167" spans="1:10">
      <c r="A167" s="287" t="s">
        <v>178</v>
      </c>
      <c r="B167" s="577" t="s">
        <v>5597</v>
      </c>
      <c r="C167" s="577"/>
      <c r="D167" s="577"/>
      <c r="E167" s="577" t="s">
        <v>5598</v>
      </c>
      <c r="F167" s="577"/>
      <c r="G167" s="577"/>
      <c r="H167" s="192"/>
      <c r="I167" s="227"/>
      <c r="J167" s="227"/>
    </row>
    <row r="168" spans="1:10" ht="25.5">
      <c r="A168" s="287" t="s">
        <v>5575</v>
      </c>
      <c r="B168" s="577" t="s">
        <v>5599</v>
      </c>
      <c r="C168" s="577"/>
      <c r="D168" s="577"/>
      <c r="E168" s="577" t="s">
        <v>5600</v>
      </c>
      <c r="F168" s="577"/>
      <c r="G168" s="577"/>
      <c r="H168" s="192"/>
      <c r="I168" s="227"/>
      <c r="J168" s="227"/>
    </row>
    <row r="169" spans="1:10">
      <c r="A169" s="272" t="s">
        <v>5576</v>
      </c>
      <c r="B169" s="276" t="str">
        <f>IF(COUNTIF(B152:B159,"No")=0,"🟢 PILOT COMPLETE / ACCEPTANCE READY","🟡 NOT COMPLETE — ACCEPTANCE GATES OPEN")</f>
        <v>🟡 NOT COMPLETE — ACCEPTANCE GATES OPEN</v>
      </c>
      <c r="C169" s="276"/>
      <c r="D169" s="276"/>
      <c r="E169" s="276"/>
      <c r="F169" s="276"/>
      <c r="G169" s="276"/>
      <c r="H169" s="276"/>
    </row>
    <row r="170" spans="1:10">
      <c r="A170" s="272" t="s">
        <v>5577</v>
      </c>
      <c r="B170" s="276">
        <f>COUNTIF(B152:B159,"No")</f>
        <v>8</v>
      </c>
      <c r="C170" s="276"/>
      <c r="D170" s="276"/>
      <c r="E170" s="276"/>
      <c r="F170" s="276"/>
      <c r="G170" s="276"/>
      <c r="H170" s="276"/>
    </row>
    <row r="171" spans="1:10">
      <c r="A171" s="272" t="s">
        <v>5578</v>
      </c>
      <c r="B171" s="276" t="str">
        <f>COUNTIF(B152:B159,"Yes")&amp;" / 8 Complete"</f>
        <v>0 / 8 Complete</v>
      </c>
      <c r="C171" s="276"/>
      <c r="D171" s="276"/>
      <c r="E171" s="276"/>
      <c r="F171" s="276"/>
      <c r="G171" s="276"/>
      <c r="H171" s="276"/>
    </row>
    <row r="172" spans="1:10" ht="90">
      <c r="A172" s="277" t="s">
        <v>5579</v>
      </c>
      <c r="B172" s="278" t="s">
        <v>5580</v>
      </c>
      <c r="C172" s="278"/>
      <c r="D172" s="278"/>
      <c r="E172" s="278"/>
      <c r="F172" s="278"/>
      <c r="G172" s="278"/>
      <c r="H172" s="278"/>
    </row>
    <row r="173" spans="1:10">
      <c r="A173" s="277"/>
      <c r="B173" s="278"/>
      <c r="C173" s="278"/>
      <c r="D173" s="278"/>
      <c r="E173" s="278"/>
      <c r="F173" s="278"/>
      <c r="G173" s="278"/>
      <c r="H173" s="278"/>
    </row>
    <row r="174" spans="1:10" ht="64.5">
      <c r="A174" s="277" t="s">
        <v>5581</v>
      </c>
      <c r="B174" s="278" t="s">
        <v>5582</v>
      </c>
      <c r="C174" s="278"/>
      <c r="D174" s="278"/>
      <c r="E174" s="278"/>
      <c r="F174" s="278"/>
      <c r="G174" s="278"/>
      <c r="H174" s="278"/>
    </row>
    <row r="175" spans="1:10">
      <c r="A175" s="575" t="s">
        <v>5694</v>
      </c>
      <c r="B175" s="575"/>
      <c r="C175" s="575"/>
      <c r="D175" s="575"/>
      <c r="E175" s="575"/>
      <c r="F175" s="575"/>
      <c r="G175" s="575"/>
      <c r="H175" s="575"/>
      <c r="I175" s="575"/>
      <c r="J175" s="575"/>
    </row>
    <row r="176" spans="1:10">
      <c r="A176" s="336" t="s">
        <v>5679</v>
      </c>
      <c r="B176" s="192"/>
      <c r="C176" s="192"/>
      <c r="D176" s="192"/>
      <c r="E176" s="192"/>
      <c r="F176" s="192"/>
      <c r="G176" s="192"/>
      <c r="H176" s="192"/>
      <c r="I176" s="192"/>
      <c r="J176" s="192"/>
    </row>
    <row r="177" spans="1:10">
      <c r="A177" s="192"/>
      <c r="B177" s="192"/>
      <c r="C177" s="192"/>
      <c r="D177" s="192"/>
      <c r="E177" s="192"/>
      <c r="F177" s="192"/>
      <c r="G177" s="192"/>
      <c r="H177" s="192"/>
      <c r="I177" s="192"/>
      <c r="J177" s="192"/>
    </row>
    <row r="178" spans="1:10">
      <c r="A178" s="192" t="s">
        <v>5680</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5681</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5682</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575" t="s">
        <v>5695</v>
      </c>
      <c r="B186" s="575"/>
      <c r="C186" s="575"/>
      <c r="D186" s="575"/>
      <c r="E186" s="575"/>
      <c r="F186" s="575"/>
      <c r="G186" s="575"/>
      <c r="H186" s="575"/>
      <c r="I186" s="575"/>
      <c r="J186" s="575"/>
    </row>
    <row r="187" spans="1:10">
      <c r="A187" s="192"/>
      <c r="B187" s="192"/>
      <c r="C187" s="192"/>
      <c r="D187" s="192"/>
      <c r="E187" s="192"/>
      <c r="F187" s="192"/>
      <c r="G187" s="192"/>
      <c r="H187" s="192"/>
      <c r="I187" s="192"/>
      <c r="J187" s="192"/>
    </row>
    <row r="188" spans="1:10">
      <c r="A188" s="192" t="s">
        <v>5683</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5684</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5685</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5" t="s">
        <v>5696</v>
      </c>
      <c r="B196" s="575"/>
      <c r="C196" s="575"/>
      <c r="D196" s="575"/>
      <c r="E196" s="575"/>
      <c r="F196" s="575"/>
      <c r="G196" s="575"/>
      <c r="H196" s="575"/>
      <c r="I196" s="575"/>
      <c r="J196" s="575"/>
    </row>
    <row r="197" spans="1:10">
      <c r="A197" s="192"/>
      <c r="B197" s="192"/>
      <c r="C197" s="192"/>
      <c r="D197" s="192"/>
      <c r="E197" s="192"/>
      <c r="F197" s="192"/>
      <c r="G197" s="192"/>
      <c r="H197" s="192"/>
      <c r="I197" s="192"/>
      <c r="J197" s="192"/>
    </row>
    <row r="198" spans="1:10">
      <c r="A198" s="192" t="s">
        <v>5686</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5687</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5688</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5689</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575" t="s">
        <v>5697</v>
      </c>
      <c r="B208" s="575"/>
      <c r="C208" s="575"/>
      <c r="D208" s="575"/>
      <c r="E208" s="575"/>
      <c r="F208" s="575"/>
      <c r="G208" s="575"/>
      <c r="H208" s="575"/>
      <c r="I208" s="575"/>
      <c r="J208" s="575"/>
    </row>
    <row r="209" spans="1:10">
      <c r="A209" s="192"/>
      <c r="B209" s="192"/>
      <c r="C209" s="192"/>
      <c r="D209" s="192"/>
      <c r="E209" s="192"/>
      <c r="F209" s="192"/>
      <c r="G209" s="192"/>
      <c r="H209" s="192"/>
      <c r="I209" s="192"/>
      <c r="J209" s="192"/>
    </row>
    <row r="210" spans="1:10">
      <c r="A210" s="192" t="s">
        <v>5690</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5691</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5692</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5693</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192"/>
      <c r="B229" s="192"/>
      <c r="C229" s="192"/>
      <c r="D229" s="192"/>
      <c r="E229" s="192"/>
      <c r="F229" s="192"/>
      <c r="G229" s="192"/>
      <c r="H229" s="192"/>
      <c r="I229" s="192"/>
      <c r="J229" s="192"/>
    </row>
    <row r="230" spans="1:10">
      <c r="A230" s="316"/>
      <c r="B230" s="316"/>
      <c r="C230" s="316"/>
      <c r="D230" s="316"/>
      <c r="E230" s="316"/>
      <c r="F230" s="316"/>
      <c r="G230" s="599"/>
      <c r="H230" s="599"/>
      <c r="I230" s="599"/>
      <c r="J230" s="599"/>
    </row>
  </sheetData>
  <mergeCells count="120">
    <mergeCell ref="A208:C208"/>
    <mergeCell ref="D208:F208"/>
    <mergeCell ref="G208:J208"/>
    <mergeCell ref="G230:J230"/>
    <mergeCell ref="A186:C186"/>
    <mergeCell ref="D186:F186"/>
    <mergeCell ref="G186:J186"/>
    <mergeCell ref="A196:C196"/>
    <mergeCell ref="D196:F196"/>
    <mergeCell ref="G196:J196"/>
    <mergeCell ref="B168:D168"/>
    <mergeCell ref="E168:G168"/>
    <mergeCell ref="A175:C175"/>
    <mergeCell ref="D175:F175"/>
    <mergeCell ref="G175:J175"/>
    <mergeCell ref="B165:D165"/>
    <mergeCell ref="E165:G165"/>
    <mergeCell ref="B166:D166"/>
    <mergeCell ref="E166:G166"/>
    <mergeCell ref="B167:D167"/>
    <mergeCell ref="E167:G167"/>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40:J140"/>
    <mergeCell ref="B141:J141"/>
    <mergeCell ref="B142:J142"/>
    <mergeCell ref="B143:J143"/>
    <mergeCell ref="B144:J144"/>
    <mergeCell ref="A135:B135"/>
    <mergeCell ref="C135:D135"/>
    <mergeCell ref="E135:J135"/>
    <mergeCell ref="A137:C137"/>
    <mergeCell ref="B139:J139"/>
    <mergeCell ref="G130:J130"/>
    <mergeCell ref="G131:J131"/>
    <mergeCell ref="G132:J132"/>
    <mergeCell ref="G133:J133"/>
    <mergeCell ref="G134:J134"/>
    <mergeCell ref="A127:C127"/>
    <mergeCell ref="D127:F127"/>
    <mergeCell ref="G127:J127"/>
    <mergeCell ref="G128:J128"/>
    <mergeCell ref="G129:J129"/>
    <mergeCell ref="G121:J121"/>
    <mergeCell ref="G122:J122"/>
    <mergeCell ref="G123:J123"/>
    <mergeCell ref="G124:J124"/>
    <mergeCell ref="A125:D126"/>
    <mergeCell ref="E125:J126"/>
    <mergeCell ref="G118:J118"/>
    <mergeCell ref="A119:C119"/>
    <mergeCell ref="D119:F119"/>
    <mergeCell ref="G119:J119"/>
    <mergeCell ref="G120:J120"/>
    <mergeCell ref="G113:J113"/>
    <mergeCell ref="G114:J114"/>
    <mergeCell ref="G115:J115"/>
    <mergeCell ref="G116:J116"/>
    <mergeCell ref="A117:B117"/>
    <mergeCell ref="C117:D117"/>
    <mergeCell ref="E117:J117"/>
    <mergeCell ref="A110:C110"/>
    <mergeCell ref="D110:F110"/>
    <mergeCell ref="G110:J110"/>
    <mergeCell ref="G111:J111"/>
    <mergeCell ref="G112:J112"/>
    <mergeCell ref="F106:J106"/>
    <mergeCell ref="F107:J107"/>
    <mergeCell ref="A108:B108"/>
    <mergeCell ref="C108:D108"/>
    <mergeCell ref="E108:J108"/>
    <mergeCell ref="F101:J101"/>
    <mergeCell ref="F102:J102"/>
    <mergeCell ref="F103:J103"/>
    <mergeCell ref="F104:J104"/>
    <mergeCell ref="F105:J105"/>
    <mergeCell ref="A98:C98"/>
    <mergeCell ref="D98:F98"/>
    <mergeCell ref="G98:J98"/>
    <mergeCell ref="G99:J99"/>
    <mergeCell ref="F100:J100"/>
    <mergeCell ref="G90:J90"/>
    <mergeCell ref="G91:J91"/>
    <mergeCell ref="G92:J92"/>
    <mergeCell ref="G94:J94"/>
    <mergeCell ref="A96:B96"/>
    <mergeCell ref="E96:J96"/>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s>
  <conditionalFormatting sqref="B91:B95">
    <cfRule type="expression" dxfId="1123" priority="21">
      <formula>B91="Complete"</formula>
    </cfRule>
    <cfRule type="expression" dxfId="1122" priority="22">
      <formula>B91="In Progress"</formula>
    </cfRule>
    <cfRule type="expression" dxfId="1121" priority="23">
      <formula>B91="At Risk"</formula>
    </cfRule>
    <cfRule type="expression" dxfId="1120" priority="24">
      <formula>B91="Blocked"</formula>
    </cfRule>
    <cfRule type="expression" dxfId="1119" priority="25">
      <formula>B91="Not Started"</formula>
    </cfRule>
  </conditionalFormatting>
  <conditionalFormatting sqref="B100:B107">
    <cfRule type="expression" dxfId="1118" priority="1">
      <formula>B100="Complete"</formula>
    </cfRule>
    <cfRule type="expression" dxfId="1117" priority="2">
      <formula>B100="In Progress"</formula>
    </cfRule>
    <cfRule type="expression" dxfId="1116" priority="3">
      <formula>B100="At Risk"</formula>
    </cfRule>
    <cfRule type="expression" dxfId="1115" priority="4">
      <formula>B100="Blocked"</formula>
    </cfRule>
    <cfRule type="expression" dxfId="1114" priority="5">
      <formula>B100="Not Started"</formula>
    </cfRule>
  </conditionalFormatting>
  <conditionalFormatting sqref="B112:B116">
    <cfRule type="expression" dxfId="1113" priority="30">
      <formula>B112="Not Started"</formula>
    </cfRule>
    <cfRule type="expression" dxfId="1112" priority="29">
      <formula>B112="Blocked"</formula>
    </cfRule>
    <cfRule type="expression" dxfId="1111" priority="28">
      <formula>B112="At Risk"</formula>
    </cfRule>
    <cfRule type="expression" dxfId="1110" priority="27">
      <formula>B112="In Progress"</formula>
    </cfRule>
    <cfRule type="expression" dxfId="1109" priority="26">
      <formula>B112="Complete"</formula>
    </cfRule>
  </conditionalFormatting>
  <conditionalFormatting sqref="B121:B124">
    <cfRule type="expression" dxfId="1108" priority="6">
      <formula>B121="Complete"</formula>
    </cfRule>
    <cfRule type="expression" dxfId="1107" priority="7">
      <formula>B121="In Progress"</formula>
    </cfRule>
    <cfRule type="expression" dxfId="1106" priority="8">
      <formula>B121="At Risk"</formula>
    </cfRule>
    <cfRule type="expression" dxfId="1105" priority="9">
      <formula>B121="Blocked"</formula>
    </cfRule>
    <cfRule type="expression" dxfId="1104" priority="10">
      <formula>B121="Not Started"</formula>
    </cfRule>
  </conditionalFormatting>
  <conditionalFormatting sqref="B129:B134">
    <cfRule type="expression" dxfId="1103" priority="11">
      <formula>B129="Complete"</formula>
    </cfRule>
    <cfRule type="expression" dxfId="1102" priority="12">
      <formula>B129="In Progress"</formula>
    </cfRule>
    <cfRule type="expression" dxfId="1101" priority="13">
      <formula>B129="At Risk"</formula>
    </cfRule>
    <cfRule type="expression" dxfId="1100" priority="14">
      <formula>B129="Blocked"</formula>
    </cfRule>
    <cfRule type="expression" dxfId="1099" priority="15">
      <formula>B129="Not Started"</formula>
    </cfRule>
  </conditionalFormatting>
  <conditionalFormatting sqref="B152:B159">
    <cfRule type="expression" dxfId="1098" priority="82">
      <formula>B152="Yes"</formula>
    </cfRule>
    <cfRule type="expression" dxfId="1097" priority="83">
      <formula>B152="N/A"</formula>
    </cfRule>
    <cfRule type="expression" dxfId="1096" priority="84">
      <formula>B152="No"</formula>
    </cfRule>
  </conditionalFormatting>
  <conditionalFormatting sqref="B169:H169">
    <cfRule type="expression" dxfId="1095" priority="86">
      <formula>COUNTIF($B$6:$B$13,"No")&gt;0</formula>
    </cfRule>
    <cfRule type="expression" dxfId="1094" priority="85">
      <formula>COUNTIF($B$6:$B$13,"No")=0</formula>
    </cfRule>
  </conditionalFormatting>
  <conditionalFormatting sqref="C96:D96">
    <cfRule type="dataBar" priority="37">
      <dataBar>
        <cfvo type="num" val="0"/>
        <cfvo type="num" val="1"/>
        <color rgb="FF5B9BD5"/>
      </dataBar>
    </cfRule>
  </conditionalFormatting>
  <conditionalFormatting sqref="C100:D107">
    <cfRule type="expression" dxfId="1093" priority="32">
      <formula>C100="No"</formula>
    </cfRule>
    <cfRule type="expression" dxfId="1092" priority="31">
      <formula>C100="Yes"</formula>
    </cfRule>
    <cfRule type="expression" dxfId="1091"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090" priority="17">
      <formula>C129="No"</formula>
    </cfRule>
    <cfRule type="expression" dxfId="1089" priority="16">
      <formula>C129="Yes"</formula>
    </cfRule>
    <cfRule type="expression" dxfId="1088"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087" priority="87">
      <formula>E5="Pass"</formula>
    </cfRule>
    <cfRule type="expression" dxfId="1086" priority="88">
      <formula>E5="Verify"</formula>
    </cfRule>
    <cfRule type="expression" dxfId="1085" priority="89">
      <formula>E5="Fail"</formula>
    </cfRule>
    <cfRule type="expression" dxfId="1084" priority="90">
      <formula>E5="Not Started"</formula>
    </cfRule>
  </conditionalFormatting>
  <conditionalFormatting sqref="F3">
    <cfRule type="expression" dxfId="1083" priority="91">
      <formula>F3="Yes"</formula>
    </cfRule>
    <cfRule type="expression" dxfId="1082" priority="92">
      <formula>F3="No"</formula>
    </cfRule>
  </conditionalFormatting>
  <conditionalFormatting sqref="F112:F116">
    <cfRule type="expression" dxfId="1081" priority="35">
      <formula>F112="Fail"</formula>
    </cfRule>
    <cfRule type="expression" dxfId="1080" priority="36">
      <formula>F112="Pending"</formula>
    </cfRule>
    <cfRule type="expression" dxfId="1079" priority="34">
      <formula>F112="Pass"</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Lookup_Lists!$L$37:$L$39</xm:f>
          </x14:formula1>
          <xm:sqref>C112:E116 J2</xm:sqref>
        </x14:dataValidation>
        <x14:dataValidation type="list" allowBlank="1" showInputMessage="1" showErrorMessage="1" xr:uid="{7C81FD17-0FF6-4AFA-A502-45B56110062C}">
          <x14:formula1>
            <xm:f>Lookup_Lists!$A$36:$A$42</xm:f>
          </x14:formula1>
          <xm:sqref>B91:B95 B100:B107 B129:B134</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1777</v>
      </c>
      <c r="B1" s="896"/>
      <c r="C1" s="896"/>
      <c r="D1" s="896"/>
      <c r="E1" s="896"/>
      <c r="F1" s="896"/>
      <c r="G1" s="896"/>
      <c r="H1" s="896"/>
      <c r="I1" s="896"/>
      <c r="J1" s="896"/>
    </row>
    <row r="2" spans="1:10" s="223" customFormat="1">
      <c r="A2" s="219" t="s">
        <v>142</v>
      </c>
      <c r="B2" s="220" t="s">
        <v>1778</v>
      </c>
      <c r="C2" s="219" t="s">
        <v>902</v>
      </c>
      <c r="D2" s="220" t="s">
        <v>1094</v>
      </c>
      <c r="E2" s="219" t="s">
        <v>151</v>
      </c>
      <c r="F2" s="220" t="s">
        <v>1095</v>
      </c>
      <c r="G2" s="219" t="s">
        <v>174</v>
      </c>
      <c r="H2" s="221">
        <v>0.5</v>
      </c>
      <c r="I2" s="219" t="s">
        <v>154</v>
      </c>
      <c r="J2" s="222" t="s">
        <v>1096</v>
      </c>
    </row>
    <row r="3" spans="1:10" s="227" customFormat="1" ht="25.5">
      <c r="A3" s="219" t="s">
        <v>903</v>
      </c>
      <c r="B3" s="224">
        <v>46198.595927916656</v>
      </c>
      <c r="C3" s="225" t="s">
        <v>904</v>
      </c>
      <c r="D3" s="226" t="s">
        <v>721</v>
      </c>
      <c r="E3" s="219" t="s">
        <v>905</v>
      </c>
      <c r="F3" s="226" t="s">
        <v>1779</v>
      </c>
      <c r="G3" s="219" t="s">
        <v>907</v>
      </c>
      <c r="H3" s="226" t="s">
        <v>908</v>
      </c>
      <c r="I3" s="219" t="s">
        <v>551</v>
      </c>
      <c r="J3" s="226" t="s">
        <v>1780</v>
      </c>
    </row>
    <row r="4" spans="1:10" s="227" customFormat="1" ht="153">
      <c r="A4" s="219" t="s">
        <v>161</v>
      </c>
      <c r="B4" s="226">
        <v>0</v>
      </c>
      <c r="C4" s="219" t="s">
        <v>199</v>
      </c>
      <c r="D4" s="226">
        <v>0</v>
      </c>
      <c r="E4" s="219" t="s">
        <v>179</v>
      </c>
      <c r="F4" s="226">
        <v>0</v>
      </c>
      <c r="G4" s="219" t="s">
        <v>870</v>
      </c>
      <c r="H4" s="228" t="s">
        <v>1781</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604" t="s">
        <v>1782</v>
      </c>
      <c r="E6" s="582"/>
      <c r="F6" s="582"/>
      <c r="G6" s="582"/>
      <c r="H6" s="582"/>
      <c r="I6" s="582"/>
      <c r="J6" s="582"/>
    </row>
    <row r="7" spans="1:10">
      <c r="A7" s="13"/>
      <c r="B7" s="13"/>
      <c r="C7" s="13"/>
      <c r="D7" s="13"/>
      <c r="E7" s="13"/>
      <c r="F7" s="13"/>
      <c r="G7" s="13"/>
      <c r="H7" s="13"/>
      <c r="I7" s="13"/>
      <c r="J7" s="13"/>
    </row>
    <row r="8" spans="1:10" ht="25.5">
      <c r="A8" s="13" t="s">
        <v>918</v>
      </c>
      <c r="B8" s="13"/>
      <c r="C8" s="13"/>
      <c r="D8" s="13"/>
      <c r="E8" s="13"/>
      <c r="F8" s="13"/>
      <c r="G8" s="13"/>
      <c r="H8" s="13"/>
      <c r="I8" s="13"/>
      <c r="J8" s="13"/>
    </row>
    <row r="9" spans="1:10">
      <c r="A9" s="50" t="s">
        <v>142</v>
      </c>
      <c r="B9" s="50" t="s">
        <v>275</v>
      </c>
      <c r="C9" s="50" t="s">
        <v>884</v>
      </c>
      <c r="D9" s="50" t="s">
        <v>885</v>
      </c>
      <c r="E9" s="50" t="s">
        <v>886</v>
      </c>
      <c r="F9" s="50" t="s">
        <v>887</v>
      </c>
      <c r="G9" s="50" t="s">
        <v>888</v>
      </c>
      <c r="H9" s="50" t="s">
        <v>77</v>
      </c>
      <c r="I9" s="50" t="s">
        <v>889</v>
      </c>
      <c r="J9" s="50" t="s">
        <v>11</v>
      </c>
    </row>
    <row r="10" spans="1:10" ht="51">
      <c r="A10" s="13" t="s">
        <v>1778</v>
      </c>
      <c r="B10" s="13" t="s">
        <v>1783</v>
      </c>
      <c r="C10" s="13" t="s">
        <v>923</v>
      </c>
      <c r="D10" s="13" t="s">
        <v>1784</v>
      </c>
      <c r="E10" s="13" t="s">
        <v>1473</v>
      </c>
      <c r="F10" s="13">
        <v>2</v>
      </c>
      <c r="G10" s="13">
        <v>0</v>
      </c>
      <c r="H10" s="13" t="s">
        <v>677</v>
      </c>
      <c r="I10" s="13" t="s">
        <v>1785</v>
      </c>
      <c r="J10" s="13" t="s">
        <v>1786</v>
      </c>
    </row>
    <row r="11" spans="1:10" ht="63.75">
      <c r="A11" s="13" t="s">
        <v>1778</v>
      </c>
      <c r="B11" s="13" t="s">
        <v>1787</v>
      </c>
      <c r="C11" s="13" t="s">
        <v>923</v>
      </c>
      <c r="D11" s="13" t="s">
        <v>1788</v>
      </c>
      <c r="E11" s="13" t="s">
        <v>1789</v>
      </c>
      <c r="F11" s="13">
        <v>1</v>
      </c>
      <c r="G11" s="13">
        <v>0</v>
      </c>
      <c r="H11" s="13" t="s">
        <v>677</v>
      </c>
      <c r="I11" s="13" t="s">
        <v>1790</v>
      </c>
      <c r="J11" s="13" t="s">
        <v>1791</v>
      </c>
    </row>
    <row r="12" spans="1:10" ht="63.75">
      <c r="A12" s="13" t="s">
        <v>1778</v>
      </c>
      <c r="B12" s="13" t="s">
        <v>406</v>
      </c>
      <c r="C12" s="13" t="s">
        <v>933</v>
      </c>
      <c r="D12" s="13" t="s">
        <v>1792</v>
      </c>
      <c r="E12" s="13" t="s">
        <v>356</v>
      </c>
      <c r="F12" s="13">
        <v>2</v>
      </c>
      <c r="G12" s="13">
        <v>0</v>
      </c>
      <c r="H12" s="13" t="s">
        <v>677</v>
      </c>
      <c r="I12" s="13" t="s">
        <v>1793</v>
      </c>
      <c r="J12" s="13" t="s">
        <v>1794</v>
      </c>
    </row>
    <row r="13" spans="1:10">
      <c r="A13" s="13"/>
      <c r="B13" s="13"/>
      <c r="C13" s="13"/>
      <c r="D13" s="13"/>
      <c r="E13" s="13"/>
      <c r="F13" s="13"/>
      <c r="G13" s="13"/>
      <c r="H13" s="13"/>
      <c r="I13" s="13"/>
      <c r="J13" s="13"/>
    </row>
    <row r="14" spans="1:10" ht="25.5">
      <c r="A14" s="13" t="s">
        <v>936</v>
      </c>
      <c r="B14" s="13"/>
      <c r="C14" s="13"/>
      <c r="D14" s="13"/>
      <c r="E14" s="13"/>
      <c r="F14" s="13"/>
      <c r="G14" s="13"/>
      <c r="H14" s="13"/>
      <c r="I14" s="13"/>
      <c r="J14" s="13"/>
    </row>
    <row r="15" spans="1:10">
      <c r="A15" s="50" t="s">
        <v>275</v>
      </c>
      <c r="B15" s="50" t="s">
        <v>937</v>
      </c>
      <c r="C15" s="50" t="s">
        <v>938</v>
      </c>
      <c r="D15" s="50" t="s">
        <v>939</v>
      </c>
      <c r="E15" s="50" t="s">
        <v>940</v>
      </c>
      <c r="F15" s="50" t="s">
        <v>941</v>
      </c>
      <c r="G15" s="50" t="s">
        <v>942</v>
      </c>
      <c r="H15" s="50" t="s">
        <v>943</v>
      </c>
      <c r="I15" s="50" t="s">
        <v>899</v>
      </c>
      <c r="J15" s="50" t="s">
        <v>944</v>
      </c>
    </row>
    <row r="16" spans="1:10" ht="38.25">
      <c r="A16" s="13" t="s">
        <v>1783</v>
      </c>
      <c r="B16" s="13" t="s">
        <v>677</v>
      </c>
      <c r="C16" s="13" t="s">
        <v>677</v>
      </c>
      <c r="D16" s="13" t="s">
        <v>677</v>
      </c>
      <c r="E16" s="13" t="s">
        <v>677</v>
      </c>
      <c r="F16" s="13" t="s">
        <v>677</v>
      </c>
      <c r="G16" s="13" t="s">
        <v>677</v>
      </c>
      <c r="H16" s="13" t="s">
        <v>677</v>
      </c>
      <c r="I16" s="13" t="s">
        <v>677</v>
      </c>
      <c r="J16" s="13" t="s">
        <v>1795</v>
      </c>
    </row>
    <row r="17" spans="1:10" ht="51">
      <c r="A17" s="13" t="s">
        <v>1787</v>
      </c>
      <c r="B17" s="13" t="s">
        <v>677</v>
      </c>
      <c r="C17" s="13" t="s">
        <v>677</v>
      </c>
      <c r="D17" s="13" t="s">
        <v>677</v>
      </c>
      <c r="E17" s="13" t="s">
        <v>677</v>
      </c>
      <c r="F17" s="13" t="s">
        <v>677</v>
      </c>
      <c r="G17" s="13" t="s">
        <v>677</v>
      </c>
      <c r="H17" s="13" t="s">
        <v>677</v>
      </c>
      <c r="I17" s="13" t="s">
        <v>677</v>
      </c>
      <c r="J17" s="13" t="s">
        <v>1796</v>
      </c>
    </row>
    <row r="18" spans="1:10" ht="63.75">
      <c r="A18" s="13" t="s">
        <v>406</v>
      </c>
      <c r="B18" s="13" t="s">
        <v>677</v>
      </c>
      <c r="C18" s="13" t="s">
        <v>677</v>
      </c>
      <c r="D18" s="13" t="s">
        <v>677</v>
      </c>
      <c r="E18" s="13" t="s">
        <v>677</v>
      </c>
      <c r="F18" s="13" t="s">
        <v>677</v>
      </c>
      <c r="G18" s="13" t="s">
        <v>677</v>
      </c>
      <c r="H18" s="13" t="s">
        <v>677</v>
      </c>
      <c r="I18" s="13" t="s">
        <v>677</v>
      </c>
      <c r="J18" s="13" t="s">
        <v>1797</v>
      </c>
    </row>
    <row r="19" spans="1:10">
      <c r="A19" s="13"/>
      <c r="B19" s="13"/>
      <c r="C19" s="13"/>
      <c r="D19" s="13"/>
      <c r="E19" s="13"/>
      <c r="F19" s="13"/>
      <c r="G19" s="13"/>
      <c r="H19" s="13"/>
      <c r="I19" s="13"/>
      <c r="J19" s="13"/>
    </row>
    <row r="20" spans="1:10" ht="25.5">
      <c r="A20" s="13" t="s">
        <v>951</v>
      </c>
      <c r="B20" s="13"/>
      <c r="C20" s="13"/>
      <c r="D20" s="13"/>
      <c r="E20" s="13"/>
      <c r="F20" s="13"/>
      <c r="G20" s="13"/>
      <c r="H20" s="13"/>
      <c r="I20" s="13"/>
      <c r="J20" s="13"/>
    </row>
    <row r="21" spans="1:10">
      <c r="A21" s="50" t="s">
        <v>275</v>
      </c>
      <c r="B21" s="50" t="s">
        <v>952</v>
      </c>
      <c r="C21" s="50" t="s">
        <v>953</v>
      </c>
      <c r="D21" s="50" t="s">
        <v>954</v>
      </c>
      <c r="E21" s="50" t="s">
        <v>955</v>
      </c>
      <c r="F21" s="50" t="s">
        <v>956</v>
      </c>
      <c r="G21" s="50" t="s">
        <v>957</v>
      </c>
      <c r="H21" s="50" t="s">
        <v>958</v>
      </c>
      <c r="I21" s="50" t="s">
        <v>899</v>
      </c>
      <c r="J21" s="50" t="s">
        <v>959</v>
      </c>
    </row>
    <row r="22" spans="1:10" ht="38.25">
      <c r="A22" s="13" t="s">
        <v>1783</v>
      </c>
      <c r="B22" s="13" t="s">
        <v>677</v>
      </c>
      <c r="C22" s="13" t="s">
        <v>679</v>
      </c>
      <c r="D22" s="13" t="s">
        <v>677</v>
      </c>
      <c r="E22" s="13" t="s">
        <v>677</v>
      </c>
      <c r="F22" s="13" t="s">
        <v>677</v>
      </c>
      <c r="G22" s="13" t="s">
        <v>677</v>
      </c>
      <c r="H22" s="13" t="s">
        <v>677</v>
      </c>
      <c r="I22" s="13" t="s">
        <v>677</v>
      </c>
      <c r="J22" s="13" t="s">
        <v>1798</v>
      </c>
    </row>
    <row r="23" spans="1:10" ht="51">
      <c r="A23" s="13" t="s">
        <v>1787</v>
      </c>
      <c r="B23" s="13" t="s">
        <v>677</v>
      </c>
      <c r="C23" s="13" t="s">
        <v>677</v>
      </c>
      <c r="D23" s="13" t="s">
        <v>677</v>
      </c>
      <c r="E23" s="13" t="s">
        <v>677</v>
      </c>
      <c r="F23" s="13" t="s">
        <v>677</v>
      </c>
      <c r="G23" s="13" t="s">
        <v>677</v>
      </c>
      <c r="H23" s="13" t="s">
        <v>677</v>
      </c>
      <c r="I23" s="13" t="s">
        <v>677</v>
      </c>
      <c r="J23" s="13" t="s">
        <v>1799</v>
      </c>
    </row>
    <row r="24" spans="1:10" ht="63.75">
      <c r="A24" s="13" t="s">
        <v>406</v>
      </c>
      <c r="B24" s="13" t="s">
        <v>677</v>
      </c>
      <c r="C24" s="13" t="s">
        <v>677</v>
      </c>
      <c r="D24" s="13" t="s">
        <v>677</v>
      </c>
      <c r="E24" s="13" t="s">
        <v>677</v>
      </c>
      <c r="F24" s="13" t="s">
        <v>677</v>
      </c>
      <c r="G24" s="13" t="s">
        <v>677</v>
      </c>
      <c r="H24" s="13" t="s">
        <v>677</v>
      </c>
      <c r="I24" s="13" t="s">
        <v>677</v>
      </c>
      <c r="J24" s="13" t="s">
        <v>1800</v>
      </c>
    </row>
    <row r="25" spans="1:10">
      <c r="A25" s="13"/>
      <c r="B25" s="13"/>
      <c r="C25" s="13"/>
      <c r="D25" s="13"/>
      <c r="E25" s="13"/>
      <c r="F25" s="13"/>
      <c r="G25" s="13"/>
      <c r="H25" s="13"/>
      <c r="I25" s="13"/>
      <c r="J25" s="13"/>
    </row>
    <row r="26" spans="1:10">
      <c r="A26" s="13" t="s">
        <v>964</v>
      </c>
      <c r="B26" s="13"/>
      <c r="C26" s="13"/>
      <c r="D26" s="13"/>
      <c r="E26" s="13"/>
      <c r="F26" s="13"/>
      <c r="G26" s="13"/>
      <c r="H26" s="13"/>
      <c r="I26" s="13"/>
      <c r="J26" s="13"/>
    </row>
    <row r="27" spans="1:10">
      <c r="A27" s="50" t="s">
        <v>275</v>
      </c>
      <c r="B27" s="50" t="s">
        <v>965</v>
      </c>
      <c r="C27" s="50" t="s">
        <v>966</v>
      </c>
      <c r="D27" s="50" t="s">
        <v>967</v>
      </c>
      <c r="E27" s="50" t="s">
        <v>968</v>
      </c>
      <c r="F27" s="50" t="s">
        <v>969</v>
      </c>
      <c r="G27" s="50" t="s">
        <v>970</v>
      </c>
      <c r="H27" s="50" t="s">
        <v>971</v>
      </c>
      <c r="I27" s="50" t="s">
        <v>899</v>
      </c>
      <c r="J27" s="50" t="s">
        <v>959</v>
      </c>
    </row>
    <row r="28" spans="1:10" ht="38.25">
      <c r="A28" s="13" t="s">
        <v>1783</v>
      </c>
      <c r="B28" s="13" t="s">
        <v>988</v>
      </c>
      <c r="C28" s="13" t="s">
        <v>677</v>
      </c>
      <c r="D28" s="13" t="s">
        <v>677</v>
      </c>
      <c r="E28" s="13" t="s">
        <v>677</v>
      </c>
      <c r="F28" s="13" t="s">
        <v>677</v>
      </c>
      <c r="G28" s="13" t="s">
        <v>677</v>
      </c>
      <c r="H28" s="13" t="s">
        <v>677</v>
      </c>
      <c r="I28" s="13" t="s">
        <v>677</v>
      </c>
      <c r="J28" s="13" t="s">
        <v>1801</v>
      </c>
    </row>
    <row r="29" spans="1:10" ht="38.25">
      <c r="A29" s="13" t="s">
        <v>1787</v>
      </c>
      <c r="B29" s="13" t="s">
        <v>1238</v>
      </c>
      <c r="C29" s="13" t="s">
        <v>677</v>
      </c>
      <c r="D29" s="13" t="s">
        <v>677</v>
      </c>
      <c r="E29" s="13" t="s">
        <v>677</v>
      </c>
      <c r="F29" s="13" t="s">
        <v>677</v>
      </c>
      <c r="G29" s="13" t="s">
        <v>677</v>
      </c>
      <c r="H29" s="13" t="s">
        <v>677</v>
      </c>
      <c r="I29" s="13" t="s">
        <v>677</v>
      </c>
      <c r="J29" s="13" t="s">
        <v>1802</v>
      </c>
    </row>
    <row r="30" spans="1:10" ht="63.75">
      <c r="A30" s="13" t="s">
        <v>406</v>
      </c>
      <c r="B30" s="13" t="s">
        <v>1589</v>
      </c>
      <c r="C30" s="13" t="s">
        <v>677</v>
      </c>
      <c r="D30" s="13" t="s">
        <v>677</v>
      </c>
      <c r="E30" s="13" t="s">
        <v>677</v>
      </c>
      <c r="F30" s="13" t="s">
        <v>677</v>
      </c>
      <c r="G30" s="13" t="s">
        <v>677</v>
      </c>
      <c r="H30" s="13" t="s">
        <v>677</v>
      </c>
      <c r="I30" s="13" t="s">
        <v>677</v>
      </c>
      <c r="J30" s="13" t="s">
        <v>1803</v>
      </c>
    </row>
    <row r="31" spans="1:10">
      <c r="A31" s="13"/>
      <c r="B31" s="13"/>
      <c r="C31" s="13"/>
      <c r="D31" s="13"/>
      <c r="E31" s="13"/>
      <c r="F31" s="13"/>
      <c r="G31" s="13"/>
      <c r="H31" s="13"/>
      <c r="I31" s="13"/>
      <c r="J31" s="13"/>
    </row>
    <row r="32" spans="1:10" ht="25.5">
      <c r="A32" s="13" t="s">
        <v>977</v>
      </c>
      <c r="B32" s="13"/>
      <c r="C32" s="13"/>
      <c r="D32" s="13"/>
      <c r="E32" s="13"/>
      <c r="F32" s="13"/>
      <c r="G32" s="13"/>
      <c r="H32" s="13"/>
      <c r="I32" s="13"/>
      <c r="J32" s="13"/>
    </row>
    <row r="33" spans="1:10">
      <c r="A33" s="50" t="s">
        <v>275</v>
      </c>
      <c r="B33" s="50" t="s">
        <v>978</v>
      </c>
      <c r="C33" s="50" t="s">
        <v>979</v>
      </c>
      <c r="D33" s="50" t="s">
        <v>980</v>
      </c>
      <c r="E33" s="50" t="s">
        <v>981</v>
      </c>
      <c r="F33" s="50" t="s">
        <v>982</v>
      </c>
      <c r="G33" s="50" t="s">
        <v>983</v>
      </c>
      <c r="H33" s="50" t="s">
        <v>984</v>
      </c>
      <c r="I33" s="50" t="s">
        <v>899</v>
      </c>
      <c r="J33" s="50" t="s">
        <v>11</v>
      </c>
    </row>
    <row r="34" spans="1:10" ht="51">
      <c r="A34" s="13" t="s">
        <v>1783</v>
      </c>
      <c r="B34" s="13" t="s">
        <v>988</v>
      </c>
      <c r="C34" s="13" t="s">
        <v>1485</v>
      </c>
      <c r="D34" s="13" t="s">
        <v>988</v>
      </c>
      <c r="E34" s="13" t="s">
        <v>677</v>
      </c>
      <c r="F34" s="13" t="s">
        <v>677</v>
      </c>
      <c r="G34" s="13" t="s">
        <v>677</v>
      </c>
      <c r="H34" s="13" t="s">
        <v>677</v>
      </c>
      <c r="I34" s="13" t="s">
        <v>677</v>
      </c>
      <c r="J34" s="13" t="s">
        <v>1804</v>
      </c>
    </row>
    <row r="35" spans="1:10" ht="51">
      <c r="A35" s="13" t="s">
        <v>1787</v>
      </c>
      <c r="B35" s="13" t="s">
        <v>677</v>
      </c>
      <c r="C35" s="13" t="s">
        <v>1805</v>
      </c>
      <c r="D35" s="13" t="s">
        <v>677</v>
      </c>
      <c r="E35" s="13" t="s">
        <v>677</v>
      </c>
      <c r="F35" s="13" t="s">
        <v>1806</v>
      </c>
      <c r="G35" s="13" t="s">
        <v>677</v>
      </c>
      <c r="H35" s="13" t="s">
        <v>677</v>
      </c>
      <c r="I35" s="13" t="s">
        <v>677</v>
      </c>
      <c r="J35" s="13" t="s">
        <v>1807</v>
      </c>
    </row>
    <row r="36" spans="1:10" ht="76.5">
      <c r="A36" s="13" t="s">
        <v>406</v>
      </c>
      <c r="B36" s="13" t="s">
        <v>677</v>
      </c>
      <c r="C36" s="13" t="s">
        <v>1592</v>
      </c>
      <c r="D36" s="13" t="s">
        <v>677</v>
      </c>
      <c r="E36" s="13" t="s">
        <v>677</v>
      </c>
      <c r="F36" s="13" t="s">
        <v>1808</v>
      </c>
      <c r="G36" s="13" t="s">
        <v>677</v>
      </c>
      <c r="H36" s="13" t="s">
        <v>677</v>
      </c>
      <c r="I36" s="13" t="s">
        <v>677</v>
      </c>
      <c r="J36" s="13" t="s">
        <v>1809</v>
      </c>
    </row>
    <row r="37" spans="1:10">
      <c r="A37" s="13"/>
      <c r="B37" s="13"/>
      <c r="C37" s="13"/>
      <c r="D37" s="13"/>
      <c r="E37" s="13"/>
      <c r="F37" s="13"/>
      <c r="G37" s="13"/>
      <c r="H37" s="13"/>
      <c r="I37" s="13"/>
      <c r="J37" s="13"/>
    </row>
    <row r="38" spans="1:10" ht="38.25">
      <c r="A38" s="13" t="s">
        <v>994</v>
      </c>
      <c r="B38" s="13"/>
      <c r="C38" s="13"/>
      <c r="D38" s="13"/>
      <c r="E38" s="13"/>
      <c r="F38" s="13"/>
      <c r="G38" s="13"/>
      <c r="H38" s="13"/>
      <c r="I38" s="13"/>
      <c r="J38" s="13"/>
    </row>
    <row r="39" spans="1:10">
      <c r="A39" s="50" t="s">
        <v>275</v>
      </c>
      <c r="B39" s="50" t="s">
        <v>995</v>
      </c>
      <c r="C39" s="50" t="s">
        <v>996</v>
      </c>
      <c r="D39" s="50" t="s">
        <v>997</v>
      </c>
      <c r="E39" s="50" t="s">
        <v>998</v>
      </c>
      <c r="F39" s="50" t="s">
        <v>999</v>
      </c>
      <c r="G39" s="50" t="s">
        <v>1000</v>
      </c>
      <c r="H39" s="50" t="s">
        <v>1001</v>
      </c>
      <c r="I39" s="50" t="s">
        <v>899</v>
      </c>
      <c r="J39" s="50" t="s">
        <v>11</v>
      </c>
    </row>
    <row r="40" spans="1:10" ht="51">
      <c r="A40" s="13" t="s">
        <v>1783</v>
      </c>
      <c r="B40" s="13" t="s">
        <v>988</v>
      </c>
      <c r="C40" s="13" t="s">
        <v>1487</v>
      </c>
      <c r="D40" s="13" t="s">
        <v>988</v>
      </c>
      <c r="E40" s="13" t="s">
        <v>677</v>
      </c>
      <c r="F40" s="13" t="s">
        <v>677</v>
      </c>
      <c r="G40" s="13" t="s">
        <v>677</v>
      </c>
      <c r="H40" s="13" t="s">
        <v>677</v>
      </c>
      <c r="I40" s="13" t="s">
        <v>677</v>
      </c>
      <c r="J40" s="13" t="s">
        <v>1810</v>
      </c>
    </row>
    <row r="41" spans="1:10" ht="51">
      <c r="A41" s="13" t="s">
        <v>1787</v>
      </c>
      <c r="B41" s="13" t="s">
        <v>677</v>
      </c>
      <c r="C41" s="13" t="s">
        <v>1487</v>
      </c>
      <c r="D41" s="13" t="s">
        <v>677</v>
      </c>
      <c r="E41" s="13" t="s">
        <v>677</v>
      </c>
      <c r="F41" s="13" t="s">
        <v>677</v>
      </c>
      <c r="G41" s="13" t="s">
        <v>677</v>
      </c>
      <c r="H41" s="13" t="s">
        <v>677</v>
      </c>
      <c r="I41" s="13" t="s">
        <v>677</v>
      </c>
      <c r="J41" s="13" t="s">
        <v>1811</v>
      </c>
    </row>
    <row r="42" spans="1:10" ht="76.5">
      <c r="A42" s="13" t="s">
        <v>406</v>
      </c>
      <c r="B42" s="13" t="s">
        <v>677</v>
      </c>
      <c r="C42" s="13" t="s">
        <v>677</v>
      </c>
      <c r="D42" s="13" t="s">
        <v>677</v>
      </c>
      <c r="E42" s="13" t="s">
        <v>677</v>
      </c>
      <c r="F42" s="13" t="s">
        <v>677</v>
      </c>
      <c r="G42" s="13" t="s">
        <v>677</v>
      </c>
      <c r="H42" s="13" t="s">
        <v>677</v>
      </c>
      <c r="I42" s="13" t="s">
        <v>677</v>
      </c>
      <c r="J42" s="13" t="s">
        <v>1812</v>
      </c>
    </row>
    <row r="43" spans="1:10">
      <c r="A43" s="13"/>
      <c r="B43" s="13"/>
      <c r="C43" s="13"/>
      <c r="D43" s="13"/>
      <c r="E43" s="13"/>
      <c r="F43" s="13"/>
      <c r="G43" s="13"/>
      <c r="H43" s="13"/>
      <c r="I43" s="13"/>
      <c r="J43" s="13"/>
    </row>
    <row r="44" spans="1:10" ht="25.5">
      <c r="A44" s="13" t="s">
        <v>1007</v>
      </c>
      <c r="B44" s="13"/>
      <c r="C44" s="13"/>
      <c r="D44" s="13"/>
      <c r="E44" s="13"/>
      <c r="F44" s="13"/>
      <c r="G44" s="13"/>
      <c r="H44" s="13"/>
      <c r="I44" s="13"/>
      <c r="J44" s="13"/>
    </row>
    <row r="45" spans="1:10">
      <c r="A45" s="50" t="s">
        <v>275</v>
      </c>
      <c r="B45" s="50" t="s">
        <v>1008</v>
      </c>
      <c r="C45" s="50" t="s">
        <v>1009</v>
      </c>
      <c r="D45" s="50" t="s">
        <v>1010</v>
      </c>
      <c r="E45" s="50" t="s">
        <v>1011</v>
      </c>
      <c r="F45" s="50" t="s">
        <v>1012</v>
      </c>
      <c r="G45" s="50" t="s">
        <v>1013</v>
      </c>
      <c r="H45" s="50" t="s">
        <v>1014</v>
      </c>
      <c r="I45" s="50" t="s">
        <v>899</v>
      </c>
      <c r="J45" s="50" t="s">
        <v>11</v>
      </c>
    </row>
    <row r="46" spans="1:10" ht="38.25">
      <c r="A46" s="13" t="s">
        <v>1783</v>
      </c>
      <c r="B46" s="13" t="s">
        <v>677</v>
      </c>
      <c r="C46" s="13" t="s">
        <v>677</v>
      </c>
      <c r="D46" s="13" t="s">
        <v>677</v>
      </c>
      <c r="E46" s="13" t="s">
        <v>677</v>
      </c>
      <c r="F46" s="13" t="s">
        <v>677</v>
      </c>
      <c r="G46" s="13" t="s">
        <v>677</v>
      </c>
      <c r="H46" s="13" t="s">
        <v>677</v>
      </c>
      <c r="I46" s="13" t="s">
        <v>677</v>
      </c>
      <c r="J46" s="13" t="s">
        <v>1600</v>
      </c>
    </row>
    <row r="47" spans="1:10" ht="38.25">
      <c r="A47" s="13" t="s">
        <v>1787</v>
      </c>
      <c r="B47" s="13" t="s">
        <v>677</v>
      </c>
      <c r="C47" s="13" t="s">
        <v>677</v>
      </c>
      <c r="D47" s="13" t="s">
        <v>677</v>
      </c>
      <c r="E47" s="13" t="s">
        <v>677</v>
      </c>
      <c r="F47" s="13" t="s">
        <v>677</v>
      </c>
      <c r="G47" s="13" t="s">
        <v>677</v>
      </c>
      <c r="H47" s="13" t="s">
        <v>677</v>
      </c>
      <c r="I47" s="13" t="s">
        <v>677</v>
      </c>
      <c r="J47" s="13" t="s">
        <v>1813</v>
      </c>
    </row>
    <row r="48" spans="1:10" ht="63.75">
      <c r="A48" s="13" t="s">
        <v>406</v>
      </c>
      <c r="B48" s="13" t="s">
        <v>677</v>
      </c>
      <c r="C48" s="13" t="s">
        <v>677</v>
      </c>
      <c r="D48" s="13" t="s">
        <v>677</v>
      </c>
      <c r="E48" s="13" t="s">
        <v>677</v>
      </c>
      <c r="F48" s="13" t="s">
        <v>677</v>
      </c>
      <c r="G48" s="13" t="s">
        <v>677</v>
      </c>
      <c r="H48" s="13" t="s">
        <v>677</v>
      </c>
      <c r="I48" s="13" t="s">
        <v>677</v>
      </c>
      <c r="J48" s="13" t="s">
        <v>1814</v>
      </c>
    </row>
    <row r="49" spans="1:10">
      <c r="A49" s="13"/>
      <c r="B49" s="13"/>
      <c r="C49" s="13"/>
      <c r="D49" s="13"/>
      <c r="E49" s="13"/>
      <c r="F49" s="13"/>
      <c r="G49" s="13"/>
      <c r="H49" s="13"/>
      <c r="I49" s="13"/>
      <c r="J49" s="13"/>
    </row>
    <row r="50" spans="1:10">
      <c r="A50" s="13" t="s">
        <v>1019</v>
      </c>
      <c r="B50" s="13"/>
      <c r="C50" s="13"/>
      <c r="D50" s="13"/>
      <c r="E50" s="13"/>
      <c r="F50" s="13"/>
      <c r="G50" s="13"/>
      <c r="H50" s="13"/>
      <c r="I50" s="13"/>
      <c r="J50" s="13"/>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1815</v>
      </c>
      <c r="B52" s="13" t="s">
        <v>575</v>
      </c>
      <c r="C52" s="13" t="s">
        <v>1816</v>
      </c>
      <c r="D52" s="13" t="s">
        <v>391</v>
      </c>
      <c r="E52" s="13" t="s">
        <v>488</v>
      </c>
      <c r="F52" s="13">
        <v>6</v>
      </c>
      <c r="G52" s="13" t="s">
        <v>1381</v>
      </c>
      <c r="H52" s="13" t="s">
        <v>1023</v>
      </c>
      <c r="I52" s="13" t="s">
        <v>502</v>
      </c>
      <c r="J52" s="13" t="s">
        <v>1817</v>
      </c>
    </row>
    <row r="53" spans="1:10" ht="51">
      <c r="A53" s="13" t="s">
        <v>1818</v>
      </c>
      <c r="B53" s="13" t="s">
        <v>1783</v>
      </c>
      <c r="C53" s="13" t="s">
        <v>1819</v>
      </c>
      <c r="D53" s="13" t="s">
        <v>492</v>
      </c>
      <c r="E53" s="13" t="s">
        <v>488</v>
      </c>
      <c r="F53" s="13">
        <v>8</v>
      </c>
      <c r="G53" s="13" t="s">
        <v>1820</v>
      </c>
      <c r="H53" s="13" t="s">
        <v>584</v>
      </c>
      <c r="I53" s="13" t="s">
        <v>502</v>
      </c>
      <c r="J53" s="13" t="s">
        <v>1821</v>
      </c>
    </row>
    <row r="54" spans="1:10" ht="76.5">
      <c r="A54" s="13" t="s">
        <v>1822</v>
      </c>
      <c r="B54" s="13" t="s">
        <v>1787</v>
      </c>
      <c r="C54" s="13" t="s">
        <v>1823</v>
      </c>
      <c r="D54" s="13" t="s">
        <v>391</v>
      </c>
      <c r="E54" s="13" t="s">
        <v>488</v>
      </c>
      <c r="F54" s="13">
        <v>6</v>
      </c>
      <c r="G54" s="13" t="s">
        <v>1824</v>
      </c>
      <c r="H54" s="13" t="s">
        <v>1505</v>
      </c>
      <c r="I54" s="13" t="s">
        <v>502</v>
      </c>
      <c r="J54" s="13" t="s">
        <v>1825</v>
      </c>
    </row>
    <row r="55" spans="1:10" ht="89.25">
      <c r="A55" s="13" t="s">
        <v>1826</v>
      </c>
      <c r="B55" s="13" t="s">
        <v>406</v>
      </c>
      <c r="C55" s="13" t="s">
        <v>1827</v>
      </c>
      <c r="D55" s="13" t="s">
        <v>391</v>
      </c>
      <c r="E55" s="13" t="s">
        <v>488</v>
      </c>
      <c r="F55" s="13">
        <v>6</v>
      </c>
      <c r="G55" s="13" t="s">
        <v>1828</v>
      </c>
      <c r="H55" s="13" t="s">
        <v>1617</v>
      </c>
      <c r="I55" s="13" t="s">
        <v>502</v>
      </c>
      <c r="J55" s="13" t="s">
        <v>1829</v>
      </c>
    </row>
    <row r="56" spans="1:10" ht="76.5">
      <c r="A56" s="13" t="s">
        <v>1830</v>
      </c>
      <c r="B56" s="13" t="s">
        <v>406</v>
      </c>
      <c r="C56" s="13" t="s">
        <v>1721</v>
      </c>
      <c r="D56" s="13" t="s">
        <v>492</v>
      </c>
      <c r="E56" s="13" t="s">
        <v>488</v>
      </c>
      <c r="F56" s="13">
        <v>8</v>
      </c>
      <c r="G56" s="13" t="s">
        <v>1831</v>
      </c>
      <c r="H56" s="13" t="s">
        <v>592</v>
      </c>
      <c r="I56" s="13" t="s">
        <v>502</v>
      </c>
      <c r="J56" s="13" t="s">
        <v>1832</v>
      </c>
    </row>
    <row r="57" spans="1:10" ht="89.25">
      <c r="A57" s="13" t="s">
        <v>1833</v>
      </c>
      <c r="B57" s="13" t="s">
        <v>575</v>
      </c>
      <c r="C57" s="13" t="s">
        <v>1725</v>
      </c>
      <c r="D57" s="13" t="s">
        <v>391</v>
      </c>
      <c r="E57" s="13" t="s">
        <v>488</v>
      </c>
      <c r="F57" s="13">
        <v>6</v>
      </c>
      <c r="G57" s="13" t="s">
        <v>1834</v>
      </c>
      <c r="H57" s="13" t="s">
        <v>1032</v>
      </c>
      <c r="I57" s="13" t="s">
        <v>502</v>
      </c>
      <c r="J57" s="13" t="s">
        <v>1835</v>
      </c>
    </row>
    <row r="58" spans="1:10" ht="89.25">
      <c r="A58" s="13" t="s">
        <v>1836</v>
      </c>
      <c r="B58" s="13" t="s">
        <v>575</v>
      </c>
      <c r="C58" s="13" t="s">
        <v>1733</v>
      </c>
      <c r="D58" s="13" t="s">
        <v>492</v>
      </c>
      <c r="E58" s="13" t="s">
        <v>488</v>
      </c>
      <c r="F58" s="13">
        <v>8</v>
      </c>
      <c r="G58" s="13" t="s">
        <v>1837</v>
      </c>
      <c r="H58" s="13" t="s">
        <v>1403</v>
      </c>
      <c r="I58" s="13" t="s">
        <v>502</v>
      </c>
      <c r="J58" s="13" t="s">
        <v>1627</v>
      </c>
    </row>
    <row r="59" spans="1:10" ht="63.75">
      <c r="A59" s="13" t="s">
        <v>1838</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ht="25.5">
      <c r="A61" s="13" t="s">
        <v>1051</v>
      </c>
      <c r="B61" s="13"/>
      <c r="C61" s="13"/>
      <c r="D61" s="13"/>
      <c r="E61" s="13"/>
      <c r="F61" s="13"/>
      <c r="G61" s="13"/>
      <c r="H61" s="13"/>
      <c r="I61" s="13"/>
      <c r="J61" s="13"/>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1840</v>
      </c>
      <c r="B63" s="13" t="s">
        <v>1841</v>
      </c>
      <c r="C63" s="13" t="s">
        <v>579</v>
      </c>
      <c r="D63" s="13" t="s">
        <v>502</v>
      </c>
      <c r="E63" s="13"/>
      <c r="F63" s="13"/>
      <c r="G63" s="13" t="s">
        <v>1842</v>
      </c>
      <c r="H63" s="13"/>
      <c r="I63" s="13"/>
      <c r="J63" s="13"/>
    </row>
    <row r="64" spans="1:10" ht="51">
      <c r="A64" s="13" t="s">
        <v>1843</v>
      </c>
      <c r="B64" s="13" t="s">
        <v>1844</v>
      </c>
      <c r="C64" s="13" t="s">
        <v>587</v>
      </c>
      <c r="D64" s="13" t="s">
        <v>502</v>
      </c>
      <c r="E64" s="13"/>
      <c r="F64" s="13"/>
      <c r="G64" s="13" t="s">
        <v>1421</v>
      </c>
      <c r="H64" s="13"/>
      <c r="I64" s="13"/>
      <c r="J64" s="13"/>
    </row>
    <row r="65" spans="1:10" ht="76.5">
      <c r="A65" s="13" t="s">
        <v>1845</v>
      </c>
      <c r="B65" s="13" t="s">
        <v>1846</v>
      </c>
      <c r="C65" s="13" t="s">
        <v>1847</v>
      </c>
      <c r="D65" s="13" t="s">
        <v>502</v>
      </c>
      <c r="E65" s="13"/>
      <c r="F65" s="13"/>
      <c r="G65" s="13" t="s">
        <v>1848</v>
      </c>
      <c r="H65" s="13"/>
      <c r="I65" s="13"/>
      <c r="J65" s="13"/>
    </row>
    <row r="66" spans="1:10" ht="63.75">
      <c r="A66" s="13" t="s">
        <v>1849</v>
      </c>
      <c r="B66" s="13" t="s">
        <v>1850</v>
      </c>
      <c r="C66" s="13" t="s">
        <v>601</v>
      </c>
      <c r="D66" s="13" t="s">
        <v>502</v>
      </c>
      <c r="E66" s="13"/>
      <c r="F66" s="13"/>
      <c r="G66" s="13" t="s">
        <v>602</v>
      </c>
      <c r="H66" s="13"/>
      <c r="I66" s="13"/>
      <c r="J66" s="13"/>
    </row>
    <row r="67" spans="1:10" ht="76.5">
      <c r="A67" s="13" t="s">
        <v>1851</v>
      </c>
      <c r="B67" s="13" t="s">
        <v>1852</v>
      </c>
      <c r="C67" s="13" t="s">
        <v>609</v>
      </c>
      <c r="D67" s="13" t="s">
        <v>502</v>
      </c>
      <c r="E67" s="13"/>
      <c r="F67" s="13"/>
      <c r="G67" s="13" t="s">
        <v>1418</v>
      </c>
      <c r="H67" s="13"/>
      <c r="I67" s="13"/>
      <c r="J67" s="13"/>
    </row>
    <row r="68" spans="1:10" ht="76.5">
      <c r="A68" s="13" t="s">
        <v>1853</v>
      </c>
      <c r="B68" s="13" t="s">
        <v>1854</v>
      </c>
      <c r="C68" s="13" t="s">
        <v>616</v>
      </c>
      <c r="D68" s="13" t="s">
        <v>502</v>
      </c>
      <c r="E68" s="13"/>
      <c r="F68" s="13"/>
      <c r="G68" s="13" t="s">
        <v>617</v>
      </c>
      <c r="H68" s="13"/>
      <c r="I68" s="13"/>
      <c r="J68" s="13"/>
    </row>
    <row r="69" spans="1:10" ht="76.5">
      <c r="A69" s="13" t="s">
        <v>1855</v>
      </c>
      <c r="B69" s="13" t="s">
        <v>1647</v>
      </c>
      <c r="C69" s="13" t="s">
        <v>622</v>
      </c>
      <c r="D69" s="13" t="s">
        <v>502</v>
      </c>
      <c r="E69" s="13"/>
      <c r="F69" s="13"/>
      <c r="G69" s="13" t="s">
        <v>623</v>
      </c>
      <c r="H69" s="13"/>
      <c r="I69" s="13"/>
      <c r="J69" s="13"/>
    </row>
    <row r="70" spans="1:10" ht="76.5">
      <c r="A70" s="13" t="s">
        <v>1856</v>
      </c>
      <c r="B70" s="13" t="s">
        <v>1857</v>
      </c>
      <c r="C70" s="13" t="s">
        <v>1858</v>
      </c>
      <c r="D70" s="13" t="s">
        <v>502</v>
      </c>
      <c r="E70" s="13"/>
      <c r="F70" s="13"/>
      <c r="G70" s="13" t="s">
        <v>1859</v>
      </c>
      <c r="H70" s="13"/>
      <c r="I70" s="13"/>
      <c r="J70" s="13"/>
    </row>
    <row r="71" spans="1:10">
      <c r="A71" s="13"/>
      <c r="B71" s="13"/>
      <c r="C71" s="13"/>
      <c r="D71" s="13"/>
      <c r="E71" s="13"/>
      <c r="F71" s="13"/>
      <c r="G71" s="13"/>
      <c r="H71" s="13"/>
      <c r="I71" s="13"/>
      <c r="J71" s="13"/>
    </row>
    <row r="72" spans="1:10">
      <c r="A72" s="85" t="s">
        <v>1052</v>
      </c>
      <c r="B72" s="85"/>
      <c r="C72" s="8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3.75">
      <c r="A74" s="13" t="s">
        <v>1860</v>
      </c>
      <c r="B74" s="13" t="s">
        <v>1783</v>
      </c>
      <c r="C74" s="13" t="s">
        <v>269</v>
      </c>
      <c r="D74" s="13" t="s">
        <v>1861</v>
      </c>
      <c r="E74" s="13"/>
      <c r="F74" s="13" t="s">
        <v>229</v>
      </c>
      <c r="G74" s="13"/>
      <c r="H74" s="13" t="s">
        <v>1862</v>
      </c>
      <c r="I74" s="13" t="s">
        <v>502</v>
      </c>
      <c r="J74" s="13"/>
    </row>
    <row r="75" spans="1:10" ht="76.5">
      <c r="A75" s="13" t="s">
        <v>1863</v>
      </c>
      <c r="B75" s="13" t="s">
        <v>1787</v>
      </c>
      <c r="C75" s="13" t="s">
        <v>269</v>
      </c>
      <c r="D75" s="13" t="s">
        <v>1864</v>
      </c>
      <c r="E75" s="13"/>
      <c r="F75" s="13" t="s">
        <v>229</v>
      </c>
      <c r="G75" s="13"/>
      <c r="H75" s="13" t="s">
        <v>1822</v>
      </c>
      <c r="I75" s="13" t="s">
        <v>502</v>
      </c>
      <c r="J75" s="13"/>
    </row>
    <row r="76" spans="1:10" ht="76.5">
      <c r="A76" s="13" t="s">
        <v>1865</v>
      </c>
      <c r="B76" s="13" t="s">
        <v>406</v>
      </c>
      <c r="C76" s="13" t="s">
        <v>269</v>
      </c>
      <c r="D76" s="13" t="s">
        <v>1866</v>
      </c>
      <c r="E76" s="13"/>
      <c r="F76" s="13" t="s">
        <v>229</v>
      </c>
      <c r="G76" s="13"/>
      <c r="H76" s="13" t="s">
        <v>1826</v>
      </c>
      <c r="I76" s="13" t="s">
        <v>502</v>
      </c>
      <c r="J76" s="13"/>
    </row>
    <row r="77" spans="1:10" ht="63.75">
      <c r="A77" s="13" t="s">
        <v>1867</v>
      </c>
      <c r="B77" s="13" t="s">
        <v>575</v>
      </c>
      <c r="C77" s="13" t="s">
        <v>957</v>
      </c>
      <c r="D77" s="13" t="s">
        <v>1659</v>
      </c>
      <c r="E77" s="13"/>
      <c r="F77" s="13" t="s">
        <v>229</v>
      </c>
      <c r="G77" s="13"/>
      <c r="H77" s="13" t="s">
        <v>1836</v>
      </c>
      <c r="I77" s="13" t="s">
        <v>502</v>
      </c>
      <c r="J77" s="13"/>
    </row>
    <row r="78" spans="1:10" ht="89.25">
      <c r="A78" s="13" t="s">
        <v>1868</v>
      </c>
      <c r="B78" s="13" t="s">
        <v>406</v>
      </c>
      <c r="C78" s="13" t="s">
        <v>148</v>
      </c>
      <c r="D78" s="13" t="s">
        <v>1869</v>
      </c>
      <c r="E78" s="13"/>
      <c r="F78" s="13" t="s">
        <v>229</v>
      </c>
      <c r="G78" s="13"/>
      <c r="H78" s="13" t="s">
        <v>1830</v>
      </c>
      <c r="I78" s="13" t="s">
        <v>502</v>
      </c>
      <c r="J78" s="13"/>
    </row>
    <row r="79" spans="1:10" ht="76.5">
      <c r="A79" s="13" t="s">
        <v>1870</v>
      </c>
      <c r="B79" s="13" t="s">
        <v>575</v>
      </c>
      <c r="C79" s="13" t="s">
        <v>153</v>
      </c>
      <c r="D79" s="13" t="s">
        <v>1871</v>
      </c>
      <c r="E79" s="13"/>
      <c r="F79" s="13" t="s">
        <v>229</v>
      </c>
      <c r="G79" s="13"/>
      <c r="H79" s="13" t="s">
        <v>1833</v>
      </c>
      <c r="I79" s="13" t="s">
        <v>502</v>
      </c>
      <c r="J79" s="13"/>
    </row>
    <row r="80" spans="1:10" ht="89.25">
      <c r="A80" s="13" t="s">
        <v>1872</v>
      </c>
      <c r="B80" s="13" t="s">
        <v>575</v>
      </c>
      <c r="C80" s="13" t="s">
        <v>155</v>
      </c>
      <c r="D80" s="13" t="s">
        <v>1873</v>
      </c>
      <c r="E80" s="13"/>
      <c r="F80" s="13" t="s">
        <v>229</v>
      </c>
      <c r="G80" s="13"/>
      <c r="H80" s="13" t="s">
        <v>1874</v>
      </c>
      <c r="I80" s="13" t="s">
        <v>502</v>
      </c>
      <c r="J80" s="13"/>
    </row>
    <row r="81" spans="1:10" ht="51">
      <c r="A81" s="13" t="s">
        <v>1875</v>
      </c>
      <c r="B81" s="13" t="s">
        <v>575</v>
      </c>
      <c r="C81" s="13" t="s">
        <v>556</v>
      </c>
      <c r="D81" s="13" t="s">
        <v>1768</v>
      </c>
      <c r="E81" s="13"/>
      <c r="F81" s="13" t="s">
        <v>229</v>
      </c>
      <c r="G81" s="13"/>
      <c r="H81" s="13" t="s">
        <v>1826</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25.5">
      <c r="A85" s="13" t="s">
        <v>1783</v>
      </c>
      <c r="B85" s="126">
        <v>0.5</v>
      </c>
      <c r="C85" s="126">
        <v>0.5</v>
      </c>
      <c r="D85" s="126">
        <v>0.5</v>
      </c>
      <c r="E85" s="126">
        <v>0.5</v>
      </c>
      <c r="F85" s="126">
        <v>0.5</v>
      </c>
      <c r="G85" s="13" t="s">
        <v>677</v>
      </c>
      <c r="H85" s="126">
        <v>0.5</v>
      </c>
      <c r="I85" s="13" t="s">
        <v>1201</v>
      </c>
      <c r="J85" s="13" t="s">
        <v>1669</v>
      </c>
    </row>
    <row r="86" spans="1:10" ht="25.5">
      <c r="A86" s="13" t="s">
        <v>1787</v>
      </c>
      <c r="B86" s="126">
        <v>0.5</v>
      </c>
      <c r="C86" s="126">
        <v>0.5</v>
      </c>
      <c r="D86" s="126">
        <v>0.5</v>
      </c>
      <c r="E86" s="126">
        <v>0.5</v>
      </c>
      <c r="F86" s="126">
        <v>0.5</v>
      </c>
      <c r="G86" s="13" t="s">
        <v>677</v>
      </c>
      <c r="H86" s="126">
        <v>0.5</v>
      </c>
      <c r="I86" s="13" t="s">
        <v>1201</v>
      </c>
      <c r="J86" s="13" t="s">
        <v>1876</v>
      </c>
    </row>
    <row r="87" spans="1:10" ht="38.25">
      <c r="A87" s="13" t="s">
        <v>406</v>
      </c>
      <c r="B87" s="126">
        <v>0.5</v>
      </c>
      <c r="C87" s="126">
        <v>0.5</v>
      </c>
      <c r="D87" s="126">
        <v>0.5</v>
      </c>
      <c r="E87" s="126">
        <v>0.5</v>
      </c>
      <c r="F87" s="126">
        <v>0.5</v>
      </c>
      <c r="G87" s="13" t="s">
        <v>677</v>
      </c>
      <c r="H87" s="126">
        <v>0.5</v>
      </c>
      <c r="I87" s="13" t="s">
        <v>1201</v>
      </c>
      <c r="J87" s="13" t="s">
        <v>1877</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38.25">
      <c r="A90" s="50" t="s">
        <v>905</v>
      </c>
      <c r="B90" s="50" t="s">
        <v>788</v>
      </c>
      <c r="C90" s="50"/>
      <c r="D90" s="50"/>
      <c r="E90" s="50"/>
      <c r="F90" s="50"/>
      <c r="G90" s="50"/>
      <c r="H90" s="50"/>
      <c r="I90" s="50"/>
      <c r="J90" s="50"/>
    </row>
    <row r="91" spans="1:10">
      <c r="A91" s="13" t="s">
        <v>1086</v>
      </c>
      <c r="B91" s="594" t="s">
        <v>1878</v>
      </c>
      <c r="C91" s="896"/>
      <c r="D91" s="896"/>
      <c r="E91" s="896"/>
      <c r="F91" s="896"/>
      <c r="G91" s="896"/>
      <c r="H91" s="896"/>
      <c r="I91" s="896"/>
      <c r="J91" s="896"/>
    </row>
    <row r="92" spans="1:10" ht="25.5">
      <c r="A92" s="13" t="s">
        <v>1455</v>
      </c>
      <c r="B92" s="594" t="s">
        <v>1879</v>
      </c>
      <c r="C92" s="896"/>
      <c r="D92" s="896"/>
      <c r="E92" s="896"/>
      <c r="F92" s="896"/>
      <c r="G92" s="896"/>
      <c r="H92" s="896"/>
      <c r="I92" s="896"/>
      <c r="J92" s="896"/>
    </row>
    <row r="93" spans="1:10">
      <c r="A93" s="13" t="s">
        <v>1088</v>
      </c>
      <c r="B93" s="594" t="s">
        <v>1880</v>
      </c>
      <c r="C93" s="896"/>
      <c r="D93" s="896"/>
      <c r="E93" s="896"/>
      <c r="F93" s="896"/>
      <c r="G93" s="896"/>
      <c r="H93" s="896"/>
      <c r="I93" s="896"/>
      <c r="J93" s="896"/>
    </row>
    <row r="94" spans="1:10">
      <c r="A94" s="13" t="s">
        <v>1089</v>
      </c>
      <c r="B94" s="594" t="s">
        <v>1881</v>
      </c>
      <c r="C94" s="896"/>
      <c r="D94" s="896"/>
      <c r="E94" s="896"/>
      <c r="F94" s="896"/>
      <c r="G94" s="896"/>
      <c r="H94" s="896"/>
      <c r="I94" s="896"/>
      <c r="J94" s="896"/>
    </row>
    <row r="95" spans="1:10">
      <c r="A95" s="13" t="s">
        <v>1090</v>
      </c>
      <c r="B95" s="594" t="s">
        <v>1882</v>
      </c>
      <c r="C95" s="896"/>
      <c r="D95" s="896"/>
      <c r="E95" s="896"/>
      <c r="F95" s="896"/>
      <c r="G95" s="896"/>
      <c r="H95" s="896"/>
      <c r="I95" s="896"/>
      <c r="J95" s="896"/>
    </row>
    <row r="96" spans="1:10">
      <c r="A96" s="13" t="s">
        <v>1563</v>
      </c>
      <c r="B96" s="594" t="s">
        <v>1776</v>
      </c>
      <c r="C96" s="896"/>
      <c r="D96" s="896"/>
      <c r="E96" s="896"/>
      <c r="F96" s="896"/>
      <c r="G96" s="896"/>
      <c r="H96" s="896"/>
      <c r="I96" s="896"/>
      <c r="J96"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7">
        <v>1</v>
      </c>
      <c r="D101" s="327">
        <v>0</v>
      </c>
      <c r="E101" s="310" t="s">
        <v>5675</v>
      </c>
      <c r="F101" s="327">
        <f>IF(AND(C101&lt;&gt;"",D101&lt;&gt;""),D101-C101,"")</f>
        <v>-1</v>
      </c>
      <c r="G101" s="610"/>
      <c r="H101" s="610"/>
      <c r="I101" s="610"/>
      <c r="J101" s="611"/>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610"/>
      <c r="H103" s="610"/>
      <c r="I103" s="610"/>
      <c r="J103" s="611"/>
    </row>
    <row r="104" spans="1:10">
      <c r="A104" s="323" t="s">
        <v>5168</v>
      </c>
      <c r="B104" s="333" t="s">
        <v>484</v>
      </c>
      <c r="C104" s="327">
        <v>1</v>
      </c>
      <c r="D104" s="327">
        <v>0</v>
      </c>
      <c r="E104" s="310" t="s">
        <v>5675</v>
      </c>
      <c r="F104" s="325">
        <f>IF(AND(C104&lt;&gt;"",D104&lt;&gt;""),D104-C104,"")</f>
        <v>-1</v>
      </c>
      <c r="G104" s="328"/>
      <c r="H104" s="227"/>
      <c r="I104" s="227"/>
      <c r="J104" s="329"/>
    </row>
    <row r="105" spans="1:10" ht="15.75">
      <c r="A105" s="585" t="s">
        <v>5636</v>
      </c>
      <c r="B105" s="586"/>
      <c r="C105" s="330">
        <f>IFERROR(AVERAGE(C100:C104),"")</f>
        <v>0.8</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08">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3:J103"/>
    <mergeCell ref="A105:B105"/>
    <mergeCell ref="E105:J105"/>
    <mergeCell ref="A107:C107"/>
    <mergeCell ref="D107:F107"/>
    <mergeCell ref="G107:J107"/>
    <mergeCell ref="A98:C98"/>
    <mergeCell ref="D98:F98"/>
    <mergeCell ref="G98:J98"/>
    <mergeCell ref="G99:J99"/>
    <mergeCell ref="G100:J100"/>
    <mergeCell ref="B96:J96"/>
    <mergeCell ref="B91:J91"/>
    <mergeCell ref="B92:J92"/>
    <mergeCell ref="A1:J1"/>
    <mergeCell ref="B95:J95"/>
    <mergeCell ref="B93:J93"/>
    <mergeCell ref="B94:J94"/>
    <mergeCell ref="D6:J6"/>
    <mergeCell ref="G101:J101"/>
  </mergeCells>
  <conditionalFormatting sqref="B100:B104">
    <cfRule type="expression" dxfId="1078" priority="21">
      <formula>B100="Complete"</formula>
    </cfRule>
    <cfRule type="expression" dxfId="1077" priority="22">
      <formula>B100="In Progress"</formula>
    </cfRule>
    <cfRule type="expression" dxfId="1076" priority="23">
      <formula>B100="At Risk"</formula>
    </cfRule>
    <cfRule type="expression" dxfId="1075" priority="24">
      <formula>B100="Blocked"</formula>
    </cfRule>
    <cfRule type="expression" dxfId="1074" priority="25">
      <formula>B100="Not Started"</formula>
    </cfRule>
  </conditionalFormatting>
  <conditionalFormatting sqref="B109:B116">
    <cfRule type="expression" dxfId="1073" priority="1">
      <formula>B109="Complete"</formula>
    </cfRule>
    <cfRule type="expression" dxfId="1072" priority="2">
      <formula>B109="In Progress"</formula>
    </cfRule>
    <cfRule type="expression" dxfId="1071" priority="3">
      <formula>B109="At Risk"</formula>
    </cfRule>
    <cfRule type="expression" dxfId="1070" priority="4">
      <formula>B109="Blocked"</formula>
    </cfRule>
    <cfRule type="expression" dxfId="1069" priority="5">
      <formula>B109="Not Started"</formula>
    </cfRule>
  </conditionalFormatting>
  <conditionalFormatting sqref="B121:B125">
    <cfRule type="expression" dxfId="1068" priority="30">
      <formula>B121="Not Started"</formula>
    </cfRule>
    <cfRule type="expression" dxfId="1067" priority="29">
      <formula>B121="Blocked"</formula>
    </cfRule>
    <cfRule type="expression" dxfId="1066" priority="28">
      <formula>B121="At Risk"</formula>
    </cfRule>
    <cfRule type="expression" dxfId="1065" priority="27">
      <formula>B121="In Progress"</formula>
    </cfRule>
    <cfRule type="expression" dxfId="1064" priority="26">
      <formula>B121="Complete"</formula>
    </cfRule>
  </conditionalFormatting>
  <conditionalFormatting sqref="B130:B133">
    <cfRule type="expression" dxfId="1063" priority="6">
      <formula>B130="Complete"</formula>
    </cfRule>
    <cfRule type="expression" dxfId="1062" priority="7">
      <formula>B130="In Progress"</formula>
    </cfRule>
    <cfRule type="expression" dxfId="1061" priority="8">
      <formula>B130="At Risk"</formula>
    </cfRule>
    <cfRule type="expression" dxfId="1060" priority="9">
      <formula>B130="Blocked"</formula>
    </cfRule>
    <cfRule type="expression" dxfId="1059" priority="10">
      <formula>B130="Not Started"</formula>
    </cfRule>
  </conditionalFormatting>
  <conditionalFormatting sqref="B138:B143">
    <cfRule type="expression" dxfId="1058" priority="11">
      <formula>B138="Complete"</formula>
    </cfRule>
    <cfRule type="expression" dxfId="1057" priority="12">
      <formula>B138="In Progress"</formula>
    </cfRule>
    <cfRule type="expression" dxfId="1056" priority="13">
      <formula>B138="At Risk"</formula>
    </cfRule>
    <cfRule type="expression" dxfId="1055" priority="14">
      <formula>B138="Blocked"</formula>
    </cfRule>
    <cfRule type="expression" dxfId="1054" priority="15">
      <formula>B138="Not Started"</formula>
    </cfRule>
  </conditionalFormatting>
  <conditionalFormatting sqref="B161:B168">
    <cfRule type="expression" dxfId="1053" priority="82">
      <formula>B161="Yes"</formula>
    </cfRule>
    <cfRule type="expression" dxfId="1052" priority="83">
      <formula>B161="N/A"</formula>
    </cfRule>
    <cfRule type="expression" dxfId="1051" priority="84">
      <formula>B161="No"</formula>
    </cfRule>
  </conditionalFormatting>
  <conditionalFormatting sqref="B178:H178">
    <cfRule type="expression" dxfId="1050" priority="86">
      <formula>COUNTIF($B$6:$B$13,"No")&gt;0</formula>
    </cfRule>
    <cfRule type="expression" dxfId="104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48" priority="32">
      <formula>C109="No"</formula>
    </cfRule>
    <cfRule type="expression" dxfId="1047" priority="31">
      <formula>C109="Yes"</formula>
    </cfRule>
    <cfRule type="expression" dxfId="104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5" priority="17">
      <formula>C138="No"</formula>
    </cfRule>
    <cfRule type="expression" dxfId="1044" priority="16">
      <formula>C138="Yes"</formula>
    </cfRule>
    <cfRule type="expression" dxfId="104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2" priority="87">
      <formula>E5="Pass"</formula>
    </cfRule>
    <cfRule type="expression" dxfId="1041" priority="88">
      <formula>E5="Verify"</formula>
    </cfRule>
    <cfRule type="expression" dxfId="1040" priority="89">
      <formula>E5="Fail"</formula>
    </cfRule>
    <cfRule type="expression" dxfId="1039" priority="90">
      <formula>E5="Not Started"</formula>
    </cfRule>
  </conditionalFormatting>
  <conditionalFormatting sqref="F3">
    <cfRule type="expression" dxfId="1038" priority="91">
      <formula>F3="Yes"</formula>
    </cfRule>
    <cfRule type="expression" dxfId="1037" priority="92">
      <formula>F3="No"</formula>
    </cfRule>
  </conditionalFormatting>
  <conditionalFormatting sqref="F121:F125">
    <cfRule type="expression" dxfId="1036" priority="35">
      <formula>F121="Fail"</formula>
    </cfRule>
    <cfRule type="expression" dxfId="1035" priority="36">
      <formula>F121="Pending"</formula>
    </cfRule>
    <cfRule type="expression" dxfId="103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Lookup_Lists!$L$37:$L$39</xm:f>
          </x14:formula1>
          <xm:sqref>C121:E125 J2</xm:sqref>
        </x14:dataValidation>
        <x14:dataValidation type="list" allowBlank="1" showInputMessage="1" showErrorMessage="1" xr:uid="{25984914-3127-4269-92FE-7C26C2BB5DDA}">
          <x14:formula1>
            <xm:f>Lookup_Lists!$A$36:$A$42</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45" customHeight="1">
      <c r="A1" s="929" t="s">
        <v>1883</v>
      </c>
      <c r="B1" s="929"/>
      <c r="C1" s="929"/>
      <c r="D1" s="929"/>
      <c r="E1" s="929"/>
      <c r="F1" s="929"/>
      <c r="G1" s="929"/>
      <c r="H1" s="929"/>
      <c r="I1" s="929"/>
      <c r="J1" s="929"/>
    </row>
    <row r="2" spans="1:10" s="223" customFormat="1">
      <c r="A2" s="219" t="s">
        <v>911</v>
      </c>
      <c r="B2" s="220" t="s">
        <v>1884</v>
      </c>
      <c r="C2" s="219" t="s">
        <v>902</v>
      </c>
      <c r="D2" s="220" t="s">
        <v>1094</v>
      </c>
      <c r="E2" s="219" t="s">
        <v>151</v>
      </c>
      <c r="F2" s="220" t="s">
        <v>1095</v>
      </c>
      <c r="G2" s="219" t="s">
        <v>174</v>
      </c>
      <c r="H2" s="221">
        <v>0.5</v>
      </c>
      <c r="I2" s="219" t="s">
        <v>154</v>
      </c>
      <c r="J2" s="222" t="s">
        <v>1096</v>
      </c>
    </row>
    <row r="3" spans="1:10" s="227" customFormat="1" ht="25.5">
      <c r="A3" s="219" t="s">
        <v>903</v>
      </c>
      <c r="B3" s="224">
        <v>46198.602441863433</v>
      </c>
      <c r="C3" s="225" t="s">
        <v>904</v>
      </c>
      <c r="D3" s="226" t="s">
        <v>721</v>
      </c>
      <c r="E3" s="219" t="s">
        <v>905</v>
      </c>
      <c r="F3" s="226" t="s">
        <v>1885</v>
      </c>
      <c r="G3" s="219" t="s">
        <v>907</v>
      </c>
      <c r="H3" s="226" t="s">
        <v>908</v>
      </c>
      <c r="I3" s="219" t="s">
        <v>551</v>
      </c>
      <c r="J3" s="226" t="s">
        <v>1886</v>
      </c>
    </row>
    <row r="4" spans="1:10" s="227" customFormat="1" ht="140.25">
      <c r="A4" s="219" t="s">
        <v>161</v>
      </c>
      <c r="B4" s="226">
        <v>0</v>
      </c>
      <c r="C4" s="219" t="s">
        <v>199</v>
      </c>
      <c r="D4" s="226">
        <v>0</v>
      </c>
      <c r="E4" s="219" t="s">
        <v>179</v>
      </c>
      <c r="F4" s="226">
        <v>0</v>
      </c>
      <c r="G4" s="219" t="s">
        <v>870</v>
      </c>
      <c r="H4" s="228" t="s">
        <v>1887</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8.25" customHeight="1">
      <c r="A6" s="234" t="s">
        <v>916</v>
      </c>
      <c r="B6" s="221" t="s">
        <v>677</v>
      </c>
      <c r="C6" s="235" t="s">
        <v>869</v>
      </c>
      <c r="D6" s="604" t="s">
        <v>1888</v>
      </c>
      <c r="E6" s="582"/>
      <c r="F6" s="582"/>
      <c r="G6" s="582"/>
      <c r="H6" s="582"/>
      <c r="I6" s="582"/>
      <c r="J6" s="582"/>
    </row>
    <row r="7" spans="1:10">
      <c r="A7" s="931" t="s">
        <v>918</v>
      </c>
      <c r="B7" s="931"/>
      <c r="C7" s="931"/>
      <c r="D7" s="931"/>
      <c r="E7" s="931"/>
      <c r="F7" s="931"/>
      <c r="G7" s="931"/>
      <c r="H7" s="931"/>
      <c r="I7" s="931"/>
      <c r="J7" s="931"/>
    </row>
    <row r="8" spans="1:10">
      <c r="A8" s="931"/>
      <c r="B8" s="931"/>
      <c r="C8" s="931"/>
      <c r="D8" s="931"/>
      <c r="E8" s="931"/>
      <c r="F8" s="931"/>
      <c r="G8" s="931"/>
      <c r="H8" s="931"/>
      <c r="I8" s="931"/>
      <c r="J8" s="931"/>
    </row>
    <row r="9" spans="1:10">
      <c r="A9" s="8" t="s">
        <v>142</v>
      </c>
      <c r="B9" s="8" t="s">
        <v>275</v>
      </c>
      <c r="C9" s="8" t="s">
        <v>884</v>
      </c>
      <c r="D9" s="8" t="s">
        <v>885</v>
      </c>
      <c r="E9" s="8" t="s">
        <v>886</v>
      </c>
      <c r="F9" s="8" t="s">
        <v>887</v>
      </c>
      <c r="G9" s="8" t="s">
        <v>888</v>
      </c>
      <c r="H9" s="8" t="s">
        <v>77</v>
      </c>
      <c r="I9" s="8" t="s">
        <v>889</v>
      </c>
      <c r="J9" s="8" t="s">
        <v>11</v>
      </c>
    </row>
    <row r="10" spans="1:10" ht="63.75">
      <c r="A10" s="13" t="s">
        <v>1884</v>
      </c>
      <c r="B10" s="13" t="s">
        <v>12</v>
      </c>
      <c r="C10" s="13" t="s">
        <v>923</v>
      </c>
      <c r="D10" s="13" t="s">
        <v>1889</v>
      </c>
      <c r="E10" s="13" t="s">
        <v>356</v>
      </c>
      <c r="F10" s="13">
        <v>2</v>
      </c>
      <c r="G10" s="13">
        <v>0</v>
      </c>
      <c r="H10" s="13" t="s">
        <v>677</v>
      </c>
      <c r="I10" s="13" t="s">
        <v>1890</v>
      </c>
      <c r="J10" s="13" t="s">
        <v>1891</v>
      </c>
    </row>
    <row r="11" spans="1:10" ht="63.75">
      <c r="A11" s="13" t="s">
        <v>1884</v>
      </c>
      <c r="B11" s="13" t="s">
        <v>408</v>
      </c>
      <c r="C11" s="13" t="s">
        <v>919</v>
      </c>
      <c r="D11" s="13" t="s">
        <v>1892</v>
      </c>
      <c r="E11" s="13" t="s">
        <v>356</v>
      </c>
      <c r="F11" s="13">
        <v>2</v>
      </c>
      <c r="G11" s="13">
        <v>0</v>
      </c>
      <c r="H11" s="13" t="s">
        <v>677</v>
      </c>
      <c r="I11" s="13" t="s">
        <v>1893</v>
      </c>
      <c r="J11" s="13" t="s">
        <v>1894</v>
      </c>
    </row>
    <row r="12" spans="1:10" ht="63.75">
      <c r="A12" s="13" t="s">
        <v>1884</v>
      </c>
      <c r="B12" s="13" t="s">
        <v>1895</v>
      </c>
      <c r="C12" s="13" t="s">
        <v>933</v>
      </c>
      <c r="D12" s="13" t="s">
        <v>1896</v>
      </c>
      <c r="E12" s="13" t="s">
        <v>356</v>
      </c>
      <c r="F12" s="13">
        <v>2</v>
      </c>
      <c r="G12" s="13">
        <v>0</v>
      </c>
      <c r="H12" s="13" t="s">
        <v>677</v>
      </c>
      <c r="I12" s="13" t="s">
        <v>1893</v>
      </c>
      <c r="J12" s="13" t="s">
        <v>1897</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51">
      <c r="A16" s="13" t="s">
        <v>12</v>
      </c>
      <c r="B16" s="13" t="s">
        <v>677</v>
      </c>
      <c r="C16" s="13" t="s">
        <v>677</v>
      </c>
      <c r="D16" s="13" t="s">
        <v>677</v>
      </c>
      <c r="E16" s="13" t="s">
        <v>677</v>
      </c>
      <c r="F16" s="13" t="s">
        <v>677</v>
      </c>
      <c r="G16" s="13" t="s">
        <v>677</v>
      </c>
      <c r="H16" s="13" t="s">
        <v>677</v>
      </c>
      <c r="I16" s="13" t="s">
        <v>677</v>
      </c>
      <c r="J16" s="13" t="s">
        <v>1898</v>
      </c>
    </row>
    <row r="17" spans="1:10" ht="51">
      <c r="A17" s="13" t="s">
        <v>408</v>
      </c>
      <c r="B17" s="13" t="s">
        <v>677</v>
      </c>
      <c r="C17" s="13" t="s">
        <v>677</v>
      </c>
      <c r="D17" s="13" t="s">
        <v>677</v>
      </c>
      <c r="E17" s="13" t="s">
        <v>677</v>
      </c>
      <c r="F17" s="13" t="s">
        <v>677</v>
      </c>
      <c r="G17" s="13" t="s">
        <v>677</v>
      </c>
      <c r="H17" s="13" t="s">
        <v>677</v>
      </c>
      <c r="I17" s="13" t="s">
        <v>677</v>
      </c>
      <c r="J17" s="13" t="s">
        <v>1899</v>
      </c>
    </row>
    <row r="18" spans="1:10" ht="38.25">
      <c r="A18" s="13" t="s">
        <v>1895</v>
      </c>
      <c r="B18" s="13" t="s">
        <v>677</v>
      </c>
      <c r="C18" s="13" t="s">
        <v>677</v>
      </c>
      <c r="D18" s="13" t="s">
        <v>677</v>
      </c>
      <c r="E18" s="13" t="s">
        <v>677</v>
      </c>
      <c r="F18" s="13" t="s">
        <v>677</v>
      </c>
      <c r="G18" s="13" t="s">
        <v>677</v>
      </c>
      <c r="H18" s="13" t="s">
        <v>677</v>
      </c>
      <c r="I18" s="13" t="s">
        <v>677</v>
      </c>
      <c r="J18" s="13" t="s">
        <v>1900</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51">
      <c r="A22" s="13" t="s">
        <v>12</v>
      </c>
      <c r="B22" s="13" t="s">
        <v>677</v>
      </c>
      <c r="C22" s="13" t="s">
        <v>677</v>
      </c>
      <c r="D22" s="13" t="s">
        <v>677</v>
      </c>
      <c r="E22" s="13" t="s">
        <v>677</v>
      </c>
      <c r="F22" s="13" t="s">
        <v>677</v>
      </c>
      <c r="G22" s="13" t="s">
        <v>677</v>
      </c>
      <c r="H22" s="13" t="s">
        <v>677</v>
      </c>
      <c r="I22" s="13" t="s">
        <v>677</v>
      </c>
      <c r="J22" s="13" t="s">
        <v>1901</v>
      </c>
    </row>
    <row r="23" spans="1:10" ht="63.75">
      <c r="A23" s="13" t="s">
        <v>408</v>
      </c>
      <c r="B23" s="13" t="s">
        <v>677</v>
      </c>
      <c r="C23" s="13" t="s">
        <v>677</v>
      </c>
      <c r="D23" s="13" t="s">
        <v>677</v>
      </c>
      <c r="E23" s="13" t="s">
        <v>677</v>
      </c>
      <c r="F23" s="13" t="s">
        <v>677</v>
      </c>
      <c r="G23" s="13" t="s">
        <v>677</v>
      </c>
      <c r="H23" s="13" t="s">
        <v>677</v>
      </c>
      <c r="I23" s="13" t="s">
        <v>677</v>
      </c>
      <c r="J23" s="13" t="s">
        <v>1902</v>
      </c>
    </row>
    <row r="24" spans="1:10" ht="63.75">
      <c r="A24" s="13" t="s">
        <v>1895</v>
      </c>
      <c r="B24" s="13" t="s">
        <v>677</v>
      </c>
      <c r="C24" s="13" t="s">
        <v>677</v>
      </c>
      <c r="D24" s="13" t="s">
        <v>677</v>
      </c>
      <c r="E24" s="13" t="s">
        <v>677</v>
      </c>
      <c r="F24" s="13" t="s">
        <v>677</v>
      </c>
      <c r="G24" s="13" t="s">
        <v>677</v>
      </c>
      <c r="H24" s="13" t="s">
        <v>677</v>
      </c>
      <c r="I24" s="13" t="s">
        <v>677</v>
      </c>
      <c r="J24" s="13" t="s">
        <v>1903</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12</v>
      </c>
      <c r="B28" s="13" t="s">
        <v>1904</v>
      </c>
      <c r="C28" s="13" t="s">
        <v>677</v>
      </c>
      <c r="D28" s="13" t="s">
        <v>677</v>
      </c>
      <c r="E28" s="13" t="s">
        <v>677</v>
      </c>
      <c r="F28" s="13" t="s">
        <v>677</v>
      </c>
      <c r="G28" s="13" t="s">
        <v>677</v>
      </c>
      <c r="H28" s="13" t="s">
        <v>677</v>
      </c>
      <c r="I28" s="13" t="s">
        <v>677</v>
      </c>
      <c r="J28" s="13" t="s">
        <v>1905</v>
      </c>
    </row>
    <row r="29" spans="1:10" ht="51">
      <c r="A29" s="13" t="s">
        <v>408</v>
      </c>
      <c r="B29" s="13" t="s">
        <v>1906</v>
      </c>
      <c r="C29" s="13" t="s">
        <v>677</v>
      </c>
      <c r="D29" s="13" t="s">
        <v>677</v>
      </c>
      <c r="E29" s="13" t="s">
        <v>677</v>
      </c>
      <c r="F29" s="13" t="s">
        <v>677</v>
      </c>
      <c r="G29" s="13" t="s">
        <v>677</v>
      </c>
      <c r="H29" s="13" t="s">
        <v>677</v>
      </c>
      <c r="I29" s="13" t="s">
        <v>677</v>
      </c>
      <c r="J29" s="13" t="s">
        <v>1907</v>
      </c>
    </row>
    <row r="30" spans="1:10" ht="51">
      <c r="A30" s="13" t="s">
        <v>1895</v>
      </c>
      <c r="B30" s="13" t="s">
        <v>1908</v>
      </c>
      <c r="C30" s="13" t="s">
        <v>677</v>
      </c>
      <c r="D30" s="13" t="s">
        <v>677</v>
      </c>
      <c r="E30" s="13" t="s">
        <v>677</v>
      </c>
      <c r="F30" s="13" t="s">
        <v>677</v>
      </c>
      <c r="G30" s="13" t="s">
        <v>677</v>
      </c>
      <c r="H30" s="13" t="s">
        <v>677</v>
      </c>
      <c r="I30" s="13" t="s">
        <v>677</v>
      </c>
      <c r="J30" s="13" t="s">
        <v>1909</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3.75">
      <c r="A34" s="13" t="s">
        <v>12</v>
      </c>
      <c r="B34" s="13" t="s">
        <v>677</v>
      </c>
      <c r="C34" s="13" t="s">
        <v>1592</v>
      </c>
      <c r="D34" s="13" t="s">
        <v>677</v>
      </c>
      <c r="E34" s="13" t="s">
        <v>677</v>
      </c>
      <c r="F34" s="13" t="s">
        <v>1910</v>
      </c>
      <c r="G34" s="13" t="s">
        <v>677</v>
      </c>
      <c r="H34" s="13" t="s">
        <v>677</v>
      </c>
      <c r="I34" s="13" t="s">
        <v>677</v>
      </c>
      <c r="J34" s="13" t="s">
        <v>1911</v>
      </c>
    </row>
    <row r="35" spans="1:10" ht="51">
      <c r="A35" s="13" t="s">
        <v>408</v>
      </c>
      <c r="B35" s="13" t="s">
        <v>677</v>
      </c>
      <c r="C35" s="13" t="s">
        <v>1592</v>
      </c>
      <c r="D35" s="13" t="s">
        <v>677</v>
      </c>
      <c r="E35" s="13" t="s">
        <v>677</v>
      </c>
      <c r="F35" s="13" t="s">
        <v>1912</v>
      </c>
      <c r="G35" s="13" t="s">
        <v>677</v>
      </c>
      <c r="H35" s="13" t="s">
        <v>677</v>
      </c>
      <c r="I35" s="13" t="s">
        <v>677</v>
      </c>
      <c r="J35" s="13" t="s">
        <v>1913</v>
      </c>
    </row>
    <row r="36" spans="1:10" ht="51">
      <c r="A36" s="13" t="s">
        <v>1895</v>
      </c>
      <c r="B36" s="13" t="s">
        <v>677</v>
      </c>
      <c r="C36" s="13" t="s">
        <v>1592</v>
      </c>
      <c r="D36" s="13" t="s">
        <v>677</v>
      </c>
      <c r="E36" s="13" t="s">
        <v>677</v>
      </c>
      <c r="F36" s="13" t="s">
        <v>1914</v>
      </c>
      <c r="G36" s="13" t="s">
        <v>677</v>
      </c>
      <c r="H36" s="13" t="s">
        <v>677</v>
      </c>
      <c r="I36" s="13" t="s">
        <v>677</v>
      </c>
      <c r="J36" s="13" t="s">
        <v>1915</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51">
      <c r="A40" s="13" t="s">
        <v>12</v>
      </c>
      <c r="B40" s="13" t="s">
        <v>677</v>
      </c>
      <c r="C40" s="13" t="s">
        <v>677</v>
      </c>
      <c r="D40" s="13" t="s">
        <v>677</v>
      </c>
      <c r="E40" s="13" t="s">
        <v>677</v>
      </c>
      <c r="F40" s="13" t="s">
        <v>677</v>
      </c>
      <c r="G40" s="13" t="s">
        <v>677</v>
      </c>
      <c r="H40" s="13" t="s">
        <v>677</v>
      </c>
      <c r="I40" s="13" t="s">
        <v>677</v>
      </c>
      <c r="J40" s="13" t="s">
        <v>1916</v>
      </c>
    </row>
    <row r="41" spans="1:10" ht="63.75">
      <c r="A41" s="13" t="s">
        <v>408</v>
      </c>
      <c r="B41" s="13" t="s">
        <v>677</v>
      </c>
      <c r="C41" s="13" t="s">
        <v>677</v>
      </c>
      <c r="D41" s="13" t="s">
        <v>677</v>
      </c>
      <c r="E41" s="13" t="s">
        <v>677</v>
      </c>
      <c r="F41" s="13" t="s">
        <v>677</v>
      </c>
      <c r="G41" s="13" t="s">
        <v>677</v>
      </c>
      <c r="H41" s="13" t="s">
        <v>677</v>
      </c>
      <c r="I41" s="13" t="s">
        <v>677</v>
      </c>
      <c r="J41" s="13" t="s">
        <v>1917</v>
      </c>
    </row>
    <row r="42" spans="1:10" ht="63.75">
      <c r="A42" s="13" t="s">
        <v>1895</v>
      </c>
      <c r="B42" s="13" t="s">
        <v>677</v>
      </c>
      <c r="C42" s="13" t="s">
        <v>677</v>
      </c>
      <c r="D42" s="13" t="s">
        <v>677</v>
      </c>
      <c r="E42" s="13" t="s">
        <v>677</v>
      </c>
      <c r="F42" s="13" t="s">
        <v>677</v>
      </c>
      <c r="G42" s="13" t="s">
        <v>677</v>
      </c>
      <c r="H42" s="13" t="s">
        <v>677</v>
      </c>
      <c r="I42" s="13" t="s">
        <v>677</v>
      </c>
      <c r="J42" s="13" t="s">
        <v>1918</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3.75">
      <c r="A46" s="13" t="s">
        <v>12</v>
      </c>
      <c r="B46" s="13" t="s">
        <v>677</v>
      </c>
      <c r="C46" s="13" t="s">
        <v>677</v>
      </c>
      <c r="D46" s="13" t="s">
        <v>677</v>
      </c>
      <c r="E46" s="13" t="s">
        <v>677</v>
      </c>
      <c r="F46" s="13" t="s">
        <v>677</v>
      </c>
      <c r="G46" s="13" t="s">
        <v>677</v>
      </c>
      <c r="H46" s="13" t="s">
        <v>677</v>
      </c>
      <c r="I46" s="13" t="s">
        <v>677</v>
      </c>
      <c r="J46" s="13" t="s">
        <v>1919</v>
      </c>
    </row>
    <row r="47" spans="1:10" ht="63.75">
      <c r="A47" s="13" t="s">
        <v>408</v>
      </c>
      <c r="B47" s="13" t="s">
        <v>677</v>
      </c>
      <c r="C47" s="13" t="s">
        <v>677</v>
      </c>
      <c r="D47" s="13" t="s">
        <v>677</v>
      </c>
      <c r="E47" s="13" t="s">
        <v>677</v>
      </c>
      <c r="F47" s="13" t="s">
        <v>677</v>
      </c>
      <c r="G47" s="13" t="s">
        <v>677</v>
      </c>
      <c r="H47" s="13" t="s">
        <v>677</v>
      </c>
      <c r="I47" s="13" t="s">
        <v>677</v>
      </c>
      <c r="J47" s="13" t="s">
        <v>1920</v>
      </c>
    </row>
    <row r="48" spans="1:10" ht="63.75">
      <c r="A48" s="13" t="s">
        <v>1895</v>
      </c>
      <c r="B48" s="13" t="s">
        <v>677</v>
      </c>
      <c r="C48" s="13" t="s">
        <v>677</v>
      </c>
      <c r="D48" s="13" t="s">
        <v>677</v>
      </c>
      <c r="E48" s="13" t="s">
        <v>677</v>
      </c>
      <c r="F48" s="13" t="s">
        <v>677</v>
      </c>
      <c r="G48" s="13" t="s">
        <v>677</v>
      </c>
      <c r="H48" s="13" t="s">
        <v>677</v>
      </c>
      <c r="I48" s="13" t="s">
        <v>677</v>
      </c>
      <c r="J48" s="13" t="s">
        <v>1921</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1922</v>
      </c>
      <c r="B52" s="13" t="s">
        <v>575</v>
      </c>
      <c r="C52" s="13" t="s">
        <v>1923</v>
      </c>
      <c r="D52" s="13" t="s">
        <v>391</v>
      </c>
      <c r="E52" s="13" t="s">
        <v>488</v>
      </c>
      <c r="F52" s="13">
        <v>6</v>
      </c>
      <c r="G52" s="13" t="s">
        <v>1381</v>
      </c>
      <c r="H52" s="13" t="s">
        <v>1023</v>
      </c>
      <c r="I52" s="13" t="s">
        <v>502</v>
      </c>
      <c r="J52" s="13" t="s">
        <v>1924</v>
      </c>
    </row>
    <row r="53" spans="1:10" ht="51">
      <c r="A53" s="13" t="s">
        <v>1925</v>
      </c>
      <c r="B53" s="13" t="s">
        <v>12</v>
      </c>
      <c r="C53" s="13" t="s">
        <v>1926</v>
      </c>
      <c r="D53" s="13" t="s">
        <v>492</v>
      </c>
      <c r="E53" s="13" t="s">
        <v>488</v>
      </c>
      <c r="F53" s="13">
        <v>8</v>
      </c>
      <c r="G53" s="13" t="s">
        <v>1927</v>
      </c>
      <c r="H53" s="13" t="s">
        <v>584</v>
      </c>
      <c r="I53" s="13" t="s">
        <v>502</v>
      </c>
      <c r="J53" s="13" t="s">
        <v>1928</v>
      </c>
    </row>
    <row r="54" spans="1:10" ht="76.5">
      <c r="A54" s="13" t="s">
        <v>1929</v>
      </c>
      <c r="B54" s="13" t="s">
        <v>575</v>
      </c>
      <c r="C54" s="13" t="s">
        <v>1930</v>
      </c>
      <c r="D54" s="13" t="s">
        <v>391</v>
      </c>
      <c r="E54" s="13" t="s">
        <v>488</v>
      </c>
      <c r="F54" s="13">
        <v>6</v>
      </c>
      <c r="G54" s="13" t="s">
        <v>1931</v>
      </c>
      <c r="H54" s="13" t="s">
        <v>1858</v>
      </c>
      <c r="I54" s="13" t="s">
        <v>502</v>
      </c>
      <c r="J54" s="13" t="s">
        <v>1932</v>
      </c>
    </row>
    <row r="55" spans="1:10" ht="76.5">
      <c r="A55" s="13" t="s">
        <v>1933</v>
      </c>
      <c r="B55" s="13" t="s">
        <v>1934</v>
      </c>
      <c r="C55" s="13" t="s">
        <v>1935</v>
      </c>
      <c r="D55" s="13" t="s">
        <v>391</v>
      </c>
      <c r="E55" s="13" t="s">
        <v>488</v>
      </c>
      <c r="F55" s="13">
        <v>6</v>
      </c>
      <c r="G55" s="13" t="s">
        <v>1936</v>
      </c>
      <c r="H55" s="13" t="s">
        <v>1617</v>
      </c>
      <c r="I55" s="13" t="s">
        <v>502</v>
      </c>
      <c r="J55" s="13" t="s">
        <v>1937</v>
      </c>
    </row>
    <row r="56" spans="1:10" ht="76.5">
      <c r="A56" s="13" t="s">
        <v>1938</v>
      </c>
      <c r="B56" s="13" t="s">
        <v>575</v>
      </c>
      <c r="C56" s="13" t="s">
        <v>1721</v>
      </c>
      <c r="D56" s="13" t="s">
        <v>492</v>
      </c>
      <c r="E56" s="13" t="s">
        <v>488</v>
      </c>
      <c r="F56" s="13">
        <v>8</v>
      </c>
      <c r="G56" s="13" t="s">
        <v>1939</v>
      </c>
      <c r="H56" s="13" t="s">
        <v>592</v>
      </c>
      <c r="I56" s="13" t="s">
        <v>502</v>
      </c>
      <c r="J56" s="13" t="s">
        <v>1940</v>
      </c>
    </row>
    <row r="57" spans="1:10" ht="63.75">
      <c r="A57" s="13" t="s">
        <v>1941</v>
      </c>
      <c r="B57" s="13" t="s">
        <v>575</v>
      </c>
      <c r="C57" s="13" t="s">
        <v>1725</v>
      </c>
      <c r="D57" s="13" t="s">
        <v>391</v>
      </c>
      <c r="E57" s="13" t="s">
        <v>488</v>
      </c>
      <c r="F57" s="13">
        <v>6</v>
      </c>
      <c r="G57" s="13" t="s">
        <v>1942</v>
      </c>
      <c r="H57" s="13" t="s">
        <v>1032</v>
      </c>
      <c r="I57" s="13" t="s">
        <v>502</v>
      </c>
      <c r="J57" s="13" t="s">
        <v>1943</v>
      </c>
    </row>
    <row r="58" spans="1:10" ht="76.5">
      <c r="A58" s="13" t="s">
        <v>1944</v>
      </c>
      <c r="B58" s="13" t="s">
        <v>575</v>
      </c>
      <c r="C58" s="13" t="s">
        <v>1733</v>
      </c>
      <c r="D58" s="13" t="s">
        <v>492</v>
      </c>
      <c r="E58" s="13" t="s">
        <v>488</v>
      </c>
      <c r="F58" s="13">
        <v>8</v>
      </c>
      <c r="G58" s="13" t="s">
        <v>1734</v>
      </c>
      <c r="H58" s="13" t="s">
        <v>1403</v>
      </c>
      <c r="I58" s="13" t="s">
        <v>502</v>
      </c>
      <c r="J58" s="13" t="s">
        <v>1627</v>
      </c>
    </row>
    <row r="59" spans="1:10" ht="63.75">
      <c r="A59" s="13" t="s">
        <v>1945</v>
      </c>
      <c r="B59" s="13" t="s">
        <v>575</v>
      </c>
      <c r="C59" s="13" t="s">
        <v>1047</v>
      </c>
      <c r="D59" s="13" t="s">
        <v>391</v>
      </c>
      <c r="E59" s="13" t="s">
        <v>488</v>
      </c>
      <c r="F59" s="13">
        <v>6</v>
      </c>
      <c r="G59" s="13" t="s">
        <v>1839</v>
      </c>
      <c r="H59" s="13" t="s">
        <v>1049</v>
      </c>
      <c r="I59" s="13" t="s">
        <v>502</v>
      </c>
      <c r="J59" s="13" t="s">
        <v>1737</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1946</v>
      </c>
      <c r="B63" s="13" t="s">
        <v>1947</v>
      </c>
      <c r="C63" s="13" t="s">
        <v>579</v>
      </c>
      <c r="D63" s="13" t="s">
        <v>502</v>
      </c>
      <c r="E63" s="13"/>
      <c r="F63" s="13"/>
      <c r="G63" s="13" t="s">
        <v>1842</v>
      </c>
      <c r="H63" s="13"/>
      <c r="I63" s="13"/>
      <c r="J63" s="13"/>
    </row>
    <row r="64" spans="1:10" ht="63.75">
      <c r="A64" s="13" t="s">
        <v>1948</v>
      </c>
      <c r="B64" s="13" t="s">
        <v>1949</v>
      </c>
      <c r="C64" s="13" t="s">
        <v>587</v>
      </c>
      <c r="D64" s="13" t="s">
        <v>502</v>
      </c>
      <c r="E64" s="13"/>
      <c r="F64" s="13"/>
      <c r="G64" s="13" t="s">
        <v>588</v>
      </c>
      <c r="H64" s="13"/>
      <c r="I64" s="13"/>
      <c r="J64" s="13"/>
    </row>
    <row r="65" spans="1:10" ht="63.75">
      <c r="A65" s="13" t="s">
        <v>1950</v>
      </c>
      <c r="B65" s="13" t="s">
        <v>1951</v>
      </c>
      <c r="C65" s="13" t="s">
        <v>1858</v>
      </c>
      <c r="D65" s="13" t="s">
        <v>502</v>
      </c>
      <c r="E65" s="13"/>
      <c r="F65" s="13"/>
      <c r="G65" s="13" t="s">
        <v>1859</v>
      </c>
      <c r="H65" s="13"/>
      <c r="I65" s="13"/>
      <c r="J65" s="13"/>
    </row>
    <row r="66" spans="1:10" ht="63.75">
      <c r="A66" s="13" t="s">
        <v>1952</v>
      </c>
      <c r="B66" s="13" t="s">
        <v>1953</v>
      </c>
      <c r="C66" s="13" t="s">
        <v>601</v>
      </c>
      <c r="D66" s="13" t="s">
        <v>502</v>
      </c>
      <c r="E66" s="13"/>
      <c r="F66" s="13"/>
      <c r="G66" s="13" t="s">
        <v>602</v>
      </c>
      <c r="H66" s="13"/>
      <c r="I66" s="13"/>
      <c r="J66" s="13"/>
    </row>
    <row r="67" spans="1:10" ht="76.5">
      <c r="A67" s="13" t="s">
        <v>1954</v>
      </c>
      <c r="B67" s="13" t="s">
        <v>1417</v>
      </c>
      <c r="C67" s="13" t="s">
        <v>609</v>
      </c>
      <c r="D67" s="13" t="s">
        <v>502</v>
      </c>
      <c r="E67" s="13"/>
      <c r="F67" s="13"/>
      <c r="G67" s="13" t="s">
        <v>1418</v>
      </c>
      <c r="H67" s="13"/>
      <c r="I67" s="13"/>
      <c r="J67" s="13"/>
    </row>
    <row r="68" spans="1:10" ht="76.5">
      <c r="A68" s="13" t="s">
        <v>1955</v>
      </c>
      <c r="B68" s="13" t="s">
        <v>1956</v>
      </c>
      <c r="C68" s="13" t="s">
        <v>616</v>
      </c>
      <c r="D68" s="13" t="s">
        <v>502</v>
      </c>
      <c r="E68" s="13"/>
      <c r="F68" s="13"/>
      <c r="G68" s="13" t="s">
        <v>617</v>
      </c>
      <c r="H68" s="13"/>
      <c r="I68" s="13"/>
      <c r="J68" s="13"/>
    </row>
    <row r="69" spans="1:10" ht="76.5">
      <c r="A69" s="13" t="s">
        <v>1957</v>
      </c>
      <c r="B69" s="13" t="s">
        <v>1647</v>
      </c>
      <c r="C69" s="13" t="s">
        <v>622</v>
      </c>
      <c r="D69" s="13" t="s">
        <v>502</v>
      </c>
      <c r="E69" s="13"/>
      <c r="F69" s="13"/>
      <c r="G69" s="13" t="s">
        <v>623</v>
      </c>
      <c r="H69" s="13"/>
      <c r="I69" s="13"/>
      <c r="J69" s="13"/>
    </row>
    <row r="70" spans="1:10" ht="76.5">
      <c r="A70" s="13" t="s">
        <v>1958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1959</v>
      </c>
      <c r="B74" s="13" t="s">
        <v>12</v>
      </c>
      <c r="C74" s="13" t="s">
        <v>269</v>
      </c>
      <c r="D74" s="13" t="s">
        <v>1960</v>
      </c>
      <c r="E74" s="13"/>
      <c r="F74" s="13" t="s">
        <v>229</v>
      </c>
      <c r="G74" s="13"/>
      <c r="H74" s="13" t="s">
        <v>1961</v>
      </c>
      <c r="I74" s="13" t="s">
        <v>502</v>
      </c>
      <c r="J74" s="13"/>
    </row>
    <row r="75" spans="1:10" ht="76.5">
      <c r="A75" s="13" t="s">
        <v>1962</v>
      </c>
      <c r="B75" s="13" t="s">
        <v>408</v>
      </c>
      <c r="C75" s="13" t="s">
        <v>269</v>
      </c>
      <c r="D75" s="13" t="s">
        <v>1963</v>
      </c>
      <c r="E75" s="13"/>
      <c r="F75" s="13" t="s">
        <v>229</v>
      </c>
      <c r="G75" s="13"/>
      <c r="H75" s="13" t="s">
        <v>1964</v>
      </c>
      <c r="I75" s="13" t="s">
        <v>502</v>
      </c>
      <c r="J75" s="13"/>
    </row>
    <row r="76" spans="1:10" ht="89.25">
      <c r="A76" s="13" t="s">
        <v>1965</v>
      </c>
      <c r="B76" s="13" t="s">
        <v>1895</v>
      </c>
      <c r="C76" s="13" t="s">
        <v>269</v>
      </c>
      <c r="D76" s="13" t="s">
        <v>1966</v>
      </c>
      <c r="E76" s="13"/>
      <c r="F76" s="13" t="s">
        <v>229</v>
      </c>
      <c r="G76" s="13"/>
      <c r="H76" s="13" t="s">
        <v>1964</v>
      </c>
      <c r="I76" s="13" t="s">
        <v>502</v>
      </c>
      <c r="J76" s="13"/>
    </row>
    <row r="77" spans="1:10" ht="76.5">
      <c r="A77" s="13" t="s">
        <v>1967</v>
      </c>
      <c r="B77" s="13" t="s">
        <v>575</v>
      </c>
      <c r="C77" s="13" t="s">
        <v>749</v>
      </c>
      <c r="D77" s="13" t="s">
        <v>1968</v>
      </c>
      <c r="E77" s="13"/>
      <c r="F77" s="13" t="s">
        <v>229</v>
      </c>
      <c r="G77" s="13"/>
      <c r="H77" s="13" t="s">
        <v>1929</v>
      </c>
      <c r="I77" s="13" t="s">
        <v>502</v>
      </c>
      <c r="J77" s="13"/>
    </row>
    <row r="78" spans="1:10" ht="63.75">
      <c r="A78" s="13" t="s">
        <v>1969</v>
      </c>
      <c r="B78" s="13" t="s">
        <v>575</v>
      </c>
      <c r="C78" s="13" t="s">
        <v>957</v>
      </c>
      <c r="D78" s="13" t="s">
        <v>1659</v>
      </c>
      <c r="E78" s="13"/>
      <c r="F78" s="13" t="s">
        <v>229</v>
      </c>
      <c r="G78" s="13"/>
      <c r="H78" s="13" t="s">
        <v>1944</v>
      </c>
      <c r="I78" s="13" t="s">
        <v>502</v>
      </c>
      <c r="J78" s="13"/>
    </row>
    <row r="79" spans="1:10" ht="89.25">
      <c r="A79" s="13" t="s">
        <v>1970</v>
      </c>
      <c r="B79" s="13" t="s">
        <v>575</v>
      </c>
      <c r="C79" s="13" t="s">
        <v>148</v>
      </c>
      <c r="D79" s="13" t="s">
        <v>1971</v>
      </c>
      <c r="E79" s="13"/>
      <c r="F79" s="13" t="s">
        <v>229</v>
      </c>
      <c r="G79" s="13"/>
      <c r="H79" s="13" t="s">
        <v>1938</v>
      </c>
      <c r="I79" s="13" t="s">
        <v>502</v>
      </c>
      <c r="J79" s="13"/>
    </row>
    <row r="80" spans="1:10" ht="63.75">
      <c r="A80" s="13" t="s">
        <v>1972</v>
      </c>
      <c r="B80" s="13" t="s">
        <v>575</v>
      </c>
      <c r="C80" s="13" t="s">
        <v>153</v>
      </c>
      <c r="D80" s="13" t="s">
        <v>1973</v>
      </c>
      <c r="E80" s="13"/>
      <c r="F80" s="13" t="s">
        <v>229</v>
      </c>
      <c r="G80" s="13"/>
      <c r="H80" s="13" t="s">
        <v>1941</v>
      </c>
      <c r="I80" s="13" t="s">
        <v>502</v>
      </c>
      <c r="J80" s="13"/>
    </row>
    <row r="81" spans="1:10" ht="89.25">
      <c r="A81" s="13" t="s">
        <v>1974</v>
      </c>
      <c r="B81" s="13" t="s">
        <v>575</v>
      </c>
      <c r="C81" s="13" t="s">
        <v>1975</v>
      </c>
      <c r="D81" s="13" t="s">
        <v>1976</v>
      </c>
      <c r="E81" s="13"/>
      <c r="F81" s="13" t="s">
        <v>229</v>
      </c>
      <c r="G81" s="13"/>
      <c r="H81" s="13" t="s">
        <v>1945</v>
      </c>
      <c r="I81" s="13" t="s">
        <v>502</v>
      </c>
      <c r="J81" s="13"/>
    </row>
    <row r="82" spans="1:10">
      <c r="A82" s="13"/>
      <c r="B82" s="13"/>
      <c r="C82" s="13"/>
      <c r="D82" s="13"/>
      <c r="E82" s="13"/>
      <c r="F82" s="13"/>
      <c r="G82" s="13"/>
      <c r="H82" s="13"/>
      <c r="I82" s="13"/>
      <c r="J82" s="13"/>
    </row>
    <row r="83" spans="1:10">
      <c r="A83" s="575" t="s">
        <v>1079</v>
      </c>
      <c r="B83" s="896"/>
      <c r="C83" s="896"/>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8.25">
      <c r="A85" s="13" t="s">
        <v>12</v>
      </c>
      <c r="B85" s="128">
        <v>0.5</v>
      </c>
      <c r="C85" s="128">
        <v>0.5</v>
      </c>
      <c r="D85" s="128">
        <v>0.5</v>
      </c>
      <c r="E85" s="128">
        <v>0.5</v>
      </c>
      <c r="F85" s="128">
        <v>0.5</v>
      </c>
      <c r="G85" s="13" t="s">
        <v>677</v>
      </c>
      <c r="H85" s="128">
        <v>0.5</v>
      </c>
      <c r="I85" s="13" t="s">
        <v>1201</v>
      </c>
      <c r="J85" s="13" t="s">
        <v>1977</v>
      </c>
    </row>
    <row r="86" spans="1:10" ht="38.25">
      <c r="A86" s="13" t="s">
        <v>408</v>
      </c>
      <c r="B86" s="128">
        <v>0.5</v>
      </c>
      <c r="C86" s="128">
        <v>0.5</v>
      </c>
      <c r="D86" s="128">
        <v>0.5</v>
      </c>
      <c r="E86" s="128">
        <v>0.5</v>
      </c>
      <c r="F86" s="128">
        <v>0.5</v>
      </c>
      <c r="G86" s="13" t="s">
        <v>677</v>
      </c>
      <c r="H86" s="128">
        <v>0.5</v>
      </c>
      <c r="I86" s="13" t="s">
        <v>1201</v>
      </c>
      <c r="J86" s="13" t="s">
        <v>1978</v>
      </c>
    </row>
    <row r="87" spans="1:10" ht="38.25">
      <c r="A87" s="13" t="s">
        <v>1895</v>
      </c>
      <c r="B87" s="128">
        <v>0.5</v>
      </c>
      <c r="C87" s="128">
        <v>0.5</v>
      </c>
      <c r="D87" s="128">
        <v>0.5</v>
      </c>
      <c r="E87" s="128">
        <v>0.5</v>
      </c>
      <c r="F87" s="128">
        <v>0.5</v>
      </c>
      <c r="G87" s="13" t="s">
        <v>677</v>
      </c>
      <c r="H87" s="128">
        <v>0.5</v>
      </c>
      <c r="I87" s="13" t="s">
        <v>1201</v>
      </c>
      <c r="J87" s="13" t="s">
        <v>1979</v>
      </c>
    </row>
    <row r="88" spans="1:10">
      <c r="A88" s="13"/>
      <c r="B88" s="13"/>
      <c r="C88" s="13"/>
      <c r="D88" s="13"/>
      <c r="E88" s="13"/>
      <c r="F88" s="13"/>
      <c r="G88" s="13"/>
      <c r="H88" s="13"/>
      <c r="I88" s="13"/>
      <c r="J88" s="13"/>
    </row>
    <row r="89" spans="1:10">
      <c r="A89" s="575" t="s">
        <v>1085</v>
      </c>
      <c r="B89" s="896"/>
      <c r="C89" s="896"/>
      <c r="D89" s="85"/>
      <c r="E89" s="85"/>
      <c r="F89" s="85"/>
      <c r="G89" s="85"/>
      <c r="H89" s="85"/>
      <c r="I89" s="85"/>
      <c r="J89" s="85"/>
    </row>
    <row r="90" spans="1:10" ht="38.25">
      <c r="A90" s="50" t="s">
        <v>905</v>
      </c>
      <c r="B90" s="50" t="s">
        <v>791</v>
      </c>
      <c r="C90" s="50"/>
      <c r="D90" s="50"/>
      <c r="E90" s="50"/>
      <c r="F90" s="50"/>
      <c r="G90" s="50"/>
      <c r="H90" s="50"/>
      <c r="I90" s="50"/>
      <c r="J90" s="50"/>
    </row>
    <row r="91" spans="1:10">
      <c r="A91" s="13" t="s">
        <v>1086</v>
      </c>
      <c r="B91" s="594" t="s">
        <v>1980</v>
      </c>
      <c r="C91" s="896"/>
      <c r="D91" s="896"/>
      <c r="E91" s="896"/>
      <c r="F91" s="896"/>
      <c r="G91" s="896"/>
      <c r="H91" s="896"/>
      <c r="I91" s="896"/>
      <c r="J91" s="896"/>
    </row>
    <row r="92" spans="1:10">
      <c r="A92" s="13" t="s">
        <v>1088</v>
      </c>
      <c r="B92" s="594" t="s">
        <v>1981</v>
      </c>
      <c r="C92" s="896"/>
      <c r="D92" s="896"/>
      <c r="E92" s="896"/>
      <c r="F92" s="896"/>
      <c r="G92" s="896"/>
      <c r="H92" s="896"/>
      <c r="I92" s="896"/>
      <c r="J92" s="896"/>
    </row>
    <row r="93" spans="1:10">
      <c r="A93" s="13" t="s">
        <v>1090</v>
      </c>
      <c r="B93" s="594" t="s">
        <v>1982</v>
      </c>
      <c r="C93" s="896"/>
      <c r="D93" s="896"/>
      <c r="E93" s="896"/>
      <c r="F93" s="896"/>
      <c r="G93" s="896"/>
      <c r="H93" s="896"/>
      <c r="I93" s="896"/>
      <c r="J93" s="896"/>
    </row>
    <row r="94" spans="1:10">
      <c r="A94" s="13" t="s">
        <v>1089</v>
      </c>
      <c r="B94" s="594" t="s">
        <v>1983</v>
      </c>
      <c r="C94" s="896"/>
      <c r="D94" s="896"/>
      <c r="E94" s="896"/>
      <c r="F94" s="896"/>
      <c r="G94" s="896"/>
      <c r="H94" s="896"/>
      <c r="I94" s="896"/>
      <c r="J94" s="896"/>
    </row>
    <row r="95" spans="1:10" ht="38.25">
      <c r="A95" s="13" t="s">
        <v>1984</v>
      </c>
      <c r="B95" s="594" t="s">
        <v>1985</v>
      </c>
      <c r="C95" s="896"/>
      <c r="D95" s="896"/>
      <c r="E95" s="896"/>
      <c r="F95" s="896"/>
      <c r="G95" s="896"/>
      <c r="H95" s="896"/>
      <c r="I95" s="896"/>
      <c r="J95" s="896"/>
    </row>
    <row r="96" spans="1:10">
      <c r="A96" s="13" t="s">
        <v>1563</v>
      </c>
      <c r="B96" s="594" t="s">
        <v>1776</v>
      </c>
      <c r="C96" s="896"/>
      <c r="D96" s="896"/>
      <c r="E96" s="896"/>
      <c r="F96" s="896"/>
      <c r="G96" s="896"/>
      <c r="H96" s="896"/>
      <c r="I96" s="896"/>
      <c r="J96"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7">
        <v>1</v>
      </c>
      <c r="D101" s="327">
        <v>0</v>
      </c>
      <c r="E101" s="310" t="s">
        <v>5675</v>
      </c>
      <c r="F101" s="327">
        <f>IF(AND(C101&lt;&gt;"",D101&lt;&gt;""),D101-C101,"")</f>
        <v>-1</v>
      </c>
      <c r="G101" s="610"/>
      <c r="H101" s="610"/>
      <c r="I101" s="610"/>
      <c r="J101" s="611"/>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610"/>
      <c r="H103" s="610"/>
      <c r="I103" s="610"/>
      <c r="J103" s="611"/>
    </row>
    <row r="104" spans="1:10">
      <c r="A104" s="323" t="s">
        <v>5168</v>
      </c>
      <c r="B104" s="333" t="s">
        <v>484</v>
      </c>
      <c r="C104" s="327">
        <v>1</v>
      </c>
      <c r="D104" s="327">
        <v>0</v>
      </c>
      <c r="E104" s="310" t="s">
        <v>5675</v>
      </c>
      <c r="F104" s="325">
        <f>IF(AND(C104&lt;&gt;"",D104&lt;&gt;""),D104-C104,"")</f>
        <v>-1</v>
      </c>
      <c r="G104" s="328"/>
      <c r="H104" s="227"/>
      <c r="I104" s="227"/>
      <c r="J104" s="329"/>
    </row>
    <row r="105" spans="1:10" ht="15.75">
      <c r="A105" s="585" t="s">
        <v>5636</v>
      </c>
      <c r="B105" s="586"/>
      <c r="C105" s="330">
        <f>IFERROR(AVERAGE(C100:C104),"")</f>
        <v>0.8</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s>
  <conditionalFormatting sqref="B100:B104">
    <cfRule type="expression" dxfId="1033" priority="21">
      <formula>B100="Complete"</formula>
    </cfRule>
    <cfRule type="expression" dxfId="1032" priority="22">
      <formula>B100="In Progress"</formula>
    </cfRule>
    <cfRule type="expression" dxfId="1031" priority="23">
      <formula>B100="At Risk"</formula>
    </cfRule>
    <cfRule type="expression" dxfId="1030" priority="24">
      <formula>B100="Blocked"</formula>
    </cfRule>
    <cfRule type="expression" dxfId="1029" priority="25">
      <formula>B100="Not Started"</formula>
    </cfRule>
  </conditionalFormatting>
  <conditionalFormatting sqref="B109:B116">
    <cfRule type="expression" dxfId="1028" priority="1">
      <formula>B109="Complete"</formula>
    </cfRule>
    <cfRule type="expression" dxfId="1027" priority="2">
      <formula>B109="In Progress"</formula>
    </cfRule>
    <cfRule type="expression" dxfId="1026" priority="3">
      <formula>B109="At Risk"</formula>
    </cfRule>
    <cfRule type="expression" dxfId="1025" priority="4">
      <formula>B109="Blocked"</formula>
    </cfRule>
    <cfRule type="expression" dxfId="1024" priority="5">
      <formula>B109="Not Started"</formula>
    </cfRule>
  </conditionalFormatting>
  <conditionalFormatting sqref="B121:B125">
    <cfRule type="expression" dxfId="1023" priority="30">
      <formula>B121="Not Started"</formula>
    </cfRule>
    <cfRule type="expression" dxfId="1022" priority="29">
      <formula>B121="Blocked"</formula>
    </cfRule>
    <cfRule type="expression" dxfId="1021" priority="28">
      <formula>B121="At Risk"</formula>
    </cfRule>
    <cfRule type="expression" dxfId="1020" priority="27">
      <formula>B121="In Progress"</formula>
    </cfRule>
    <cfRule type="expression" dxfId="1019" priority="26">
      <formula>B121="Complete"</formula>
    </cfRule>
  </conditionalFormatting>
  <conditionalFormatting sqref="B130:B133">
    <cfRule type="expression" dxfId="1018" priority="6">
      <formula>B130="Complete"</formula>
    </cfRule>
    <cfRule type="expression" dxfId="1017" priority="7">
      <formula>B130="In Progress"</formula>
    </cfRule>
    <cfRule type="expression" dxfId="1016" priority="8">
      <formula>B130="At Risk"</formula>
    </cfRule>
    <cfRule type="expression" dxfId="1015" priority="9">
      <formula>B130="Blocked"</formula>
    </cfRule>
    <cfRule type="expression" dxfId="1014" priority="10">
      <formula>B130="Not Started"</formula>
    </cfRule>
  </conditionalFormatting>
  <conditionalFormatting sqref="B138:B143">
    <cfRule type="expression" dxfId="1013" priority="11">
      <formula>B138="Complete"</formula>
    </cfRule>
    <cfRule type="expression" dxfId="1012" priority="12">
      <formula>B138="In Progress"</formula>
    </cfRule>
    <cfRule type="expression" dxfId="1011" priority="13">
      <formula>B138="At Risk"</formula>
    </cfRule>
    <cfRule type="expression" dxfId="1010" priority="14">
      <formula>B138="Blocked"</formula>
    </cfRule>
    <cfRule type="expression" dxfId="1009" priority="15">
      <formula>B138="Not Started"</formula>
    </cfRule>
  </conditionalFormatting>
  <conditionalFormatting sqref="B161:B168">
    <cfRule type="expression" dxfId="1008" priority="82">
      <formula>B161="Yes"</formula>
    </cfRule>
    <cfRule type="expression" dxfId="1007" priority="83">
      <formula>B161="N/A"</formula>
    </cfRule>
    <cfRule type="expression" dxfId="1006" priority="84">
      <formula>B161="No"</formula>
    </cfRule>
  </conditionalFormatting>
  <conditionalFormatting sqref="B178:H178">
    <cfRule type="expression" dxfId="1005" priority="86">
      <formula>COUNTIF($B$6:$B$13,"No")&gt;0</formula>
    </cfRule>
    <cfRule type="expression" dxfId="1004"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1003" priority="32">
      <formula>C109="No"</formula>
    </cfRule>
    <cfRule type="expression" dxfId="1002" priority="31">
      <formula>C109="Yes"</formula>
    </cfRule>
    <cfRule type="expression" dxfId="1001"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0" priority="17">
      <formula>C138="No"</formula>
    </cfRule>
    <cfRule type="expression" dxfId="999" priority="16">
      <formula>C138="Yes"</formula>
    </cfRule>
    <cfRule type="expression" dxfId="998"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97" priority="87">
      <formula>E5="Pass"</formula>
    </cfRule>
    <cfRule type="expression" dxfId="996" priority="88">
      <formula>E5="Verify"</formula>
    </cfRule>
    <cfRule type="expression" dxfId="995" priority="89">
      <formula>E5="Fail"</formula>
    </cfRule>
    <cfRule type="expression" dxfId="994" priority="90">
      <formula>E5="Not Started"</formula>
    </cfRule>
  </conditionalFormatting>
  <conditionalFormatting sqref="F3">
    <cfRule type="expression" dxfId="993" priority="91">
      <formula>F3="Yes"</formula>
    </cfRule>
    <cfRule type="expression" dxfId="992" priority="92">
      <formula>F3="No"</formula>
    </cfRule>
  </conditionalFormatting>
  <conditionalFormatting sqref="F121:F125">
    <cfRule type="expression" dxfId="991" priority="35">
      <formula>F121="Fail"</formula>
    </cfRule>
    <cfRule type="expression" dxfId="990" priority="36">
      <formula>F121="Pending"</formula>
    </cfRule>
    <cfRule type="expression" dxfId="989"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Lookup_Lists!$L$37:$L$39</xm:f>
          </x14:formula1>
          <xm:sqref>C121:E125 J2</xm:sqref>
        </x14:dataValidation>
        <x14:dataValidation type="list" allowBlank="1" showInputMessage="1" showErrorMessage="1" xr:uid="{F0D89FB5-CFC6-4522-A023-F4AA64D2D670}">
          <x14:formula1>
            <xm:f>Lookup_Lists!$A$36:$A$42</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1986</v>
      </c>
      <c r="B1" s="896"/>
      <c r="C1" s="896"/>
      <c r="D1" s="896"/>
      <c r="E1" s="896"/>
      <c r="F1" s="896"/>
      <c r="G1" s="896"/>
      <c r="H1" s="896"/>
      <c r="I1" s="896"/>
      <c r="J1" s="896"/>
    </row>
    <row r="2" spans="1:10" s="223" customFormat="1">
      <c r="A2" s="219" t="s">
        <v>142</v>
      </c>
      <c r="B2" s="220" t="s">
        <v>697</v>
      </c>
      <c r="C2" s="219" t="s">
        <v>902</v>
      </c>
      <c r="D2" s="220" t="s">
        <v>1094</v>
      </c>
      <c r="E2" s="219" t="s">
        <v>151</v>
      </c>
      <c r="F2" s="220" t="s">
        <v>1095</v>
      </c>
      <c r="G2" s="219" t="s">
        <v>174</v>
      </c>
      <c r="H2" s="221">
        <v>0.5</v>
      </c>
      <c r="I2" s="219" t="s">
        <v>154</v>
      </c>
      <c r="J2" s="222" t="s">
        <v>1096</v>
      </c>
    </row>
    <row r="3" spans="1:10" s="227" customFormat="1" ht="25.5">
      <c r="A3" s="219" t="s">
        <v>903</v>
      </c>
      <c r="B3" s="224">
        <v>46198.617763599526</v>
      </c>
      <c r="C3" s="225" t="s">
        <v>904</v>
      </c>
      <c r="D3" s="226" t="s">
        <v>721</v>
      </c>
      <c r="E3" s="219" t="s">
        <v>905</v>
      </c>
      <c r="F3" s="226" t="s">
        <v>1987</v>
      </c>
      <c r="G3" s="219" t="s">
        <v>907</v>
      </c>
      <c r="H3" s="226" t="s">
        <v>908</v>
      </c>
      <c r="I3" s="219" t="s">
        <v>551</v>
      </c>
      <c r="J3" s="226" t="s">
        <v>1988</v>
      </c>
    </row>
    <row r="4" spans="1:10" s="227" customFormat="1" ht="140.25">
      <c r="A4" s="219" t="s">
        <v>161</v>
      </c>
      <c r="B4" s="226">
        <v>0</v>
      </c>
      <c r="C4" s="219" t="s">
        <v>199</v>
      </c>
      <c r="D4" s="226">
        <v>0</v>
      </c>
      <c r="E4" s="219" t="s">
        <v>179</v>
      </c>
      <c r="F4" s="226">
        <v>0</v>
      </c>
      <c r="G4" s="219" t="s">
        <v>870</v>
      </c>
      <c r="H4" s="228" t="s">
        <v>1989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604" t="s">
        <v>1990</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697</v>
      </c>
      <c r="B10" s="13" t="s">
        <v>411</v>
      </c>
      <c r="C10" s="13" t="s">
        <v>1991</v>
      </c>
      <c r="D10" s="13" t="s">
        <v>1992</v>
      </c>
      <c r="E10" s="13" t="s">
        <v>356</v>
      </c>
      <c r="F10" s="13">
        <v>2</v>
      </c>
      <c r="G10" s="13">
        <v>1</v>
      </c>
      <c r="H10" s="13" t="s">
        <v>677</v>
      </c>
      <c r="I10" s="13" t="s">
        <v>1993</v>
      </c>
      <c r="J10" s="13" t="s">
        <v>1994</v>
      </c>
    </row>
    <row r="11" spans="1:10" ht="63.75">
      <c r="A11" s="13" t="s">
        <v>697</v>
      </c>
      <c r="B11" s="13" t="s">
        <v>1995</v>
      </c>
      <c r="C11" s="13" t="s">
        <v>923</v>
      </c>
      <c r="D11" s="13" t="s">
        <v>1996</v>
      </c>
      <c r="E11" s="13" t="s">
        <v>1997</v>
      </c>
      <c r="F11" s="13">
        <v>0</v>
      </c>
      <c r="G11" s="13">
        <v>0</v>
      </c>
      <c r="H11" s="13" t="s">
        <v>677</v>
      </c>
      <c r="I11" s="13" t="s">
        <v>1998</v>
      </c>
      <c r="J11" s="13" t="s">
        <v>1999</v>
      </c>
    </row>
    <row r="12" spans="1:10" ht="63.75">
      <c r="A12" s="13" t="s">
        <v>697</v>
      </c>
      <c r="B12" s="13" t="s">
        <v>2000</v>
      </c>
      <c r="C12" s="13" t="s">
        <v>923</v>
      </c>
      <c r="D12" s="13" t="s">
        <v>2001</v>
      </c>
      <c r="E12" s="13" t="s">
        <v>2002</v>
      </c>
      <c r="F12" s="13">
        <v>0</v>
      </c>
      <c r="G12" s="13">
        <v>0</v>
      </c>
      <c r="H12" s="13" t="s">
        <v>677</v>
      </c>
      <c r="I12" s="13" t="s">
        <v>2003</v>
      </c>
      <c r="J12" s="13" t="s">
        <v>2004</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63.75">
      <c r="A16" s="13" t="s">
        <v>411</v>
      </c>
      <c r="B16" s="13" t="s">
        <v>677</v>
      </c>
      <c r="C16" s="13" t="s">
        <v>677</v>
      </c>
      <c r="D16" s="13" t="s">
        <v>677</v>
      </c>
      <c r="E16" s="13" t="s">
        <v>677</v>
      </c>
      <c r="F16" s="13" t="s">
        <v>677</v>
      </c>
      <c r="G16" s="13" t="s">
        <v>677</v>
      </c>
      <c r="H16" s="13" t="s">
        <v>677</v>
      </c>
      <c r="I16" s="13" t="s">
        <v>677</v>
      </c>
      <c r="J16" s="13" t="s">
        <v>2005</v>
      </c>
    </row>
    <row r="17" spans="1:10" ht="51">
      <c r="A17" s="13" t="s">
        <v>1995</v>
      </c>
      <c r="B17" s="13" t="s">
        <v>679</v>
      </c>
      <c r="C17" s="13" t="s">
        <v>679</v>
      </c>
      <c r="D17" s="13" t="s">
        <v>679</v>
      </c>
      <c r="E17" s="13" t="s">
        <v>677</v>
      </c>
      <c r="F17" s="13" t="s">
        <v>679</v>
      </c>
      <c r="G17" s="13" t="s">
        <v>677</v>
      </c>
      <c r="H17" s="13" t="s">
        <v>677</v>
      </c>
      <c r="I17" s="13" t="s">
        <v>677</v>
      </c>
      <c r="J17" s="13" t="s">
        <v>2006</v>
      </c>
    </row>
    <row r="18" spans="1:10" ht="38.25">
      <c r="A18" s="13" t="s">
        <v>2000</v>
      </c>
      <c r="B18" s="13" t="s">
        <v>679</v>
      </c>
      <c r="C18" s="13" t="s">
        <v>679</v>
      </c>
      <c r="D18" s="13" t="s">
        <v>679</v>
      </c>
      <c r="E18" s="13" t="s">
        <v>677</v>
      </c>
      <c r="F18" s="13" t="s">
        <v>679</v>
      </c>
      <c r="G18" s="13" t="s">
        <v>677</v>
      </c>
      <c r="H18" s="13" t="s">
        <v>677</v>
      </c>
      <c r="I18" s="13" t="s">
        <v>677</v>
      </c>
      <c r="J18" s="13" t="s">
        <v>2007</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63.75">
      <c r="A22" s="13" t="s">
        <v>411</v>
      </c>
      <c r="B22" s="13" t="s">
        <v>677</v>
      </c>
      <c r="C22" s="13" t="s">
        <v>677</v>
      </c>
      <c r="D22" s="13" t="s">
        <v>677</v>
      </c>
      <c r="E22" s="13" t="s">
        <v>677</v>
      </c>
      <c r="F22" s="13" t="s">
        <v>677</v>
      </c>
      <c r="G22" s="13" t="s">
        <v>677</v>
      </c>
      <c r="H22" s="13" t="s">
        <v>677</v>
      </c>
      <c r="I22" s="13" t="s">
        <v>677</v>
      </c>
      <c r="J22" s="13" t="s">
        <v>2008</v>
      </c>
    </row>
    <row r="23" spans="1:10" ht="38.25">
      <c r="A23" s="13" t="s">
        <v>1995</v>
      </c>
      <c r="B23" s="13" t="s">
        <v>677</v>
      </c>
      <c r="C23" s="13" t="s">
        <v>679</v>
      </c>
      <c r="D23" s="13" t="s">
        <v>677</v>
      </c>
      <c r="E23" s="13" t="s">
        <v>677</v>
      </c>
      <c r="F23" s="13" t="s">
        <v>677</v>
      </c>
      <c r="G23" s="13" t="s">
        <v>677</v>
      </c>
      <c r="H23" s="13" t="s">
        <v>677</v>
      </c>
      <c r="I23" s="13" t="s">
        <v>677</v>
      </c>
      <c r="J23" s="13" t="s">
        <v>2009</v>
      </c>
    </row>
    <row r="24" spans="1:10" ht="38.25">
      <c r="A24" s="13" t="s">
        <v>2000</v>
      </c>
      <c r="B24" s="13" t="s">
        <v>677</v>
      </c>
      <c r="C24" s="13" t="s">
        <v>679</v>
      </c>
      <c r="D24" s="13" t="s">
        <v>677</v>
      </c>
      <c r="E24" s="13" t="s">
        <v>677</v>
      </c>
      <c r="F24" s="13" t="s">
        <v>677</v>
      </c>
      <c r="G24" s="13" t="s">
        <v>677</v>
      </c>
      <c r="H24" s="13" t="s">
        <v>677</v>
      </c>
      <c r="I24" s="13" t="s">
        <v>677</v>
      </c>
      <c r="J24" s="13" t="s">
        <v>2010</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411</v>
      </c>
      <c r="B28" s="13" t="s">
        <v>972</v>
      </c>
      <c r="C28" s="13" t="s">
        <v>677</v>
      </c>
      <c r="D28" s="13" t="s">
        <v>677</v>
      </c>
      <c r="E28" s="13" t="s">
        <v>677</v>
      </c>
      <c r="F28" s="13" t="s">
        <v>677</v>
      </c>
      <c r="G28" s="13" t="s">
        <v>677</v>
      </c>
      <c r="H28" s="13" t="s">
        <v>677</v>
      </c>
      <c r="I28" s="13" t="s">
        <v>677</v>
      </c>
      <c r="J28" s="13" t="s">
        <v>2011</v>
      </c>
    </row>
    <row r="29" spans="1:10" ht="38.25">
      <c r="A29" s="13" t="s">
        <v>1995</v>
      </c>
      <c r="B29" s="13" t="s">
        <v>679</v>
      </c>
      <c r="C29" s="13" t="s">
        <v>679</v>
      </c>
      <c r="D29" s="13" t="s">
        <v>679</v>
      </c>
      <c r="E29" s="13" t="s">
        <v>679</v>
      </c>
      <c r="F29" s="13" t="s">
        <v>679</v>
      </c>
      <c r="G29" s="13" t="s">
        <v>679</v>
      </c>
      <c r="H29" s="13" t="s">
        <v>679</v>
      </c>
      <c r="I29" s="13" t="s">
        <v>679</v>
      </c>
      <c r="J29" s="13" t="s">
        <v>2012</v>
      </c>
    </row>
    <row r="30" spans="1:10" ht="38.25">
      <c r="A30" s="13" t="s">
        <v>2000</v>
      </c>
      <c r="B30" s="13" t="s">
        <v>679</v>
      </c>
      <c r="C30" s="13" t="s">
        <v>679</v>
      </c>
      <c r="D30" s="13" t="s">
        <v>679</v>
      </c>
      <c r="E30" s="13" t="s">
        <v>679</v>
      </c>
      <c r="F30" s="13" t="s">
        <v>679</v>
      </c>
      <c r="G30" s="13" t="s">
        <v>679</v>
      </c>
      <c r="H30" s="13" t="s">
        <v>679</v>
      </c>
      <c r="I30" s="13" t="s">
        <v>679</v>
      </c>
      <c r="J30" s="13" t="s">
        <v>2013</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411</v>
      </c>
      <c r="B34" s="13" t="s">
        <v>677</v>
      </c>
      <c r="C34" s="13" t="s">
        <v>1592</v>
      </c>
      <c r="D34" s="13" t="s">
        <v>677</v>
      </c>
      <c r="E34" s="13" t="s">
        <v>677</v>
      </c>
      <c r="F34" s="13" t="s">
        <v>2014</v>
      </c>
      <c r="G34" s="13" t="s">
        <v>677</v>
      </c>
      <c r="H34" s="13" t="s">
        <v>677</v>
      </c>
      <c r="I34" s="13" t="s">
        <v>677</v>
      </c>
      <c r="J34" s="13" t="s">
        <v>2015</v>
      </c>
    </row>
    <row r="35" spans="1:10" ht="51">
      <c r="A35" s="13" t="s">
        <v>1995</v>
      </c>
      <c r="B35" s="13" t="s">
        <v>679</v>
      </c>
      <c r="C35" s="13" t="s">
        <v>679</v>
      </c>
      <c r="D35" s="13" t="s">
        <v>679</v>
      </c>
      <c r="E35" s="13" t="s">
        <v>679</v>
      </c>
      <c r="F35" s="13" t="s">
        <v>2016</v>
      </c>
      <c r="G35" s="13" t="s">
        <v>677</v>
      </c>
      <c r="H35" s="13" t="s">
        <v>677</v>
      </c>
      <c r="I35" s="13" t="s">
        <v>677</v>
      </c>
      <c r="J35" s="13" t="s">
        <v>2017</v>
      </c>
    </row>
    <row r="36" spans="1:10" ht="38.25">
      <c r="A36" s="13" t="s">
        <v>2000</v>
      </c>
      <c r="B36" s="13" t="s">
        <v>679</v>
      </c>
      <c r="C36" s="13" t="s">
        <v>679</v>
      </c>
      <c r="D36" s="13" t="s">
        <v>679</v>
      </c>
      <c r="E36" s="13" t="s">
        <v>679</v>
      </c>
      <c r="F36" s="13" t="s">
        <v>2018</v>
      </c>
      <c r="G36" s="13" t="s">
        <v>677</v>
      </c>
      <c r="H36" s="13" t="s">
        <v>677</v>
      </c>
      <c r="I36" s="13" t="s">
        <v>677</v>
      </c>
      <c r="J36" s="13" t="s">
        <v>2019</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411</v>
      </c>
      <c r="B40" s="13" t="s">
        <v>677</v>
      </c>
      <c r="C40" s="13" t="s">
        <v>677</v>
      </c>
      <c r="D40" s="13" t="s">
        <v>677</v>
      </c>
      <c r="E40" s="13" t="s">
        <v>677</v>
      </c>
      <c r="F40" s="13" t="s">
        <v>677</v>
      </c>
      <c r="G40" s="13" t="s">
        <v>677</v>
      </c>
      <c r="H40" s="13" t="s">
        <v>677</v>
      </c>
      <c r="I40" s="13" t="s">
        <v>677</v>
      </c>
      <c r="J40" s="13" t="s">
        <v>2020</v>
      </c>
    </row>
    <row r="41" spans="1:10" ht="38.25">
      <c r="A41" s="13" t="s">
        <v>1995</v>
      </c>
      <c r="B41" s="13" t="s">
        <v>679</v>
      </c>
      <c r="C41" s="13" t="s">
        <v>679</v>
      </c>
      <c r="D41" s="13" t="s">
        <v>679</v>
      </c>
      <c r="E41" s="13" t="s">
        <v>677</v>
      </c>
      <c r="F41" s="13" t="s">
        <v>679</v>
      </c>
      <c r="G41" s="13" t="s">
        <v>679</v>
      </c>
      <c r="H41" s="13" t="s">
        <v>679</v>
      </c>
      <c r="I41" s="13" t="s">
        <v>677</v>
      </c>
      <c r="J41" s="13" t="s">
        <v>2021</v>
      </c>
    </row>
    <row r="42" spans="1:10" ht="38.25">
      <c r="A42" s="13" t="s">
        <v>2000</v>
      </c>
      <c r="B42" s="13" t="s">
        <v>679</v>
      </c>
      <c r="C42" s="13" t="s">
        <v>679</v>
      </c>
      <c r="D42" s="13" t="s">
        <v>679</v>
      </c>
      <c r="E42" s="13" t="s">
        <v>677</v>
      </c>
      <c r="F42" s="13" t="s">
        <v>679</v>
      </c>
      <c r="G42" s="13" t="s">
        <v>679</v>
      </c>
      <c r="H42" s="13" t="s">
        <v>679</v>
      </c>
      <c r="I42" s="13" t="s">
        <v>677</v>
      </c>
      <c r="J42" s="13" t="s">
        <v>2022</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3.75">
      <c r="A46" s="13" t="s">
        <v>411</v>
      </c>
      <c r="B46" s="13" t="s">
        <v>677</v>
      </c>
      <c r="C46" s="13" t="s">
        <v>677</v>
      </c>
      <c r="D46" s="13" t="s">
        <v>677</v>
      </c>
      <c r="E46" s="13" t="s">
        <v>677</v>
      </c>
      <c r="F46" s="13" t="s">
        <v>677</v>
      </c>
      <c r="G46" s="13" t="s">
        <v>677</v>
      </c>
      <c r="H46" s="13" t="s">
        <v>677</v>
      </c>
      <c r="I46" s="13" t="s">
        <v>677</v>
      </c>
      <c r="J46" s="13" t="s">
        <v>2023</v>
      </c>
    </row>
    <row r="47" spans="1:10" ht="38.25">
      <c r="A47" s="13" t="s">
        <v>1995</v>
      </c>
      <c r="B47" s="13" t="s">
        <v>679</v>
      </c>
      <c r="C47" s="13" t="s">
        <v>679</v>
      </c>
      <c r="D47" s="13" t="s">
        <v>679</v>
      </c>
      <c r="E47" s="13" t="s">
        <v>679</v>
      </c>
      <c r="F47" s="13" t="s">
        <v>677</v>
      </c>
      <c r="G47" s="13" t="s">
        <v>679</v>
      </c>
      <c r="H47" s="13" t="s">
        <v>677</v>
      </c>
      <c r="I47" s="13" t="s">
        <v>677</v>
      </c>
      <c r="J47" s="13" t="s">
        <v>2024</v>
      </c>
    </row>
    <row r="48" spans="1:10" ht="38.25">
      <c r="A48" s="13" t="s">
        <v>2000</v>
      </c>
      <c r="B48" s="13" t="s">
        <v>679</v>
      </c>
      <c r="C48" s="13" t="s">
        <v>679</v>
      </c>
      <c r="D48" s="13" t="s">
        <v>679</v>
      </c>
      <c r="E48" s="13" t="s">
        <v>679</v>
      </c>
      <c r="F48" s="13" t="s">
        <v>677</v>
      </c>
      <c r="G48" s="13" t="s">
        <v>679</v>
      </c>
      <c r="H48" s="13" t="s">
        <v>677</v>
      </c>
      <c r="I48" s="13" t="s">
        <v>677</v>
      </c>
      <c r="J48" s="13" t="s">
        <v>2025</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76.5">
      <c r="A52" s="13" t="s">
        <v>2026</v>
      </c>
      <c r="B52" s="13" t="s">
        <v>411</v>
      </c>
      <c r="C52" s="13" t="s">
        <v>2027</v>
      </c>
      <c r="D52" s="13" t="s">
        <v>391</v>
      </c>
      <c r="E52" s="13" t="s">
        <v>488</v>
      </c>
      <c r="F52" s="13">
        <v>6</v>
      </c>
      <c r="G52" s="13" t="s">
        <v>2028</v>
      </c>
      <c r="H52" s="13" t="s">
        <v>1023</v>
      </c>
      <c r="I52" s="13" t="s">
        <v>502</v>
      </c>
      <c r="J52" s="13" t="s">
        <v>2029</v>
      </c>
    </row>
    <row r="53" spans="1:10" ht="89.25">
      <c r="A53" s="13" t="s">
        <v>2030</v>
      </c>
      <c r="B53" s="13" t="s">
        <v>411</v>
      </c>
      <c r="C53" s="13" t="s">
        <v>2031</v>
      </c>
      <c r="D53" s="13" t="s">
        <v>391</v>
      </c>
      <c r="E53" s="13" t="s">
        <v>488</v>
      </c>
      <c r="F53" s="13">
        <v>6</v>
      </c>
      <c r="G53" s="13" t="s">
        <v>2032</v>
      </c>
      <c r="H53" s="13" t="s">
        <v>1858</v>
      </c>
      <c r="I53" s="13" t="s">
        <v>502</v>
      </c>
      <c r="J53" s="13" t="s">
        <v>2033</v>
      </c>
    </row>
    <row r="54" spans="1:10" ht="76.5">
      <c r="A54" s="13" t="s">
        <v>2034</v>
      </c>
      <c r="B54" s="13" t="s">
        <v>411</v>
      </c>
      <c r="C54" s="13" t="s">
        <v>2035</v>
      </c>
      <c r="D54" s="13" t="s">
        <v>492</v>
      </c>
      <c r="E54" s="13" t="s">
        <v>488</v>
      </c>
      <c r="F54" s="13">
        <v>8</v>
      </c>
      <c r="G54" s="13" t="s">
        <v>2036</v>
      </c>
      <c r="H54" s="13" t="s">
        <v>584</v>
      </c>
      <c r="I54" s="13" t="s">
        <v>502</v>
      </c>
      <c r="J54" s="13" t="s">
        <v>2037</v>
      </c>
    </row>
    <row r="55" spans="1:10" ht="76.5">
      <c r="A55" s="13" t="s">
        <v>2038</v>
      </c>
      <c r="B55" s="13" t="s">
        <v>411</v>
      </c>
      <c r="C55" s="13" t="s">
        <v>593</v>
      </c>
      <c r="D55" s="13" t="s">
        <v>492</v>
      </c>
      <c r="E55" s="13" t="s">
        <v>488</v>
      </c>
      <c r="F55" s="13">
        <v>8</v>
      </c>
      <c r="G55" s="13" t="s">
        <v>2039</v>
      </c>
      <c r="H55" s="13" t="s">
        <v>592</v>
      </c>
      <c r="I55" s="13" t="s">
        <v>502</v>
      </c>
      <c r="J55" s="13" t="s">
        <v>1028</v>
      </c>
    </row>
    <row r="56" spans="1:10" ht="76.5">
      <c r="A56" s="13" t="s">
        <v>2040</v>
      </c>
      <c r="B56" s="13" t="s">
        <v>2041</v>
      </c>
      <c r="C56" s="13" t="s">
        <v>2042</v>
      </c>
      <c r="D56" s="13" t="s">
        <v>492</v>
      </c>
      <c r="E56" s="13" t="s">
        <v>488</v>
      </c>
      <c r="F56" s="13">
        <v>8</v>
      </c>
      <c r="G56" s="13" t="s">
        <v>2043</v>
      </c>
      <c r="H56" s="13" t="s">
        <v>1032</v>
      </c>
      <c r="I56" s="13" t="s">
        <v>502</v>
      </c>
      <c r="J56" s="13" t="s">
        <v>2044</v>
      </c>
    </row>
    <row r="57" spans="1:10" ht="76.5">
      <c r="A57" s="13" t="s">
        <v>2045</v>
      </c>
      <c r="B57" s="13" t="s">
        <v>411</v>
      </c>
      <c r="C57" s="13" t="s">
        <v>2046</v>
      </c>
      <c r="D57" s="13" t="s">
        <v>492</v>
      </c>
      <c r="E57" s="13" t="s">
        <v>488</v>
      </c>
      <c r="F57" s="13">
        <v>8</v>
      </c>
      <c r="G57" s="13" t="s">
        <v>2047</v>
      </c>
      <c r="H57" s="13" t="s">
        <v>1403</v>
      </c>
      <c r="I57" s="13" t="s">
        <v>502</v>
      </c>
      <c r="J57" s="13" t="s">
        <v>1627</v>
      </c>
    </row>
    <row r="58" spans="1:10" ht="76.5">
      <c r="A58" s="13" t="s">
        <v>2048</v>
      </c>
      <c r="B58" s="13" t="s">
        <v>411</v>
      </c>
      <c r="C58" s="13" t="s">
        <v>649</v>
      </c>
      <c r="D58" s="13" t="s">
        <v>492</v>
      </c>
      <c r="E58" s="13" t="s">
        <v>488</v>
      </c>
      <c r="F58" s="13">
        <v>8</v>
      </c>
      <c r="G58" s="13" t="s">
        <v>2049</v>
      </c>
      <c r="H58" s="13" t="s">
        <v>584</v>
      </c>
      <c r="I58" s="13" t="s">
        <v>502</v>
      </c>
      <c r="J58" s="13" t="s">
        <v>2050</v>
      </c>
    </row>
    <row r="59" spans="1:10" ht="63.75">
      <c r="A59" s="13" t="s">
        <v>2051</v>
      </c>
      <c r="B59" s="13" t="s">
        <v>575</v>
      </c>
      <c r="C59" s="13" t="s">
        <v>1047</v>
      </c>
      <c r="D59" s="13" t="s">
        <v>391</v>
      </c>
      <c r="E59" s="13" t="s">
        <v>488</v>
      </c>
      <c r="F59" s="13">
        <v>6</v>
      </c>
      <c r="G59" s="13" t="s">
        <v>2052</v>
      </c>
      <c r="H59" s="13" t="s">
        <v>1049</v>
      </c>
      <c r="I59" s="13" t="s">
        <v>502</v>
      </c>
      <c r="J59" s="13" t="s">
        <v>1737</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2053</v>
      </c>
      <c r="B63" s="13" t="s">
        <v>2054</v>
      </c>
      <c r="C63" s="13" t="s">
        <v>579</v>
      </c>
      <c r="D63" s="13" t="s">
        <v>502</v>
      </c>
      <c r="E63" s="13"/>
      <c r="F63" s="13"/>
      <c r="G63" s="13" t="s">
        <v>580</v>
      </c>
      <c r="H63" s="13"/>
      <c r="I63" s="13"/>
      <c r="J63" s="13"/>
    </row>
    <row r="64" spans="1:10" ht="76.5">
      <c r="A64" s="13" t="s">
        <v>2055</v>
      </c>
      <c r="B64" s="13" t="s">
        <v>2056</v>
      </c>
      <c r="C64" s="13" t="s">
        <v>587</v>
      </c>
      <c r="D64" s="13" t="s">
        <v>502</v>
      </c>
      <c r="E64" s="13"/>
      <c r="F64" s="13"/>
      <c r="G64" s="13" t="s">
        <v>1421</v>
      </c>
      <c r="H64" s="13"/>
      <c r="I64" s="13"/>
      <c r="J64" s="13"/>
    </row>
    <row r="65" spans="1:10" ht="89.25">
      <c r="A65" s="13" t="s">
        <v>2057</v>
      </c>
      <c r="B65" s="13" t="s">
        <v>2058</v>
      </c>
      <c r="C65" s="13" t="s">
        <v>1858</v>
      </c>
      <c r="D65" s="13" t="s">
        <v>502</v>
      </c>
      <c r="E65" s="13"/>
      <c r="F65" s="13"/>
      <c r="G65" s="13" t="s">
        <v>2059</v>
      </c>
      <c r="H65" s="13"/>
      <c r="I65" s="13"/>
      <c r="J65" s="13"/>
    </row>
    <row r="66" spans="1:10" ht="76.5">
      <c r="A66" s="13" t="s">
        <v>2060</v>
      </c>
      <c r="B66" s="13" t="s">
        <v>2061</v>
      </c>
      <c r="C66" s="13" t="s">
        <v>601</v>
      </c>
      <c r="D66" s="13" t="s">
        <v>502</v>
      </c>
      <c r="E66" s="13"/>
      <c r="F66" s="13"/>
      <c r="G66" s="13" t="s">
        <v>602</v>
      </c>
      <c r="H66" s="13"/>
      <c r="I66" s="13"/>
      <c r="J66" s="13"/>
    </row>
    <row r="67" spans="1:10" ht="63.75">
      <c r="A67" s="13" t="s">
        <v>2062</v>
      </c>
      <c r="B67" s="13" t="s">
        <v>2063</v>
      </c>
      <c r="C67" s="13" t="s">
        <v>609</v>
      </c>
      <c r="D67" s="13" t="s">
        <v>502</v>
      </c>
      <c r="E67" s="13"/>
      <c r="F67" s="13"/>
      <c r="G67" s="13" t="s">
        <v>610</v>
      </c>
      <c r="H67" s="13"/>
      <c r="I67" s="13"/>
      <c r="J67" s="13"/>
    </row>
    <row r="68" spans="1:10" ht="89.25">
      <c r="A68" s="13" t="s">
        <v>2064</v>
      </c>
      <c r="B68" s="13" t="s">
        <v>2065</v>
      </c>
      <c r="C68" s="13" t="s">
        <v>616</v>
      </c>
      <c r="D68" s="13" t="s">
        <v>502</v>
      </c>
      <c r="E68" s="13"/>
      <c r="F68" s="13"/>
      <c r="G68" s="13" t="s">
        <v>617</v>
      </c>
      <c r="H68" s="13"/>
      <c r="I68" s="13"/>
      <c r="J68" s="13"/>
    </row>
    <row r="69" spans="1:10" ht="76.5">
      <c r="A69" s="13" t="s">
        <v>2066</v>
      </c>
      <c r="B69" s="13" t="s">
        <v>2067</v>
      </c>
      <c r="C69" s="13" t="s">
        <v>622</v>
      </c>
      <c r="D69" s="13" t="s">
        <v>502</v>
      </c>
      <c r="E69" s="13"/>
      <c r="F69" s="13"/>
      <c r="G69" s="13" t="s">
        <v>623</v>
      </c>
      <c r="H69" s="13"/>
      <c r="I69" s="13"/>
      <c r="J69" s="13"/>
    </row>
    <row r="70" spans="1:10" ht="76.5">
      <c r="A70" s="13" t="s">
        <v>2068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2069</v>
      </c>
      <c r="B74" s="13" t="s">
        <v>411</v>
      </c>
      <c r="C74" s="13" t="s">
        <v>269</v>
      </c>
      <c r="D74" s="13" t="s">
        <v>2070</v>
      </c>
      <c r="E74" s="13"/>
      <c r="F74" s="13" t="s">
        <v>229</v>
      </c>
      <c r="G74" s="13"/>
      <c r="H74" s="13" t="s">
        <v>2071</v>
      </c>
      <c r="I74" s="13" t="s">
        <v>502</v>
      </c>
      <c r="J74" s="13"/>
    </row>
    <row r="75" spans="1:10" ht="63.75">
      <c r="A75" s="13" t="s">
        <v>2072</v>
      </c>
      <c r="B75" s="13" t="s">
        <v>411</v>
      </c>
      <c r="C75" s="13" t="s">
        <v>749</v>
      </c>
      <c r="D75" s="13" t="s">
        <v>2073</v>
      </c>
      <c r="E75" s="13"/>
      <c r="F75" s="13" t="s">
        <v>229</v>
      </c>
      <c r="G75" s="13"/>
      <c r="H75" s="13" t="s">
        <v>2030</v>
      </c>
      <c r="I75" s="13" t="s">
        <v>502</v>
      </c>
      <c r="J75" s="13"/>
    </row>
    <row r="76" spans="1:10" ht="76.5">
      <c r="A76" s="13" t="s">
        <v>2074</v>
      </c>
      <c r="B76" s="13" t="s">
        <v>1995</v>
      </c>
      <c r="C76" s="13" t="s">
        <v>153</v>
      </c>
      <c r="D76" s="13" t="s">
        <v>2075</v>
      </c>
      <c r="E76" s="13"/>
      <c r="F76" s="13" t="s">
        <v>229</v>
      </c>
      <c r="G76" s="13"/>
      <c r="H76" s="13" t="s">
        <v>2040</v>
      </c>
      <c r="I76" s="13" t="s">
        <v>502</v>
      </c>
      <c r="J76" s="13"/>
    </row>
    <row r="77" spans="1:10" ht="63.75">
      <c r="A77" s="13" t="s">
        <v>2076</v>
      </c>
      <c r="B77" s="13" t="s">
        <v>2000</v>
      </c>
      <c r="C77" s="13" t="s">
        <v>153</v>
      </c>
      <c r="D77" s="13" t="s">
        <v>2077</v>
      </c>
      <c r="E77" s="13"/>
      <c r="F77" s="13" t="s">
        <v>229</v>
      </c>
      <c r="G77" s="13"/>
      <c r="H77" s="13" t="s">
        <v>2040</v>
      </c>
      <c r="I77" s="13" t="s">
        <v>502</v>
      </c>
      <c r="J77" s="13"/>
    </row>
    <row r="78" spans="1:10" ht="63.75">
      <c r="A78" s="13" t="s">
        <v>2078</v>
      </c>
      <c r="B78" s="13" t="s">
        <v>411</v>
      </c>
      <c r="C78" s="13" t="s">
        <v>957</v>
      </c>
      <c r="D78" s="13" t="s">
        <v>2079</v>
      </c>
      <c r="E78" s="13"/>
      <c r="F78" s="13" t="s">
        <v>229</v>
      </c>
      <c r="G78" s="13"/>
      <c r="H78" s="13" t="s">
        <v>2045</v>
      </c>
      <c r="I78" s="13" t="s">
        <v>502</v>
      </c>
      <c r="J78" s="13"/>
    </row>
    <row r="79" spans="1:10" ht="89.25">
      <c r="A79" s="13" t="s">
        <v>2080</v>
      </c>
      <c r="B79" s="13" t="s">
        <v>411</v>
      </c>
      <c r="C79" s="13" t="s">
        <v>148</v>
      </c>
      <c r="D79" s="13" t="s">
        <v>2081</v>
      </c>
      <c r="E79" s="13"/>
      <c r="F79" s="13" t="s">
        <v>229</v>
      </c>
      <c r="G79" s="13"/>
      <c r="H79" s="13" t="s">
        <v>2038</v>
      </c>
      <c r="I79" s="13" t="s">
        <v>502</v>
      </c>
      <c r="J79" s="13"/>
    </row>
    <row r="80" spans="1:10" ht="63.75">
      <c r="A80" s="13" t="s">
        <v>2082</v>
      </c>
      <c r="B80" s="13" t="s">
        <v>411</v>
      </c>
      <c r="C80" s="13" t="s">
        <v>155</v>
      </c>
      <c r="D80" s="13" t="s">
        <v>2083</v>
      </c>
      <c r="E80" s="13"/>
      <c r="F80" s="13" t="s">
        <v>229</v>
      </c>
      <c r="G80" s="13"/>
      <c r="H80" s="13" t="s">
        <v>2048</v>
      </c>
      <c r="I80" s="13" t="s">
        <v>502</v>
      </c>
      <c r="J80" s="13"/>
    </row>
    <row r="81" spans="1:10" ht="76.5">
      <c r="A81" s="13" t="s">
        <v>2084</v>
      </c>
      <c r="B81" s="13" t="s">
        <v>411</v>
      </c>
      <c r="C81" s="13" t="s">
        <v>556</v>
      </c>
      <c r="D81" s="13" t="s">
        <v>2085</v>
      </c>
      <c r="E81" s="13"/>
      <c r="F81" s="13" t="s">
        <v>229</v>
      </c>
      <c r="G81" s="13"/>
      <c r="H81" s="13" t="s">
        <v>2051</v>
      </c>
      <c r="I81" s="13" t="s">
        <v>502</v>
      </c>
      <c r="J81" s="13"/>
    </row>
    <row r="82" spans="1:10">
      <c r="A82" s="13"/>
      <c r="B82" s="13"/>
      <c r="C82" s="13"/>
      <c r="D82" s="13"/>
      <c r="E82" s="13"/>
      <c r="F82" s="13"/>
      <c r="G82" s="13"/>
      <c r="H82" s="13"/>
      <c r="I82" s="13"/>
      <c r="J82" s="13"/>
    </row>
    <row r="83" spans="1:10">
      <c r="A83" s="575" t="s">
        <v>1079</v>
      </c>
      <c r="B83" s="896"/>
      <c r="C83" s="896"/>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8.25">
      <c r="A85" s="13" t="s">
        <v>411</v>
      </c>
      <c r="B85" s="13">
        <v>0.5</v>
      </c>
      <c r="C85" s="13">
        <v>0.5</v>
      </c>
      <c r="D85" s="13">
        <v>0.5</v>
      </c>
      <c r="E85" s="13">
        <v>0.5</v>
      </c>
      <c r="F85" s="13">
        <v>0.5</v>
      </c>
      <c r="G85" s="13" t="s">
        <v>677</v>
      </c>
      <c r="H85" s="13">
        <v>0.5</v>
      </c>
      <c r="I85" s="13" t="s">
        <v>1201</v>
      </c>
      <c r="J85" s="13" t="s">
        <v>2086</v>
      </c>
    </row>
    <row r="86" spans="1:10" ht="25.5">
      <c r="A86" s="13" t="s">
        <v>1995</v>
      </c>
      <c r="B86" s="13">
        <v>0.5</v>
      </c>
      <c r="C86" s="13">
        <v>0.5</v>
      </c>
      <c r="D86" s="13" t="s">
        <v>679</v>
      </c>
      <c r="E86" s="13">
        <v>0.5</v>
      </c>
      <c r="F86" s="13" t="s">
        <v>679</v>
      </c>
      <c r="G86" s="13" t="s">
        <v>677</v>
      </c>
      <c r="H86" s="13">
        <v>0.5</v>
      </c>
      <c r="I86" s="13" t="s">
        <v>1201</v>
      </c>
      <c r="J86" s="13" t="s">
        <v>2087</v>
      </c>
    </row>
    <row r="87" spans="1:10" ht="25.5">
      <c r="A87" s="13" t="s">
        <v>2000</v>
      </c>
      <c r="B87" s="13">
        <v>0.5</v>
      </c>
      <c r="C87" s="13">
        <v>0.5</v>
      </c>
      <c r="D87" s="13" t="s">
        <v>679</v>
      </c>
      <c r="E87" s="13">
        <v>0.5</v>
      </c>
      <c r="F87" s="13" t="s">
        <v>679</v>
      </c>
      <c r="G87" s="13" t="s">
        <v>677</v>
      </c>
      <c r="H87" s="13">
        <v>0.5</v>
      </c>
      <c r="I87" s="13" t="s">
        <v>1201</v>
      </c>
      <c r="J87" s="13" t="s">
        <v>2088</v>
      </c>
    </row>
    <row r="88" spans="1:10">
      <c r="A88" s="13"/>
      <c r="B88" s="13"/>
      <c r="C88" s="13"/>
      <c r="D88" s="13"/>
      <c r="E88" s="13"/>
      <c r="F88" s="13"/>
      <c r="G88" s="13"/>
      <c r="H88" s="13"/>
      <c r="I88" s="13"/>
      <c r="J88" s="13"/>
    </row>
    <row r="89" spans="1:10">
      <c r="A89" s="575" t="s">
        <v>1085</v>
      </c>
      <c r="B89" s="896"/>
      <c r="C89" s="896"/>
      <c r="D89" s="85"/>
      <c r="E89" s="85"/>
      <c r="F89" s="85"/>
      <c r="G89" s="85"/>
      <c r="H89" s="85"/>
      <c r="I89" s="85"/>
      <c r="J89" s="85"/>
    </row>
    <row r="90" spans="1:10" ht="38.25">
      <c r="A90" s="50" t="s">
        <v>905</v>
      </c>
      <c r="B90" s="50" t="s">
        <v>794</v>
      </c>
      <c r="C90" s="50"/>
      <c r="D90" s="50"/>
      <c r="E90" s="50"/>
      <c r="F90" s="50"/>
      <c r="G90" s="50"/>
      <c r="H90" s="50"/>
      <c r="I90" s="50"/>
      <c r="J90" s="50"/>
    </row>
    <row r="91" spans="1:10">
      <c r="A91" s="13" t="s">
        <v>1086</v>
      </c>
      <c r="B91" s="594" t="s">
        <v>2089</v>
      </c>
      <c r="C91" s="896"/>
      <c r="D91" s="896"/>
      <c r="E91" s="896"/>
      <c r="F91" s="896"/>
      <c r="G91" s="896"/>
      <c r="H91" s="896"/>
      <c r="I91" s="896"/>
      <c r="J91" s="896"/>
    </row>
    <row r="92" spans="1:10" ht="25.5">
      <c r="A92" s="13" t="s">
        <v>2090</v>
      </c>
      <c r="B92" s="594" t="s">
        <v>2091</v>
      </c>
      <c r="C92" s="896"/>
      <c r="D92" s="896"/>
      <c r="E92" s="896"/>
      <c r="F92" s="896"/>
      <c r="G92" s="896"/>
      <c r="H92" s="896"/>
      <c r="I92" s="896"/>
      <c r="J92" s="896"/>
    </row>
    <row r="93" spans="1:10">
      <c r="A93" s="13" t="s">
        <v>1088</v>
      </c>
      <c r="B93" s="594" t="s">
        <v>2092</v>
      </c>
      <c r="C93" s="896"/>
      <c r="D93" s="896"/>
      <c r="E93" s="896"/>
      <c r="F93" s="896"/>
      <c r="G93" s="896"/>
      <c r="H93" s="896"/>
      <c r="I93" s="896"/>
      <c r="J93" s="896"/>
    </row>
    <row r="94" spans="1:10">
      <c r="A94" s="13" t="s">
        <v>1089</v>
      </c>
      <c r="B94" s="594" t="s">
        <v>2093</v>
      </c>
      <c r="C94" s="896"/>
      <c r="D94" s="896"/>
      <c r="E94" s="896"/>
      <c r="F94" s="896"/>
      <c r="G94" s="896"/>
      <c r="H94" s="896"/>
      <c r="I94" s="896"/>
      <c r="J94" s="896"/>
    </row>
    <row r="95" spans="1:10">
      <c r="A95" s="13" t="s">
        <v>1090</v>
      </c>
      <c r="B95" s="594" t="s">
        <v>2094</v>
      </c>
      <c r="C95" s="896"/>
      <c r="D95" s="896"/>
      <c r="E95" s="896"/>
      <c r="F95" s="896"/>
      <c r="G95" s="896"/>
      <c r="H95" s="896"/>
      <c r="I95" s="896"/>
      <c r="J95" s="896"/>
    </row>
    <row r="96" spans="1:10">
      <c r="A96" s="13" t="s">
        <v>1563</v>
      </c>
      <c r="B96" s="594" t="s">
        <v>1776</v>
      </c>
      <c r="C96" s="896"/>
      <c r="D96" s="896"/>
      <c r="E96" s="896"/>
      <c r="F96" s="896"/>
      <c r="G96" s="896"/>
      <c r="H96" s="896"/>
      <c r="I96" s="896"/>
      <c r="J96"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7">
        <v>1</v>
      </c>
      <c r="D101" s="327">
        <v>0</v>
      </c>
      <c r="E101" s="310" t="s">
        <v>5675</v>
      </c>
      <c r="F101" s="327">
        <f>IF(AND(C101&lt;&gt;"",D101&lt;&gt;""),D101-C101,"")</f>
        <v>-1</v>
      </c>
      <c r="G101" s="610"/>
      <c r="H101" s="610"/>
      <c r="I101" s="610"/>
      <c r="J101" s="611"/>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610"/>
      <c r="H103" s="610"/>
      <c r="I103" s="610"/>
      <c r="J103" s="611"/>
    </row>
    <row r="104" spans="1:10">
      <c r="A104" s="323" t="s">
        <v>5168</v>
      </c>
      <c r="B104" s="333" t="s">
        <v>484</v>
      </c>
      <c r="C104" s="327">
        <v>1</v>
      </c>
      <c r="D104" s="327">
        <v>0</v>
      </c>
      <c r="E104" s="310" t="s">
        <v>5675</v>
      </c>
      <c r="F104" s="325">
        <f>IF(AND(C104&lt;&gt;"",D104&lt;&gt;""),D104-C104,"")</f>
        <v>-1</v>
      </c>
      <c r="G104" s="328"/>
      <c r="H104" s="227"/>
      <c r="I104" s="227"/>
      <c r="J104" s="329"/>
    </row>
    <row r="105" spans="1:10" ht="15.75">
      <c r="A105" s="585" t="s">
        <v>5636</v>
      </c>
      <c r="B105" s="586"/>
      <c r="C105" s="330">
        <f>IFERROR(AVERAGE(C100:C104),"")</f>
        <v>0.8</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988" priority="21">
      <formula>B100="Complete"</formula>
    </cfRule>
    <cfRule type="expression" dxfId="987" priority="22">
      <formula>B100="In Progress"</formula>
    </cfRule>
    <cfRule type="expression" dxfId="986" priority="23">
      <formula>B100="At Risk"</formula>
    </cfRule>
    <cfRule type="expression" dxfId="985" priority="24">
      <formula>B100="Blocked"</formula>
    </cfRule>
    <cfRule type="expression" dxfId="984" priority="25">
      <formula>B100="Not Started"</formula>
    </cfRule>
  </conditionalFormatting>
  <conditionalFormatting sqref="B109:B116">
    <cfRule type="expression" dxfId="983" priority="1">
      <formula>B109="Complete"</formula>
    </cfRule>
    <cfRule type="expression" dxfId="982" priority="2">
      <formula>B109="In Progress"</formula>
    </cfRule>
    <cfRule type="expression" dxfId="981" priority="3">
      <formula>B109="At Risk"</formula>
    </cfRule>
    <cfRule type="expression" dxfId="980" priority="4">
      <formula>B109="Blocked"</formula>
    </cfRule>
    <cfRule type="expression" dxfId="979" priority="5">
      <formula>B109="Not Started"</formula>
    </cfRule>
  </conditionalFormatting>
  <conditionalFormatting sqref="B121:B125">
    <cfRule type="expression" dxfId="978" priority="30">
      <formula>B121="Not Started"</formula>
    </cfRule>
    <cfRule type="expression" dxfId="977" priority="29">
      <formula>B121="Blocked"</formula>
    </cfRule>
    <cfRule type="expression" dxfId="976" priority="28">
      <formula>B121="At Risk"</formula>
    </cfRule>
    <cfRule type="expression" dxfId="975" priority="27">
      <formula>B121="In Progress"</formula>
    </cfRule>
    <cfRule type="expression" dxfId="974" priority="26">
      <formula>B121="Complete"</formula>
    </cfRule>
  </conditionalFormatting>
  <conditionalFormatting sqref="B130:B133">
    <cfRule type="expression" dxfId="973" priority="6">
      <formula>B130="Complete"</formula>
    </cfRule>
    <cfRule type="expression" dxfId="972" priority="7">
      <formula>B130="In Progress"</formula>
    </cfRule>
    <cfRule type="expression" dxfId="971" priority="8">
      <formula>B130="At Risk"</formula>
    </cfRule>
    <cfRule type="expression" dxfId="970" priority="9">
      <formula>B130="Blocked"</formula>
    </cfRule>
    <cfRule type="expression" dxfId="969" priority="10">
      <formula>B130="Not Started"</formula>
    </cfRule>
  </conditionalFormatting>
  <conditionalFormatting sqref="B138:B143">
    <cfRule type="expression" dxfId="968" priority="11">
      <formula>B138="Complete"</formula>
    </cfRule>
    <cfRule type="expression" dxfId="967" priority="12">
      <formula>B138="In Progress"</formula>
    </cfRule>
    <cfRule type="expression" dxfId="966" priority="13">
      <formula>B138="At Risk"</formula>
    </cfRule>
    <cfRule type="expression" dxfId="965" priority="14">
      <formula>B138="Blocked"</formula>
    </cfRule>
    <cfRule type="expression" dxfId="964" priority="15">
      <formula>B138="Not Started"</formula>
    </cfRule>
  </conditionalFormatting>
  <conditionalFormatting sqref="B161:B168">
    <cfRule type="expression" dxfId="963" priority="82">
      <formula>B161="Yes"</formula>
    </cfRule>
    <cfRule type="expression" dxfId="962" priority="83">
      <formula>B161="N/A"</formula>
    </cfRule>
    <cfRule type="expression" dxfId="961" priority="84">
      <formula>B161="No"</formula>
    </cfRule>
  </conditionalFormatting>
  <conditionalFormatting sqref="B178:H178">
    <cfRule type="expression" dxfId="960" priority="86">
      <formula>COUNTIF($B$6:$B$13,"No")&gt;0</formula>
    </cfRule>
    <cfRule type="expression" dxfId="959"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958" priority="32">
      <formula>C109="No"</formula>
    </cfRule>
    <cfRule type="expression" dxfId="957" priority="31">
      <formula>C109="Yes"</formula>
    </cfRule>
    <cfRule type="expression" dxfId="95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955" priority="17">
      <formula>C138="No"</formula>
    </cfRule>
    <cfRule type="expression" dxfId="954" priority="16">
      <formula>C138="Yes"</formula>
    </cfRule>
    <cfRule type="expression" dxfId="95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52" priority="87">
      <formula>E5="Pass"</formula>
    </cfRule>
    <cfRule type="expression" dxfId="951" priority="88">
      <formula>E5="Verify"</formula>
    </cfRule>
    <cfRule type="expression" dxfId="950" priority="89">
      <formula>E5="Fail"</formula>
    </cfRule>
    <cfRule type="expression" dxfId="949" priority="90">
      <formula>E5="Not Started"</formula>
    </cfRule>
  </conditionalFormatting>
  <conditionalFormatting sqref="F3">
    <cfRule type="expression" dxfId="948" priority="91">
      <formula>F3="Yes"</formula>
    </cfRule>
    <cfRule type="expression" dxfId="947" priority="92">
      <formula>F3="No"</formula>
    </cfRule>
  </conditionalFormatting>
  <conditionalFormatting sqref="F121:F125">
    <cfRule type="expression" dxfId="946" priority="35">
      <formula>F121="Fail"</formula>
    </cfRule>
    <cfRule type="expression" dxfId="945" priority="36">
      <formula>F121="Pending"</formula>
    </cfRule>
    <cfRule type="expression" dxfId="944" priority="34">
      <formula>F121="Pass"</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Lookup_Lists!$L$37:$L$39</xm:f>
          </x14:formula1>
          <xm:sqref>C121:E125 J2</xm:sqref>
        </x14:dataValidation>
        <x14:dataValidation type="list" allowBlank="1" showInputMessage="1" showErrorMessage="1" xr:uid="{14AF312D-6325-4BF6-A17C-9A60EA8E1CC0}">
          <x14:formula1>
            <xm:f>Lookup_Lists!$A$36:$A$42</xm:f>
          </x14:formula1>
          <xm:sqref>B100:B104 B109:B116 B138:B143</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I4" sqref="I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2095</v>
      </c>
      <c r="B1" s="896"/>
      <c r="C1" s="896"/>
      <c r="D1" s="896"/>
      <c r="E1" s="896"/>
      <c r="F1" s="896"/>
      <c r="G1" s="896"/>
      <c r="H1" s="896"/>
      <c r="I1" s="896"/>
      <c r="J1" s="896"/>
    </row>
    <row r="2" spans="1:10" s="223" customFormat="1">
      <c r="A2" s="219" t="s">
        <v>142</v>
      </c>
      <c r="B2" s="220" t="s">
        <v>2096</v>
      </c>
      <c r="C2" s="219" t="s">
        <v>902</v>
      </c>
      <c r="D2" s="220" t="s">
        <v>1094</v>
      </c>
      <c r="E2" s="219" t="s">
        <v>151</v>
      </c>
      <c r="F2" s="220" t="s">
        <v>1095</v>
      </c>
      <c r="G2" s="219" t="s">
        <v>174</v>
      </c>
      <c r="H2" s="221">
        <v>0.5</v>
      </c>
      <c r="I2" s="219" t="s">
        <v>154</v>
      </c>
      <c r="J2" s="222" t="s">
        <v>1096</v>
      </c>
    </row>
    <row r="3" spans="1:10" s="227" customFormat="1" ht="25.5">
      <c r="A3" s="219" t="s">
        <v>903</v>
      </c>
      <c r="B3" s="224">
        <v>46198.625590509262</v>
      </c>
      <c r="C3" s="225" t="s">
        <v>904</v>
      </c>
      <c r="D3" s="226" t="s">
        <v>721</v>
      </c>
      <c r="E3" s="219" t="s">
        <v>905</v>
      </c>
      <c r="F3" s="226" t="s">
        <v>2097</v>
      </c>
      <c r="G3" s="219" t="s">
        <v>907</v>
      </c>
      <c r="H3" s="226" t="s">
        <v>908</v>
      </c>
      <c r="I3" s="219" t="s">
        <v>551</v>
      </c>
      <c r="J3" s="226" t="s">
        <v>2098</v>
      </c>
    </row>
    <row r="4" spans="1:10" s="227" customFormat="1" ht="165.75">
      <c r="A4" s="219" t="s">
        <v>161</v>
      </c>
      <c r="B4" s="226">
        <v>0</v>
      </c>
      <c r="C4" s="219" t="s">
        <v>199</v>
      </c>
      <c r="D4" s="226">
        <v>0</v>
      </c>
      <c r="E4" s="219" t="s">
        <v>179</v>
      </c>
      <c r="F4" s="226">
        <v>0</v>
      </c>
      <c r="G4" s="219" t="s">
        <v>870</v>
      </c>
      <c r="H4" s="228" t="s">
        <v>2099</v>
      </c>
      <c r="I4" s="229"/>
      <c r="J4" s="229"/>
    </row>
    <row r="5" spans="1:10" s="227" customFormat="1">
      <c r="A5" s="230" t="s">
        <v>911</v>
      </c>
      <c r="B5" s="221" t="s">
        <v>679</v>
      </c>
      <c r="C5" s="231" t="s">
        <v>912</v>
      </c>
      <c r="D5" s="221" t="s">
        <v>1238</v>
      </c>
      <c r="E5" s="232" t="s">
        <v>913</v>
      </c>
      <c r="F5" s="221" t="s">
        <v>677</v>
      </c>
      <c r="G5" s="233" t="s">
        <v>914</v>
      </c>
      <c r="H5" s="221" t="s">
        <v>1238</v>
      </c>
      <c r="I5" s="233" t="s">
        <v>915</v>
      </c>
      <c r="J5" s="221" t="s">
        <v>1238</v>
      </c>
    </row>
    <row r="6" spans="1:10" s="227" customFormat="1" ht="33.75" customHeight="1">
      <c r="A6" s="234" t="s">
        <v>916</v>
      </c>
      <c r="B6" s="221" t="s">
        <v>1238</v>
      </c>
      <c r="C6" s="235" t="s">
        <v>869</v>
      </c>
      <c r="D6" s="604" t="s">
        <v>2100</v>
      </c>
      <c r="E6" s="582"/>
      <c r="F6" s="582"/>
      <c r="G6" s="582"/>
      <c r="H6" s="582"/>
      <c r="I6" s="582"/>
      <c r="J6" s="582"/>
    </row>
    <row r="7" spans="1:10">
      <c r="A7" s="13"/>
      <c r="B7" s="13"/>
      <c r="C7" s="13"/>
      <c r="D7" s="13"/>
      <c r="E7" s="13"/>
      <c r="F7" s="13"/>
      <c r="G7" s="13"/>
      <c r="H7" s="13"/>
      <c r="I7" s="13"/>
      <c r="J7" s="13"/>
    </row>
    <row r="8" spans="1:10">
      <c r="A8" s="575" t="s">
        <v>918</v>
      </c>
      <c r="B8" s="896"/>
      <c r="C8" s="8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3.75">
      <c r="A10" s="13" t="s">
        <v>2096</v>
      </c>
      <c r="B10" s="13" t="s">
        <v>2101</v>
      </c>
      <c r="C10" s="13" t="s">
        <v>2102</v>
      </c>
      <c r="D10" s="13" t="s">
        <v>2103</v>
      </c>
      <c r="E10" s="13" t="s">
        <v>2104</v>
      </c>
      <c r="F10" s="13">
        <v>0</v>
      </c>
      <c r="G10" s="13">
        <v>0</v>
      </c>
      <c r="H10" s="13" t="s">
        <v>677</v>
      </c>
      <c r="I10" s="13" t="s">
        <v>2105</v>
      </c>
      <c r="J10" s="13" t="s">
        <v>2106</v>
      </c>
    </row>
    <row r="11" spans="1:10" ht="63.75">
      <c r="A11" s="13" t="s">
        <v>2096</v>
      </c>
      <c r="B11" s="13" t="s">
        <v>2107</v>
      </c>
      <c r="C11" s="13" t="s">
        <v>2108</v>
      </c>
      <c r="D11" s="13" t="s">
        <v>2109</v>
      </c>
      <c r="E11" s="13" t="s">
        <v>2110</v>
      </c>
      <c r="F11" s="13">
        <v>0</v>
      </c>
      <c r="G11" s="13">
        <v>0</v>
      </c>
      <c r="H11" s="13" t="s">
        <v>677</v>
      </c>
      <c r="I11" s="13" t="s">
        <v>2111</v>
      </c>
      <c r="J11" s="13" t="s">
        <v>2112</v>
      </c>
    </row>
    <row r="12" spans="1:10">
      <c r="A12" s="13"/>
      <c r="B12" s="13"/>
      <c r="C12" s="13"/>
      <c r="D12" s="13"/>
      <c r="E12" s="13"/>
      <c r="F12" s="13"/>
      <c r="G12" s="13"/>
      <c r="H12" s="13"/>
      <c r="I12" s="13"/>
      <c r="J12" s="13"/>
    </row>
    <row r="13" spans="1:10">
      <c r="A13" s="575" t="s">
        <v>936</v>
      </c>
      <c r="B13" s="896"/>
      <c r="C13" s="8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51">
      <c r="A15" s="13" t="s">
        <v>2113</v>
      </c>
      <c r="B15" s="13" t="s">
        <v>1238</v>
      </c>
      <c r="C15" s="13" t="s">
        <v>1238</v>
      </c>
      <c r="D15" s="13" t="s">
        <v>679</v>
      </c>
      <c r="E15" s="13" t="s">
        <v>677</v>
      </c>
      <c r="F15" s="13" t="s">
        <v>679</v>
      </c>
      <c r="G15" s="13" t="s">
        <v>677</v>
      </c>
      <c r="H15" s="13" t="s">
        <v>677</v>
      </c>
      <c r="I15" s="13" t="s">
        <v>677</v>
      </c>
      <c r="J15" s="13" t="s">
        <v>2114</v>
      </c>
    </row>
    <row r="16" spans="1:10" ht="38.25">
      <c r="A16" s="13" t="s">
        <v>2107</v>
      </c>
      <c r="B16" s="13" t="s">
        <v>1238</v>
      </c>
      <c r="C16" s="13" t="s">
        <v>1238</v>
      </c>
      <c r="D16" s="13" t="s">
        <v>679</v>
      </c>
      <c r="E16" s="13" t="s">
        <v>677</v>
      </c>
      <c r="F16" s="13" t="s">
        <v>1238</v>
      </c>
      <c r="G16" s="13" t="s">
        <v>677</v>
      </c>
      <c r="H16" s="13" t="s">
        <v>677</v>
      </c>
      <c r="I16" s="13" t="s">
        <v>677</v>
      </c>
      <c r="J16" s="13" t="s">
        <v>2115</v>
      </c>
    </row>
    <row r="17" spans="1:10">
      <c r="A17" s="13"/>
      <c r="B17" s="13"/>
      <c r="C17" s="13"/>
      <c r="D17" s="13"/>
      <c r="E17" s="13"/>
      <c r="F17" s="13"/>
      <c r="G17" s="13"/>
      <c r="H17" s="13"/>
      <c r="I17" s="13"/>
      <c r="J17" s="13"/>
    </row>
    <row r="18" spans="1:10">
      <c r="A18" s="575" t="s">
        <v>951</v>
      </c>
      <c r="B18" s="896"/>
      <c r="C18" s="8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51">
      <c r="A20" s="13" t="s">
        <v>2113</v>
      </c>
      <c r="B20" s="13" t="s">
        <v>679</v>
      </c>
      <c r="C20" s="13" t="s">
        <v>679</v>
      </c>
      <c r="D20" s="13" t="s">
        <v>1238</v>
      </c>
      <c r="E20" s="13" t="s">
        <v>1238</v>
      </c>
      <c r="F20" s="13" t="s">
        <v>679</v>
      </c>
      <c r="G20" s="13" t="s">
        <v>677</v>
      </c>
      <c r="H20" s="13" t="s">
        <v>677</v>
      </c>
      <c r="I20" s="13" t="s">
        <v>677</v>
      </c>
      <c r="J20" s="13" t="s">
        <v>2116</v>
      </c>
    </row>
    <row r="21" spans="1:10" ht="38.25">
      <c r="A21" s="13" t="s">
        <v>2107</v>
      </c>
      <c r="B21" s="13" t="s">
        <v>679</v>
      </c>
      <c r="C21" s="13" t="s">
        <v>679</v>
      </c>
      <c r="D21" s="13" t="s">
        <v>1238</v>
      </c>
      <c r="E21" s="13" t="s">
        <v>1238</v>
      </c>
      <c r="F21" s="13" t="s">
        <v>679</v>
      </c>
      <c r="G21" s="13" t="s">
        <v>677</v>
      </c>
      <c r="H21" s="13" t="s">
        <v>677</v>
      </c>
      <c r="I21" s="13" t="s">
        <v>677</v>
      </c>
      <c r="J21" s="13" t="s">
        <v>2117</v>
      </c>
    </row>
    <row r="22" spans="1:10">
      <c r="A22" s="13"/>
      <c r="B22" s="13"/>
      <c r="C22" s="13"/>
      <c r="D22" s="13"/>
      <c r="E22" s="13"/>
      <c r="F22" s="13"/>
      <c r="G22" s="13"/>
      <c r="H22" s="13"/>
      <c r="I22" s="13"/>
      <c r="J22" s="13"/>
    </row>
    <row r="23" spans="1:10">
      <c r="A23" s="575" t="s">
        <v>964</v>
      </c>
      <c r="B23" s="896"/>
      <c r="C23" s="8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38.25">
      <c r="A25" s="13" t="s">
        <v>2113</v>
      </c>
      <c r="B25" s="13" t="s">
        <v>679</v>
      </c>
      <c r="C25" s="13" t="s">
        <v>679</v>
      </c>
      <c r="D25" s="13" t="s">
        <v>679</v>
      </c>
      <c r="E25" s="13" t="s">
        <v>679</v>
      </c>
      <c r="F25" s="13" t="s">
        <v>679</v>
      </c>
      <c r="G25" s="13" t="s">
        <v>679</v>
      </c>
      <c r="H25" s="13" t="s">
        <v>679</v>
      </c>
      <c r="I25" s="13" t="s">
        <v>679</v>
      </c>
      <c r="J25" s="13" t="s">
        <v>2118</v>
      </c>
    </row>
    <row r="26" spans="1:10" ht="38.25">
      <c r="A26" s="13" t="s">
        <v>2107</v>
      </c>
      <c r="B26" s="13" t="s">
        <v>2119</v>
      </c>
      <c r="C26" s="13" t="s">
        <v>679</v>
      </c>
      <c r="D26" s="13" t="s">
        <v>679</v>
      </c>
      <c r="E26" s="13" t="s">
        <v>679</v>
      </c>
      <c r="F26" s="13" t="s">
        <v>679</v>
      </c>
      <c r="G26" s="13" t="s">
        <v>679</v>
      </c>
      <c r="H26" s="13" t="s">
        <v>679</v>
      </c>
      <c r="I26" s="13" t="s">
        <v>679</v>
      </c>
      <c r="J26" s="13" t="s">
        <v>2120</v>
      </c>
    </row>
    <row r="27" spans="1:10">
      <c r="A27" s="13"/>
      <c r="B27" s="13"/>
      <c r="C27" s="13"/>
      <c r="D27" s="13"/>
      <c r="E27" s="13"/>
      <c r="F27" s="13"/>
      <c r="G27" s="13"/>
      <c r="H27" s="13"/>
      <c r="I27" s="13"/>
      <c r="J27" s="13"/>
    </row>
    <row r="28" spans="1:10">
      <c r="A28" s="575" t="s">
        <v>977</v>
      </c>
      <c r="B28" s="896"/>
      <c r="C28" s="8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51">
      <c r="A30" s="13" t="s">
        <v>2113</v>
      </c>
      <c r="B30" s="13" t="s">
        <v>679</v>
      </c>
      <c r="C30" s="13" t="s">
        <v>679</v>
      </c>
      <c r="D30" s="13" t="s">
        <v>679</v>
      </c>
      <c r="E30" s="13" t="s">
        <v>679</v>
      </c>
      <c r="F30" s="13" t="s">
        <v>679</v>
      </c>
      <c r="G30" s="13" t="s">
        <v>679</v>
      </c>
      <c r="H30" s="13" t="s">
        <v>2121</v>
      </c>
      <c r="I30" s="13" t="s">
        <v>677</v>
      </c>
      <c r="J30" s="13" t="s">
        <v>2122</v>
      </c>
    </row>
    <row r="31" spans="1:10" ht="38.25">
      <c r="A31" s="13" t="s">
        <v>2107</v>
      </c>
      <c r="B31" s="13" t="s">
        <v>2119</v>
      </c>
      <c r="C31" s="13" t="s">
        <v>679</v>
      </c>
      <c r="D31" s="13" t="s">
        <v>679</v>
      </c>
      <c r="E31" s="13" t="s">
        <v>679</v>
      </c>
      <c r="F31" s="13" t="s">
        <v>679</v>
      </c>
      <c r="G31" s="13" t="s">
        <v>679</v>
      </c>
      <c r="H31" s="13" t="s">
        <v>2121</v>
      </c>
      <c r="I31" s="13" t="s">
        <v>677</v>
      </c>
      <c r="J31" s="13" t="s">
        <v>2123</v>
      </c>
    </row>
    <row r="32" spans="1:10">
      <c r="A32" s="13"/>
      <c r="B32" s="13"/>
      <c r="C32" s="13"/>
      <c r="D32" s="13"/>
      <c r="E32" s="13"/>
      <c r="F32" s="13"/>
      <c r="G32" s="13"/>
      <c r="H32" s="13"/>
      <c r="I32" s="13"/>
      <c r="J32" s="13"/>
    </row>
    <row r="33" spans="1:10">
      <c r="A33" s="575" t="s">
        <v>994</v>
      </c>
      <c r="B33" s="896"/>
      <c r="C33" s="8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6.5">
      <c r="A35" s="13" t="s">
        <v>2113</v>
      </c>
      <c r="B35" s="13" t="s">
        <v>679</v>
      </c>
      <c r="C35" s="13" t="s">
        <v>677</v>
      </c>
      <c r="D35" s="13" t="s">
        <v>677</v>
      </c>
      <c r="E35" s="13" t="s">
        <v>677</v>
      </c>
      <c r="F35" s="13" t="s">
        <v>677</v>
      </c>
      <c r="G35" s="13" t="s">
        <v>677</v>
      </c>
      <c r="H35" s="13" t="s">
        <v>677</v>
      </c>
      <c r="I35" s="13" t="s">
        <v>677</v>
      </c>
      <c r="J35" s="13" t="s">
        <v>2124</v>
      </c>
    </row>
    <row r="36" spans="1:10" ht="63.75">
      <c r="A36" s="13" t="s">
        <v>2107</v>
      </c>
      <c r="B36" s="13" t="s">
        <v>2125</v>
      </c>
      <c r="C36" s="13" t="s">
        <v>1238</v>
      </c>
      <c r="D36" s="13" t="s">
        <v>677</v>
      </c>
      <c r="E36" s="13" t="s">
        <v>677</v>
      </c>
      <c r="F36" s="13" t="s">
        <v>677</v>
      </c>
      <c r="G36" s="13" t="s">
        <v>677</v>
      </c>
      <c r="H36" s="13" t="s">
        <v>677</v>
      </c>
      <c r="I36" s="13" t="s">
        <v>677</v>
      </c>
      <c r="J36" s="13" t="s">
        <v>2126</v>
      </c>
    </row>
    <row r="37" spans="1:10">
      <c r="A37" s="13"/>
      <c r="B37" s="13"/>
      <c r="C37" s="13"/>
      <c r="D37" s="13"/>
      <c r="E37" s="13"/>
      <c r="F37" s="13"/>
      <c r="G37" s="13"/>
      <c r="H37" s="13"/>
      <c r="I37" s="13"/>
      <c r="J37" s="13"/>
    </row>
    <row r="38" spans="1:10">
      <c r="A38" s="575" t="s">
        <v>1007</v>
      </c>
      <c r="B38" s="896"/>
      <c r="C38" s="8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51">
      <c r="A40" s="13" t="s">
        <v>2113</v>
      </c>
      <c r="B40" s="13" t="s">
        <v>679</v>
      </c>
      <c r="C40" s="13" t="s">
        <v>679</v>
      </c>
      <c r="D40" s="13" t="s">
        <v>679</v>
      </c>
      <c r="E40" s="13" t="s">
        <v>679</v>
      </c>
      <c r="F40" s="13" t="s">
        <v>1238</v>
      </c>
      <c r="G40" s="13" t="s">
        <v>679</v>
      </c>
      <c r="H40" s="13" t="s">
        <v>679</v>
      </c>
      <c r="I40" s="13" t="s">
        <v>1238</v>
      </c>
      <c r="J40" s="13" t="s">
        <v>2127</v>
      </c>
    </row>
    <row r="41" spans="1:10" ht="38.25">
      <c r="A41" s="13" t="s">
        <v>2107</v>
      </c>
      <c r="B41" s="13" t="s">
        <v>1238</v>
      </c>
      <c r="C41" s="13" t="s">
        <v>1238</v>
      </c>
      <c r="D41" s="13" t="s">
        <v>679</v>
      </c>
      <c r="E41" s="13" t="s">
        <v>679</v>
      </c>
      <c r="F41" s="13" t="s">
        <v>1238</v>
      </c>
      <c r="G41" s="13" t="s">
        <v>679</v>
      </c>
      <c r="H41" s="13" t="s">
        <v>679</v>
      </c>
      <c r="I41" s="13" t="s">
        <v>1238</v>
      </c>
      <c r="J41" s="13" t="s">
        <v>2128</v>
      </c>
    </row>
    <row r="42" spans="1:10">
      <c r="A42" s="13"/>
      <c r="B42" s="13"/>
      <c r="C42" s="13"/>
      <c r="D42" s="13"/>
      <c r="E42" s="13"/>
      <c r="F42" s="13"/>
      <c r="G42" s="13"/>
      <c r="H42" s="13"/>
      <c r="I42" s="13"/>
      <c r="J42" s="13"/>
    </row>
    <row r="43" spans="1:10">
      <c r="A43" s="575" t="s">
        <v>1019</v>
      </c>
      <c r="B43" s="896"/>
      <c r="C43" s="8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76.5">
      <c r="A45" s="13" t="s">
        <v>2129</v>
      </c>
      <c r="B45" s="13" t="s">
        <v>575</v>
      </c>
      <c r="C45" s="13" t="s">
        <v>2130</v>
      </c>
      <c r="D45" s="13" t="s">
        <v>391</v>
      </c>
      <c r="E45" s="13" t="s">
        <v>488</v>
      </c>
      <c r="F45" s="13">
        <v>6</v>
      </c>
      <c r="G45" s="13" t="s">
        <v>2131</v>
      </c>
      <c r="H45" s="13" t="s">
        <v>2132</v>
      </c>
      <c r="I45" s="13" t="s">
        <v>502</v>
      </c>
      <c r="J45" s="13" t="s">
        <v>2133</v>
      </c>
    </row>
    <row r="46" spans="1:10" ht="89.25">
      <c r="A46" s="13" t="s">
        <v>2134</v>
      </c>
      <c r="B46" s="13" t="s">
        <v>2113</v>
      </c>
      <c r="C46" s="13" t="s">
        <v>2135</v>
      </c>
      <c r="D46" s="13" t="s">
        <v>391</v>
      </c>
      <c r="E46" s="13" t="s">
        <v>488</v>
      </c>
      <c r="F46" s="13">
        <v>6</v>
      </c>
      <c r="G46" s="13" t="s">
        <v>2136</v>
      </c>
      <c r="H46" s="13" t="s">
        <v>2137</v>
      </c>
      <c r="I46" s="13" t="s">
        <v>502</v>
      </c>
      <c r="J46" s="13" t="s">
        <v>2138</v>
      </c>
    </row>
    <row r="47" spans="1:10" ht="76.5">
      <c r="A47" s="13" t="s">
        <v>2139</v>
      </c>
      <c r="B47" s="13" t="s">
        <v>575</v>
      </c>
      <c r="C47" s="13" t="s">
        <v>2140</v>
      </c>
      <c r="D47" s="13" t="s">
        <v>492</v>
      </c>
      <c r="E47" s="13" t="s">
        <v>488</v>
      </c>
      <c r="F47" s="13">
        <v>8</v>
      </c>
      <c r="G47" s="13" t="s">
        <v>2141</v>
      </c>
      <c r="H47" s="13" t="s">
        <v>595</v>
      </c>
      <c r="I47" s="13" t="s">
        <v>502</v>
      </c>
      <c r="J47" s="13" t="s">
        <v>2142</v>
      </c>
    </row>
    <row r="48" spans="1:10" ht="76.5">
      <c r="A48" s="13" t="s">
        <v>2143</v>
      </c>
      <c r="B48" s="13" t="s">
        <v>575</v>
      </c>
      <c r="C48" s="13" t="s">
        <v>2144</v>
      </c>
      <c r="D48" s="13" t="s">
        <v>391</v>
      </c>
      <c r="E48" s="13" t="s">
        <v>488</v>
      </c>
      <c r="F48" s="13">
        <v>6</v>
      </c>
      <c r="G48" s="13" t="s">
        <v>2145</v>
      </c>
      <c r="H48" s="13" t="s">
        <v>622</v>
      </c>
      <c r="I48" s="13" t="s">
        <v>502</v>
      </c>
      <c r="J48" s="13" t="s">
        <v>2146</v>
      </c>
    </row>
    <row r="49" spans="1:10" ht="89.25">
      <c r="A49" s="13" t="s">
        <v>2147</v>
      </c>
      <c r="B49" s="13" t="s">
        <v>2107</v>
      </c>
      <c r="C49" s="13" t="s">
        <v>2148</v>
      </c>
      <c r="D49" s="13" t="s">
        <v>488</v>
      </c>
      <c r="E49" s="13" t="s">
        <v>488</v>
      </c>
      <c r="F49" s="13">
        <v>4</v>
      </c>
      <c r="G49" s="13" t="s">
        <v>2149</v>
      </c>
      <c r="H49" s="13" t="s">
        <v>2150</v>
      </c>
      <c r="I49" s="13" t="s">
        <v>502</v>
      </c>
      <c r="J49" s="13" t="s">
        <v>2151</v>
      </c>
    </row>
    <row r="50" spans="1:10" ht="76.5">
      <c r="A50" s="13" t="s">
        <v>2152</v>
      </c>
      <c r="B50" s="13" t="s">
        <v>575</v>
      </c>
      <c r="C50" s="13" t="s">
        <v>2153</v>
      </c>
      <c r="D50" s="13" t="s">
        <v>391</v>
      </c>
      <c r="E50" s="13" t="s">
        <v>488</v>
      </c>
      <c r="F50" s="13">
        <v>6</v>
      </c>
      <c r="G50" s="13" t="s">
        <v>2154</v>
      </c>
      <c r="H50" s="13" t="s">
        <v>2155</v>
      </c>
      <c r="I50" s="13" t="s">
        <v>502</v>
      </c>
      <c r="J50" s="13" t="s">
        <v>2156</v>
      </c>
    </row>
    <row r="51" spans="1:10">
      <c r="A51" s="13"/>
      <c r="B51" s="13"/>
      <c r="C51" s="13"/>
      <c r="D51" s="13"/>
      <c r="E51" s="13"/>
      <c r="F51" s="13"/>
      <c r="G51" s="13"/>
      <c r="H51" s="13"/>
      <c r="I51" s="13"/>
      <c r="J51" s="13"/>
    </row>
    <row r="52" spans="1:10">
      <c r="A52" s="575" t="s">
        <v>1051</v>
      </c>
      <c r="B52" s="896"/>
      <c r="C52" s="8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89.25">
      <c r="A54" s="13" t="s">
        <v>2157</v>
      </c>
      <c r="B54" s="13" t="s">
        <v>2158</v>
      </c>
      <c r="C54" s="13" t="s">
        <v>579</v>
      </c>
      <c r="D54" s="13" t="s">
        <v>502</v>
      </c>
      <c r="E54" s="13"/>
      <c r="F54" s="13"/>
      <c r="G54" s="13" t="s">
        <v>2159</v>
      </c>
      <c r="H54" s="13"/>
      <c r="I54" s="13"/>
      <c r="J54" s="13"/>
    </row>
    <row r="55" spans="1:10" ht="63.75">
      <c r="A55" s="13" t="s">
        <v>2160</v>
      </c>
      <c r="B55" s="13" t="s">
        <v>2161</v>
      </c>
      <c r="C55" s="13" t="s">
        <v>2162</v>
      </c>
      <c r="D55" s="13" t="s">
        <v>502</v>
      </c>
      <c r="E55" s="13"/>
      <c r="F55" s="13"/>
      <c r="G55" s="13" t="s">
        <v>2163</v>
      </c>
      <c r="H55" s="13"/>
      <c r="I55" s="13"/>
      <c r="J55" s="13"/>
    </row>
    <row r="56" spans="1:10" ht="76.5">
      <c r="A56" s="13" t="s">
        <v>2164</v>
      </c>
      <c r="B56" s="13" t="s">
        <v>2165</v>
      </c>
      <c r="C56" s="13" t="s">
        <v>587</v>
      </c>
      <c r="D56" s="13" t="s">
        <v>502</v>
      </c>
      <c r="E56" s="13"/>
      <c r="F56" s="13"/>
      <c r="G56" s="13" t="s">
        <v>2166</v>
      </c>
      <c r="H56" s="13"/>
      <c r="I56" s="13"/>
      <c r="J56" s="13"/>
    </row>
    <row r="57" spans="1:10" ht="63.75">
      <c r="A57" s="13" t="s">
        <v>2167</v>
      </c>
      <c r="B57" s="13" t="s">
        <v>2168</v>
      </c>
      <c r="C57" s="13" t="s">
        <v>2137</v>
      </c>
      <c r="D57" s="13" t="s">
        <v>502</v>
      </c>
      <c r="E57" s="13"/>
      <c r="F57" s="13"/>
      <c r="G57" s="13" t="s">
        <v>2169</v>
      </c>
      <c r="H57" s="13"/>
      <c r="I57" s="13"/>
      <c r="J57" s="13"/>
    </row>
    <row r="58" spans="1:10" ht="76.5">
      <c r="A58" s="13" t="s">
        <v>2170</v>
      </c>
      <c r="B58" s="13" t="s">
        <v>2171</v>
      </c>
      <c r="C58" s="13" t="s">
        <v>622</v>
      </c>
      <c r="D58" s="13" t="s">
        <v>502</v>
      </c>
      <c r="E58" s="13"/>
      <c r="F58" s="13"/>
      <c r="G58" s="13" t="s">
        <v>2172</v>
      </c>
      <c r="H58" s="13"/>
      <c r="I58" s="13"/>
      <c r="J58" s="13"/>
    </row>
    <row r="59" spans="1:10" ht="63.75">
      <c r="A59" s="13" t="s">
        <v>2173</v>
      </c>
      <c r="B59" s="13" t="s">
        <v>2174</v>
      </c>
      <c r="C59" s="13" t="s">
        <v>2175</v>
      </c>
      <c r="D59" s="13" t="s">
        <v>502</v>
      </c>
      <c r="E59" s="13"/>
      <c r="F59" s="13"/>
      <c r="G59" s="13" t="s">
        <v>2176</v>
      </c>
      <c r="H59" s="13"/>
      <c r="I59" s="13"/>
      <c r="J59" s="13"/>
    </row>
    <row r="60" spans="1:10" ht="89.25">
      <c r="A60" s="13" t="s">
        <v>2177</v>
      </c>
      <c r="B60" s="13" t="s">
        <v>2178</v>
      </c>
      <c r="C60" s="13" t="s">
        <v>2155</v>
      </c>
      <c r="D60" s="13" t="s">
        <v>502</v>
      </c>
      <c r="E60" s="13"/>
      <c r="F60" s="13"/>
      <c r="G60" s="13" t="s">
        <v>2179</v>
      </c>
      <c r="H60" s="13"/>
      <c r="I60" s="13"/>
      <c r="J60" s="13"/>
    </row>
    <row r="61" spans="1:10">
      <c r="A61" s="13"/>
      <c r="B61" s="13"/>
      <c r="C61" s="13"/>
      <c r="D61" s="13"/>
      <c r="E61" s="13"/>
      <c r="F61" s="13"/>
      <c r="G61" s="13"/>
      <c r="H61" s="13"/>
      <c r="I61" s="13"/>
      <c r="J61" s="13"/>
    </row>
    <row r="62" spans="1:10">
      <c r="A62" s="575" t="s">
        <v>1052</v>
      </c>
      <c r="B62" s="896"/>
      <c r="C62" s="8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76.5">
      <c r="A64" s="13" t="s">
        <v>2180</v>
      </c>
      <c r="B64" s="13" t="s">
        <v>2113</v>
      </c>
      <c r="C64" s="13" t="s">
        <v>269</v>
      </c>
      <c r="D64" s="13" t="s">
        <v>2181</v>
      </c>
      <c r="E64" s="13"/>
      <c r="F64" s="13" t="s">
        <v>229</v>
      </c>
      <c r="G64" s="13"/>
      <c r="H64" s="13" t="s">
        <v>2134</v>
      </c>
      <c r="I64" s="13" t="s">
        <v>502</v>
      </c>
      <c r="J64" s="13"/>
    </row>
    <row r="65" spans="1:10" ht="63.75">
      <c r="A65" s="13" t="s">
        <v>2182</v>
      </c>
      <c r="B65" s="13" t="s">
        <v>2107</v>
      </c>
      <c r="C65" s="13" t="s">
        <v>269</v>
      </c>
      <c r="D65" s="13" t="s">
        <v>2183</v>
      </c>
      <c r="E65" s="13"/>
      <c r="F65" s="13" t="s">
        <v>229</v>
      </c>
      <c r="G65" s="13"/>
      <c r="H65" s="13" t="s">
        <v>2147</v>
      </c>
      <c r="I65" s="13" t="s">
        <v>502</v>
      </c>
      <c r="J65" s="13"/>
    </row>
    <row r="66" spans="1:10" ht="63.75">
      <c r="A66" s="13" t="s">
        <v>2184</v>
      </c>
      <c r="B66" s="13" t="s">
        <v>575</v>
      </c>
      <c r="C66" s="13" t="s">
        <v>957</v>
      </c>
      <c r="D66" s="13" t="s">
        <v>2185</v>
      </c>
      <c r="E66" s="13"/>
      <c r="F66" s="13" t="s">
        <v>229</v>
      </c>
      <c r="G66" s="13"/>
      <c r="H66" s="13" t="s">
        <v>2143</v>
      </c>
      <c r="I66" s="13" t="s">
        <v>502</v>
      </c>
      <c r="J66" s="13"/>
    </row>
    <row r="67" spans="1:10" ht="63.75">
      <c r="A67" s="13" t="s">
        <v>2186</v>
      </c>
      <c r="B67" s="13" t="s">
        <v>575</v>
      </c>
      <c r="C67" s="13" t="s">
        <v>155</v>
      </c>
      <c r="D67" s="13" t="s">
        <v>2187</v>
      </c>
      <c r="E67" s="13"/>
      <c r="F67" s="13" t="s">
        <v>229</v>
      </c>
      <c r="G67" s="13"/>
      <c r="H67" s="13" t="s">
        <v>2188</v>
      </c>
      <c r="I67" s="13" t="s">
        <v>502</v>
      </c>
      <c r="J67" s="13"/>
    </row>
    <row r="68" spans="1:10" ht="76.5">
      <c r="A68" s="13" t="s">
        <v>2189</v>
      </c>
      <c r="B68" s="13" t="s">
        <v>575</v>
      </c>
      <c r="C68" s="13" t="s">
        <v>486</v>
      </c>
      <c r="D68" s="13" t="s">
        <v>2190</v>
      </c>
      <c r="E68" s="13"/>
      <c r="F68" s="13" t="s">
        <v>229</v>
      </c>
      <c r="G68" s="13"/>
      <c r="H68" s="13" t="s">
        <v>2152</v>
      </c>
      <c r="I68" s="13" t="s">
        <v>502</v>
      </c>
      <c r="J68" s="13"/>
    </row>
    <row r="69" spans="1:10">
      <c r="A69" s="13"/>
      <c r="B69" s="13"/>
      <c r="C69" s="13"/>
      <c r="D69" s="13"/>
      <c r="E69" s="13"/>
      <c r="F69" s="13"/>
      <c r="G69" s="13"/>
      <c r="H69" s="13"/>
      <c r="I69" s="13"/>
      <c r="J69" s="13"/>
    </row>
    <row r="70" spans="1:10">
      <c r="A70" s="575" t="s">
        <v>1079</v>
      </c>
      <c r="B70" s="896"/>
      <c r="C70" s="85"/>
      <c r="D70" s="85"/>
      <c r="E70" s="85"/>
      <c r="F70" s="85"/>
      <c r="G70" s="85"/>
      <c r="H70" s="85"/>
      <c r="I70" s="85"/>
      <c r="J70" s="85"/>
    </row>
    <row r="71" spans="1:10">
      <c r="A71" s="50" t="s">
        <v>275</v>
      </c>
      <c r="B71" s="50" t="s">
        <v>895</v>
      </c>
      <c r="C71" s="50" t="s">
        <v>896</v>
      </c>
      <c r="D71" s="50" t="s">
        <v>148</v>
      </c>
      <c r="E71" s="50" t="s">
        <v>153</v>
      </c>
      <c r="F71" s="50" t="s">
        <v>155</v>
      </c>
      <c r="G71" s="50" t="s">
        <v>491</v>
      </c>
      <c r="H71" s="50" t="s">
        <v>897</v>
      </c>
      <c r="I71" s="50" t="s">
        <v>174</v>
      </c>
      <c r="J71" s="50" t="s">
        <v>11</v>
      </c>
    </row>
    <row r="72" spans="1:10" ht="25.5">
      <c r="A72" s="13" t="s">
        <v>2113</v>
      </c>
      <c r="B72" s="13">
        <v>0.6</v>
      </c>
      <c r="C72" s="13">
        <v>0.5</v>
      </c>
      <c r="D72" s="13" t="s">
        <v>679</v>
      </c>
      <c r="E72" s="13" t="s">
        <v>679</v>
      </c>
      <c r="F72" s="13">
        <v>0.6</v>
      </c>
      <c r="G72" s="13" t="s">
        <v>677</v>
      </c>
      <c r="H72" s="13">
        <v>0.55000000000000004</v>
      </c>
      <c r="I72" s="13" t="s">
        <v>1201</v>
      </c>
      <c r="J72" s="13" t="s">
        <v>2191</v>
      </c>
    </row>
    <row r="73" spans="1:10" ht="38.25">
      <c r="A73" s="13" t="s">
        <v>2107</v>
      </c>
      <c r="B73" s="13">
        <v>0.5</v>
      </c>
      <c r="C73" s="13">
        <v>0.5</v>
      </c>
      <c r="D73" s="13" t="s">
        <v>679</v>
      </c>
      <c r="E73" s="13" t="s">
        <v>679</v>
      </c>
      <c r="F73" s="13">
        <v>0.6</v>
      </c>
      <c r="G73" s="13" t="s">
        <v>677</v>
      </c>
      <c r="H73" s="13">
        <v>0.53</v>
      </c>
      <c r="I73" s="13" t="s">
        <v>1201</v>
      </c>
      <c r="J73" s="13" t="s">
        <v>2192</v>
      </c>
    </row>
    <row r="74" spans="1:10">
      <c r="A74" s="13"/>
      <c r="B74" s="13"/>
      <c r="C74" s="13"/>
      <c r="D74" s="13"/>
      <c r="E74" s="13"/>
      <c r="F74" s="13"/>
      <c r="G74" s="13"/>
      <c r="H74" s="13"/>
      <c r="I74" s="13"/>
      <c r="J74" s="13"/>
    </row>
    <row r="75" spans="1:10">
      <c r="A75" s="575" t="s">
        <v>1085</v>
      </c>
      <c r="B75" s="896"/>
      <c r="C75" s="896"/>
      <c r="D75" s="85"/>
      <c r="E75" s="85"/>
      <c r="F75" s="85"/>
      <c r="G75" s="85"/>
      <c r="H75" s="85"/>
      <c r="I75" s="85"/>
      <c r="J75" s="85"/>
    </row>
    <row r="76" spans="1:10" ht="38.25">
      <c r="A76" s="50" t="s">
        <v>905</v>
      </c>
      <c r="B76" s="50" t="s">
        <v>797</v>
      </c>
      <c r="C76" s="50"/>
      <c r="D76" s="50"/>
      <c r="E76" s="50"/>
      <c r="F76" s="50"/>
      <c r="G76" s="50"/>
      <c r="H76" s="50"/>
      <c r="I76" s="50"/>
      <c r="J76" s="50"/>
    </row>
    <row r="77" spans="1:10" ht="178.5">
      <c r="A77" s="13" t="s">
        <v>1086</v>
      </c>
      <c r="B77" s="13" t="s">
        <v>2193</v>
      </c>
      <c r="C77" s="13"/>
      <c r="D77" s="13"/>
      <c r="E77" s="13"/>
      <c r="F77" s="13"/>
      <c r="G77" s="13"/>
      <c r="H77" s="13"/>
      <c r="I77" s="13"/>
      <c r="J77" s="13"/>
    </row>
    <row r="78" spans="1:10" ht="191.25">
      <c r="A78" s="13" t="s">
        <v>2194</v>
      </c>
      <c r="B78" s="13" t="s">
        <v>2195</v>
      </c>
      <c r="C78" s="13"/>
      <c r="D78" s="13"/>
      <c r="E78" s="13"/>
      <c r="F78" s="13"/>
      <c r="G78" s="13"/>
      <c r="H78" s="13"/>
      <c r="I78" s="13"/>
      <c r="J78" s="13"/>
    </row>
    <row r="79" spans="1:10" ht="127.5">
      <c r="A79" s="13" t="s">
        <v>2196</v>
      </c>
      <c r="B79" s="13" t="s">
        <v>2197</v>
      </c>
      <c r="C79" s="13"/>
      <c r="D79" s="13"/>
      <c r="E79" s="13"/>
      <c r="F79" s="13"/>
      <c r="G79" s="13"/>
      <c r="H79" s="13"/>
      <c r="I79" s="13"/>
      <c r="J79" s="13"/>
    </row>
    <row r="80" spans="1:10" ht="127.5">
      <c r="A80" s="13" t="s">
        <v>1088</v>
      </c>
      <c r="B80" s="13" t="s">
        <v>2198</v>
      </c>
      <c r="C80" s="13"/>
      <c r="D80" s="13"/>
      <c r="E80" s="13"/>
      <c r="F80" s="13"/>
      <c r="G80" s="13"/>
      <c r="H80" s="13"/>
      <c r="I80" s="13"/>
      <c r="J80" s="13"/>
    </row>
    <row r="81" spans="1:10" ht="191.25">
      <c r="A81" s="13" t="s">
        <v>1563</v>
      </c>
      <c r="B81" s="13" t="s">
        <v>2199</v>
      </c>
      <c r="C81" s="13"/>
      <c r="D81" s="13"/>
      <c r="E81" s="13"/>
      <c r="F81" s="13"/>
      <c r="G81" s="13"/>
      <c r="H81" s="13"/>
      <c r="I81" s="13"/>
      <c r="J81" s="13"/>
    </row>
    <row r="83" spans="1:10" ht="15.75" thickBot="1"/>
    <row r="84" spans="1:10">
      <c r="A84" s="605" t="s">
        <v>5668</v>
      </c>
      <c r="B84" s="602"/>
      <c r="C84" s="602"/>
      <c r="D84" s="606"/>
      <c r="E84" s="602"/>
      <c r="F84" s="602"/>
      <c r="G84" s="606"/>
      <c r="H84" s="606"/>
      <c r="I84" s="606"/>
      <c r="J84" s="607"/>
    </row>
    <row r="85" spans="1:10">
      <c r="A85" s="321" t="s">
        <v>5610</v>
      </c>
      <c r="B85" s="322" t="s">
        <v>77</v>
      </c>
      <c r="C85" s="322" t="s">
        <v>5611</v>
      </c>
      <c r="D85" s="322" t="s">
        <v>5612</v>
      </c>
      <c r="E85" s="322" t="s">
        <v>5634</v>
      </c>
      <c r="F85" s="322" t="s">
        <v>5601</v>
      </c>
      <c r="G85" s="578" t="s">
        <v>5635</v>
      </c>
      <c r="H85" s="578"/>
      <c r="I85" s="578"/>
      <c r="J85" s="579"/>
    </row>
    <row r="86" spans="1:10" ht="25.5">
      <c r="A86" s="323" t="s">
        <v>5613</v>
      </c>
      <c r="B86" s="333" t="s">
        <v>484</v>
      </c>
      <c r="C86" s="325">
        <v>0</v>
      </c>
      <c r="D86" s="325">
        <v>0</v>
      </c>
      <c r="E86" s="192" t="s">
        <v>5674</v>
      </c>
      <c r="F86" s="325">
        <f>IF(AND(C86&lt;&gt;"",D86&lt;&gt;""),D86-C86,"")</f>
        <v>0</v>
      </c>
      <c r="G86" s="608"/>
      <c r="H86" s="608"/>
      <c r="I86" s="608"/>
      <c r="J86" s="609"/>
    </row>
    <row r="87" spans="1:10" ht="25.5">
      <c r="A87" s="326" t="s">
        <v>5614</v>
      </c>
      <c r="B87" s="333" t="s">
        <v>484</v>
      </c>
      <c r="C87" s="327">
        <v>1</v>
      </c>
      <c r="D87" s="327">
        <v>0</v>
      </c>
      <c r="E87" s="310" t="s">
        <v>5675</v>
      </c>
      <c r="F87" s="327">
        <f>IF(AND(C87&lt;&gt;"",D87&lt;&gt;""),D87-C87,"")</f>
        <v>-1</v>
      </c>
      <c r="G87" s="610"/>
      <c r="H87" s="610"/>
      <c r="I87" s="610"/>
      <c r="J87" s="611"/>
    </row>
    <row r="88" spans="1:10">
      <c r="A88" s="323" t="s">
        <v>5615</v>
      </c>
      <c r="B88" s="333" t="s">
        <v>484</v>
      </c>
      <c r="C88" s="327">
        <v>1</v>
      </c>
      <c r="D88" s="327">
        <v>0</v>
      </c>
      <c r="E88" s="310" t="s">
        <v>5675</v>
      </c>
      <c r="F88" s="325">
        <f>IF(AND(C88&lt;&gt;"",D88&lt;&gt;""),D88-C88,"")</f>
        <v>-1</v>
      </c>
      <c r="G88" s="328"/>
      <c r="H88" s="227"/>
      <c r="I88" s="227"/>
      <c r="J88" s="329"/>
    </row>
    <row r="89" spans="1:10">
      <c r="A89" s="326" t="s">
        <v>5616</v>
      </c>
      <c r="B89" s="333" t="s">
        <v>484</v>
      </c>
      <c r="C89" s="327">
        <v>1</v>
      </c>
      <c r="D89" s="327">
        <v>0</v>
      </c>
      <c r="E89" s="310" t="s">
        <v>5675</v>
      </c>
      <c r="F89" s="327">
        <f>IF(AND(C89&lt;&gt;"",D89&lt;&gt;""),D89-C89,"")</f>
        <v>-1</v>
      </c>
      <c r="G89" s="610"/>
      <c r="H89" s="610"/>
      <c r="I89" s="610"/>
      <c r="J89" s="611"/>
    </row>
    <row r="90" spans="1:10">
      <c r="A90" s="323" t="s">
        <v>5168</v>
      </c>
      <c r="B90" s="333" t="s">
        <v>484</v>
      </c>
      <c r="C90" s="327">
        <v>1</v>
      </c>
      <c r="D90" s="327">
        <v>0</v>
      </c>
      <c r="E90" s="310" t="s">
        <v>5675</v>
      </c>
      <c r="F90" s="325">
        <f>IF(AND(C90&lt;&gt;"",D90&lt;&gt;""),D90-C90,"")</f>
        <v>-1</v>
      </c>
      <c r="G90" s="328"/>
      <c r="H90" s="227"/>
      <c r="I90" s="227"/>
      <c r="J90" s="329"/>
    </row>
    <row r="91" spans="1:10" ht="15.75">
      <c r="A91" s="585" t="s">
        <v>5636</v>
      </c>
      <c r="B91" s="586"/>
      <c r="C91" s="330">
        <f>IFERROR(AVERAGE(C86:C90),"")</f>
        <v>0.8</v>
      </c>
      <c r="D91" s="330">
        <f>IFERROR(AVERAGE(D86:D90),"")</f>
        <v>0</v>
      </c>
      <c r="E91" s="589" t="s">
        <v>5637</v>
      </c>
      <c r="F91" s="589"/>
      <c r="G91" s="589"/>
      <c r="H91" s="589"/>
      <c r="I91" s="589"/>
      <c r="J91" s="590"/>
    </row>
    <row r="92" spans="1:10">
      <c r="A92" s="331"/>
      <c r="B92" s="316"/>
      <c r="C92" s="316"/>
      <c r="D92" s="316"/>
      <c r="E92" s="316"/>
      <c r="F92" s="316"/>
      <c r="G92" s="316"/>
      <c r="H92" s="227"/>
      <c r="I92" s="227"/>
      <c r="J92" s="329"/>
    </row>
    <row r="93" spans="1:10">
      <c r="A93" s="574" t="s">
        <v>5669</v>
      </c>
      <c r="B93" s="582"/>
      <c r="C93" s="582"/>
      <c r="D93" s="575"/>
      <c r="E93" s="582"/>
      <c r="F93" s="582"/>
      <c r="G93" s="575"/>
      <c r="H93" s="575"/>
      <c r="I93" s="575"/>
      <c r="J93" s="576"/>
    </row>
    <row r="94" spans="1:10">
      <c r="A94" s="321" t="s">
        <v>4946</v>
      </c>
      <c r="B94" s="322" t="s">
        <v>77</v>
      </c>
      <c r="C94" s="322" t="s">
        <v>5676</v>
      </c>
      <c r="D94" s="322" t="s">
        <v>482</v>
      </c>
      <c r="E94" s="322" t="s">
        <v>572</v>
      </c>
      <c r="F94" s="322" t="s">
        <v>5639</v>
      </c>
      <c r="G94" s="578" t="s">
        <v>5640</v>
      </c>
      <c r="H94" s="578"/>
      <c r="I94" s="578"/>
      <c r="J94" s="579"/>
    </row>
    <row r="95" spans="1:10" ht="25.5">
      <c r="A95" s="326" t="s">
        <v>5602</v>
      </c>
      <c r="B95" s="333" t="s">
        <v>484</v>
      </c>
      <c r="C95" s="332" t="s">
        <v>679</v>
      </c>
      <c r="D95" s="324" t="s">
        <v>679</v>
      </c>
      <c r="E95" s="332">
        <f>IF(D95="Yes",1,0)</f>
        <v>0</v>
      </c>
      <c r="F95" s="580"/>
      <c r="G95" s="580"/>
      <c r="H95" s="580"/>
      <c r="I95" s="580"/>
      <c r="J95" s="581"/>
    </row>
    <row r="96" spans="1:10">
      <c r="A96" s="323" t="s">
        <v>995</v>
      </c>
      <c r="B96" s="333" t="s">
        <v>484</v>
      </c>
      <c r="C96" s="332" t="s">
        <v>679</v>
      </c>
      <c r="D96" s="324" t="s">
        <v>679</v>
      </c>
      <c r="E96" s="324">
        <f t="shared" ref="E96:E102" si="0">IF(D96="Yes",1,0)</f>
        <v>0</v>
      </c>
      <c r="F96" s="580"/>
      <c r="G96" s="580"/>
      <c r="H96" s="580"/>
      <c r="I96" s="580"/>
      <c r="J96" s="581"/>
    </row>
    <row r="97" spans="1:10">
      <c r="A97" s="326" t="s">
        <v>5603</v>
      </c>
      <c r="B97" s="333" t="s">
        <v>484</v>
      </c>
      <c r="C97" s="332" t="s">
        <v>679</v>
      </c>
      <c r="D97" s="324" t="s">
        <v>679</v>
      </c>
      <c r="E97" s="332">
        <f t="shared" si="0"/>
        <v>0</v>
      </c>
      <c r="F97" s="580"/>
      <c r="G97" s="580"/>
      <c r="H97" s="580"/>
      <c r="I97" s="580"/>
      <c r="J97" s="581"/>
    </row>
    <row r="98" spans="1:10">
      <c r="A98" s="323" t="s">
        <v>5617</v>
      </c>
      <c r="B98" s="333" t="s">
        <v>484</v>
      </c>
      <c r="C98" s="332" t="s">
        <v>679</v>
      </c>
      <c r="D98" s="324" t="s">
        <v>679</v>
      </c>
      <c r="E98" s="324">
        <f t="shared" si="0"/>
        <v>0</v>
      </c>
      <c r="F98" s="580"/>
      <c r="G98" s="580"/>
      <c r="H98" s="580"/>
      <c r="I98" s="580"/>
      <c r="J98" s="581"/>
    </row>
    <row r="99" spans="1:10" ht="38.25">
      <c r="A99" s="326" t="s">
        <v>5618</v>
      </c>
      <c r="B99" s="333" t="s">
        <v>484</v>
      </c>
      <c r="C99" s="332" t="s">
        <v>679</v>
      </c>
      <c r="D99" s="324" t="s">
        <v>679</v>
      </c>
      <c r="E99" s="332">
        <f t="shared" si="0"/>
        <v>0</v>
      </c>
      <c r="F99" s="580"/>
      <c r="G99" s="580"/>
      <c r="H99" s="580"/>
      <c r="I99" s="580"/>
      <c r="J99" s="581"/>
    </row>
    <row r="100" spans="1:10" ht="25.5">
      <c r="A100" s="323" t="s">
        <v>5619</v>
      </c>
      <c r="B100" s="333" t="s">
        <v>484</v>
      </c>
      <c r="C100" s="332" t="s">
        <v>679</v>
      </c>
      <c r="D100" s="324" t="s">
        <v>679</v>
      </c>
      <c r="E100" s="324">
        <f t="shared" si="0"/>
        <v>0</v>
      </c>
      <c r="F100" s="580"/>
      <c r="G100" s="580"/>
      <c r="H100" s="580"/>
      <c r="I100" s="580"/>
      <c r="J100" s="581"/>
    </row>
    <row r="101" spans="1:10">
      <c r="A101" s="326" t="s">
        <v>5604</v>
      </c>
      <c r="B101" s="333" t="s">
        <v>484</v>
      </c>
      <c r="C101" s="332" t="s">
        <v>679</v>
      </c>
      <c r="D101" s="324" t="s">
        <v>679</v>
      </c>
      <c r="E101" s="332">
        <f t="shared" si="0"/>
        <v>0</v>
      </c>
      <c r="F101" s="580"/>
      <c r="G101" s="580"/>
      <c r="H101" s="580"/>
      <c r="I101" s="580"/>
      <c r="J101" s="581"/>
    </row>
    <row r="102" spans="1:10" ht="25.5">
      <c r="A102" s="323" t="s">
        <v>5605</v>
      </c>
      <c r="B102" s="333" t="s">
        <v>484</v>
      </c>
      <c r="C102" s="332" t="s">
        <v>679</v>
      </c>
      <c r="D102" s="324" t="s">
        <v>679</v>
      </c>
      <c r="E102" s="324">
        <f t="shared" si="0"/>
        <v>0</v>
      </c>
      <c r="F102" s="580"/>
      <c r="G102" s="580"/>
      <c r="H102" s="580"/>
      <c r="I102" s="580"/>
      <c r="J102" s="581"/>
    </row>
    <row r="103" spans="1:10" ht="15.75">
      <c r="A103" s="585" t="s">
        <v>5641</v>
      </c>
      <c r="B103" s="586"/>
      <c r="C103" s="587" t="str">
        <f>IFERROR(SUM(E95:E102)/COUNTIF(C95:C102,"Yes"),"")</f>
        <v/>
      </c>
      <c r="D103" s="588"/>
      <c r="E103" s="589" t="s">
        <v>5642</v>
      </c>
      <c r="F103" s="589"/>
      <c r="G103" s="589"/>
      <c r="H103" s="589"/>
      <c r="I103" s="589"/>
      <c r="J103" s="590"/>
    </row>
    <row r="104" spans="1:10">
      <c r="A104" s="331"/>
      <c r="B104" s="316"/>
      <c r="C104" s="316"/>
      <c r="D104" s="316"/>
      <c r="E104" s="316"/>
      <c r="F104" s="316"/>
      <c r="G104" s="316"/>
      <c r="H104" s="227"/>
      <c r="I104" s="227"/>
      <c r="J104" s="329"/>
    </row>
    <row r="105" spans="1:10">
      <c r="A105" s="574" t="s">
        <v>5670</v>
      </c>
      <c r="B105" s="582"/>
      <c r="C105" s="582"/>
      <c r="D105" s="575"/>
      <c r="E105" s="582"/>
      <c r="F105" s="582"/>
      <c r="G105" s="575"/>
      <c r="H105" s="575"/>
      <c r="I105" s="575"/>
      <c r="J105" s="576"/>
    </row>
    <row r="106" spans="1:10">
      <c r="A106" s="321" t="s">
        <v>5643</v>
      </c>
      <c r="B106" s="322" t="s">
        <v>77</v>
      </c>
      <c r="C106" s="322" t="s">
        <v>5620</v>
      </c>
      <c r="D106" s="322" t="s">
        <v>5621</v>
      </c>
      <c r="E106" s="322" t="s">
        <v>5622</v>
      </c>
      <c r="F106" s="322" t="s">
        <v>5644</v>
      </c>
      <c r="G106" s="578" t="s">
        <v>5645</v>
      </c>
      <c r="H106" s="578"/>
      <c r="I106" s="578"/>
      <c r="J106" s="579"/>
    </row>
    <row r="107" spans="1:10" ht="25.5">
      <c r="A107" s="326" t="s">
        <v>5623</v>
      </c>
      <c r="B107" s="332" t="s">
        <v>484</v>
      </c>
      <c r="C107" s="332" t="s">
        <v>1096</v>
      </c>
      <c r="D107" s="332" t="s">
        <v>1096</v>
      </c>
      <c r="E107" s="332" t="s">
        <v>1096</v>
      </c>
      <c r="F107" s="332" t="s">
        <v>348</v>
      </c>
      <c r="G107" s="583"/>
      <c r="H107" s="583"/>
      <c r="I107" s="583"/>
      <c r="J107" s="584"/>
    </row>
    <row r="108" spans="1:10">
      <c r="A108" s="323" t="s">
        <v>5624</v>
      </c>
      <c r="B108" s="332" t="s">
        <v>484</v>
      </c>
      <c r="C108" s="332" t="s">
        <v>1096</v>
      </c>
      <c r="D108" s="332" t="s">
        <v>1096</v>
      </c>
      <c r="E108" s="332" t="s">
        <v>1096</v>
      </c>
      <c r="F108" s="332" t="s">
        <v>348</v>
      </c>
      <c r="G108" s="583"/>
      <c r="H108" s="583"/>
      <c r="I108" s="583"/>
      <c r="J108" s="584"/>
    </row>
    <row r="109" spans="1:10">
      <c r="A109" s="326" t="s">
        <v>5646</v>
      </c>
      <c r="B109" s="332" t="s">
        <v>484</v>
      </c>
      <c r="C109" s="332" t="s">
        <v>1096</v>
      </c>
      <c r="D109" s="332" t="s">
        <v>1096</v>
      </c>
      <c r="E109" s="332" t="s">
        <v>1096</v>
      </c>
      <c r="F109" s="332" t="s">
        <v>348</v>
      </c>
      <c r="G109" s="583"/>
      <c r="H109" s="583"/>
      <c r="I109" s="583"/>
      <c r="J109" s="584"/>
    </row>
    <row r="110" spans="1:10">
      <c r="A110" s="323" t="s">
        <v>5625</v>
      </c>
      <c r="B110" s="332" t="s">
        <v>484</v>
      </c>
      <c r="C110" s="332" t="s">
        <v>1096</v>
      </c>
      <c r="D110" s="332" t="s">
        <v>1096</v>
      </c>
      <c r="E110" s="332" t="s">
        <v>1096</v>
      </c>
      <c r="F110" s="332" t="s">
        <v>348</v>
      </c>
      <c r="G110" s="583"/>
      <c r="H110" s="583"/>
      <c r="I110" s="583"/>
      <c r="J110" s="584"/>
    </row>
    <row r="111" spans="1:10" ht="25.5">
      <c r="A111" s="326" t="s">
        <v>5626</v>
      </c>
      <c r="B111" s="332" t="s">
        <v>484</v>
      </c>
      <c r="C111" s="332" t="s">
        <v>1096</v>
      </c>
      <c r="D111" s="332" t="s">
        <v>1096</v>
      </c>
      <c r="E111" s="332" t="s">
        <v>1096</v>
      </c>
      <c r="F111" s="332" t="s">
        <v>348</v>
      </c>
      <c r="G111" s="583"/>
      <c r="H111" s="583"/>
      <c r="I111" s="583"/>
      <c r="J111" s="584"/>
    </row>
    <row r="112" spans="1:10" ht="15.75">
      <c r="A112" s="585" t="s">
        <v>5677</v>
      </c>
      <c r="B112" s="586"/>
      <c r="C112" s="587">
        <f>IFERROR(COUNTIF(E107:E111,"Yes")/COUNTA(A107:A111),"")</f>
        <v>0</v>
      </c>
      <c r="D112" s="588"/>
      <c r="E112" s="589" t="s">
        <v>5648</v>
      </c>
      <c r="F112" s="589"/>
      <c r="G112" s="589"/>
      <c r="H112" s="589"/>
      <c r="I112" s="589"/>
      <c r="J112" s="590"/>
    </row>
    <row r="113" spans="1:10">
      <c r="A113" s="331"/>
      <c r="B113" s="316"/>
      <c r="C113" s="316"/>
      <c r="D113" s="316"/>
      <c r="E113" s="316"/>
      <c r="F113" s="316"/>
      <c r="G113" s="599"/>
      <c r="H113" s="599"/>
      <c r="I113" s="599"/>
      <c r="J113" s="600"/>
    </row>
    <row r="114" spans="1:10">
      <c r="A114" s="574" t="s">
        <v>5671</v>
      </c>
      <c r="B114" s="582"/>
      <c r="C114" s="582"/>
      <c r="D114" s="575"/>
      <c r="E114" s="582"/>
      <c r="F114" s="582"/>
      <c r="G114" s="575"/>
      <c r="H114" s="575"/>
      <c r="I114" s="575"/>
      <c r="J114" s="576"/>
    </row>
    <row r="115" spans="1:10">
      <c r="A115" s="322" t="s">
        <v>5606</v>
      </c>
      <c r="B115" s="322" t="s">
        <v>77</v>
      </c>
      <c r="C115" s="322" t="s">
        <v>5627</v>
      </c>
      <c r="D115" s="322" t="s">
        <v>5628</v>
      </c>
      <c r="E115" s="322" t="s">
        <v>5629</v>
      </c>
      <c r="F115" s="322" t="s">
        <v>5630</v>
      </c>
      <c r="G115" s="578" t="s">
        <v>5678</v>
      </c>
      <c r="H115" s="578"/>
      <c r="I115" s="578"/>
      <c r="J115" s="578"/>
    </row>
    <row r="116" spans="1:10">
      <c r="A116" s="328" t="s">
        <v>153</v>
      </c>
      <c r="B116" s="324" t="s">
        <v>484</v>
      </c>
      <c r="C116" s="324"/>
      <c r="D116" s="324"/>
      <c r="E116" s="324"/>
      <c r="F116" s="325" t="str">
        <f>IFERROR(D116/C116,"")</f>
        <v/>
      </c>
      <c r="G116" s="572"/>
      <c r="H116" s="572"/>
      <c r="I116" s="572"/>
      <c r="J116" s="572"/>
    </row>
    <row r="117" spans="1:10">
      <c r="A117" s="335" t="s">
        <v>155</v>
      </c>
      <c r="B117" s="332" t="s">
        <v>484</v>
      </c>
      <c r="C117" s="332"/>
      <c r="D117" s="332"/>
      <c r="E117" s="332"/>
      <c r="F117" s="327" t="str">
        <f>IFERROR(D117/C117,"")</f>
        <v/>
      </c>
      <c r="G117" s="572"/>
      <c r="H117" s="572"/>
      <c r="I117" s="572"/>
      <c r="J117" s="572"/>
    </row>
    <row r="118" spans="1:10">
      <c r="A118" s="328" t="s">
        <v>4821</v>
      </c>
      <c r="B118" s="324" t="s">
        <v>484</v>
      </c>
      <c r="C118" s="324"/>
      <c r="D118" s="324"/>
      <c r="E118" s="324"/>
      <c r="F118" s="325" t="str">
        <f>IFERROR(D118/C118,"")</f>
        <v/>
      </c>
      <c r="G118" s="572"/>
      <c r="H118" s="572"/>
      <c r="I118" s="572"/>
      <c r="J118" s="572"/>
    </row>
    <row r="119" spans="1:10">
      <c r="A119" s="335" t="s">
        <v>957</v>
      </c>
      <c r="B119" s="332" t="s">
        <v>484</v>
      </c>
      <c r="C119" s="332"/>
      <c r="D119" s="332"/>
      <c r="E119" s="332"/>
      <c r="F119" s="327" t="str">
        <f>IFERROR(D119/C119,"")</f>
        <v/>
      </c>
      <c r="G119" s="572"/>
      <c r="H119" s="572"/>
      <c r="I119" s="572"/>
      <c r="J119" s="572"/>
    </row>
    <row r="120" spans="1:10">
      <c r="A120" s="597" t="s">
        <v>5649</v>
      </c>
      <c r="B120" s="597"/>
      <c r="C120" s="597"/>
      <c r="D120" s="597"/>
      <c r="E120" s="589" t="s">
        <v>5650</v>
      </c>
      <c r="F120" s="589"/>
      <c r="G120" s="589"/>
      <c r="H120" s="589"/>
      <c r="I120" s="589"/>
      <c r="J120" s="589"/>
    </row>
    <row r="121" spans="1:10">
      <c r="A121" s="597"/>
      <c r="B121" s="597"/>
      <c r="C121" s="597"/>
      <c r="D121" s="597"/>
      <c r="E121" s="589"/>
      <c r="F121" s="589"/>
      <c r="G121" s="589"/>
      <c r="H121" s="589"/>
      <c r="I121" s="589"/>
      <c r="J121" s="589"/>
    </row>
    <row r="122" spans="1:10">
      <c r="A122" s="575" t="s">
        <v>5672</v>
      </c>
      <c r="B122" s="575"/>
      <c r="C122" s="575"/>
      <c r="D122" s="575"/>
      <c r="E122" s="575"/>
      <c r="F122" s="575"/>
      <c r="G122" s="575"/>
      <c r="H122" s="575"/>
      <c r="I122" s="575"/>
      <c r="J122" s="575"/>
    </row>
    <row r="123" spans="1:10">
      <c r="A123" s="322" t="s">
        <v>4946</v>
      </c>
      <c r="B123" s="322" t="s">
        <v>77</v>
      </c>
      <c r="C123" s="322" t="s">
        <v>5638</v>
      </c>
      <c r="D123" s="322" t="s">
        <v>482</v>
      </c>
      <c r="E123" s="322" t="s">
        <v>572</v>
      </c>
      <c r="F123" s="322" t="s">
        <v>944</v>
      </c>
      <c r="G123" s="578" t="s">
        <v>5640</v>
      </c>
      <c r="H123" s="578"/>
      <c r="I123" s="578"/>
      <c r="J123" s="578"/>
    </row>
    <row r="124" spans="1:10" ht="25.5">
      <c r="A124" s="328" t="s">
        <v>5607</v>
      </c>
      <c r="B124" s="324" t="s">
        <v>484</v>
      </c>
      <c r="C124" s="324" t="s">
        <v>392</v>
      </c>
      <c r="D124" s="324" t="s">
        <v>1096</v>
      </c>
      <c r="E124" s="324">
        <f t="shared" ref="E124:E129" si="1">IF(D124="Yes",1,0)</f>
        <v>0</v>
      </c>
      <c r="F124" s="324"/>
      <c r="G124" s="572"/>
      <c r="H124" s="572"/>
      <c r="I124" s="572"/>
      <c r="J124" s="572"/>
    </row>
    <row r="125" spans="1:10">
      <c r="A125" s="335" t="s">
        <v>5608</v>
      </c>
      <c r="B125" s="324" t="s">
        <v>484</v>
      </c>
      <c r="C125" s="332" t="s">
        <v>392</v>
      </c>
      <c r="D125" s="324" t="s">
        <v>1096</v>
      </c>
      <c r="E125" s="332">
        <f t="shared" si="1"/>
        <v>0</v>
      </c>
      <c r="F125" s="332"/>
      <c r="G125" s="572"/>
      <c r="H125" s="572"/>
      <c r="I125" s="572"/>
      <c r="J125" s="572"/>
    </row>
    <row r="126" spans="1:10" ht="25.5">
      <c r="A126" s="328" t="s">
        <v>5609</v>
      </c>
      <c r="B126" s="324" t="s">
        <v>484</v>
      </c>
      <c r="C126" s="324" t="s">
        <v>392</v>
      </c>
      <c r="D126" s="324" t="s">
        <v>1096</v>
      </c>
      <c r="E126" s="324">
        <f t="shared" si="1"/>
        <v>0</v>
      </c>
      <c r="F126" s="324"/>
      <c r="G126" s="572"/>
      <c r="H126" s="572"/>
      <c r="I126" s="572"/>
      <c r="J126" s="572"/>
    </row>
    <row r="127" spans="1:10">
      <c r="A127" s="335" t="s">
        <v>5631</v>
      </c>
      <c r="B127" s="324" t="s">
        <v>484</v>
      </c>
      <c r="C127" s="332" t="s">
        <v>392</v>
      </c>
      <c r="D127" s="324" t="s">
        <v>1096</v>
      </c>
      <c r="E127" s="332">
        <f t="shared" si="1"/>
        <v>0</v>
      </c>
      <c r="F127" s="332"/>
      <c r="G127" s="572"/>
      <c r="H127" s="572"/>
      <c r="I127" s="572"/>
      <c r="J127" s="572"/>
    </row>
    <row r="128" spans="1:10" ht="25.5">
      <c r="A128" s="328" t="s">
        <v>5632</v>
      </c>
      <c r="B128" s="324" t="s">
        <v>484</v>
      </c>
      <c r="C128" s="324" t="s">
        <v>392</v>
      </c>
      <c r="D128" s="324" t="s">
        <v>1096</v>
      </c>
      <c r="E128" s="324">
        <f t="shared" si="1"/>
        <v>0</v>
      </c>
      <c r="F128" s="324"/>
      <c r="G128" s="572"/>
      <c r="H128" s="572"/>
      <c r="I128" s="572"/>
      <c r="J128" s="572"/>
    </row>
    <row r="129" spans="1:10" ht="25.5">
      <c r="A129" s="335" t="s">
        <v>5633</v>
      </c>
      <c r="B129" s="324" t="s">
        <v>484</v>
      </c>
      <c r="C129" s="332" t="s">
        <v>392</v>
      </c>
      <c r="D129" s="332" t="s">
        <v>1096</v>
      </c>
      <c r="E129" s="332">
        <f t="shared" si="1"/>
        <v>0</v>
      </c>
      <c r="F129" s="332"/>
      <c r="G129" s="572"/>
      <c r="H129" s="572"/>
      <c r="I129" s="572"/>
      <c r="J129" s="572"/>
    </row>
    <row r="130" spans="1:10" ht="15.75">
      <c r="A130" s="930" t="s">
        <v>5651</v>
      </c>
      <c r="B130" s="586"/>
      <c r="C130" s="587">
        <f>IFERROR(SUM(E124:E129)/COUNTIF(C124:C129,"Yes"),"")</f>
        <v>0</v>
      </c>
      <c r="D130" s="588"/>
      <c r="E130" s="589" t="s">
        <v>5652</v>
      </c>
      <c r="F130" s="589"/>
      <c r="G130" s="589"/>
      <c r="H130" s="589"/>
      <c r="I130" s="589"/>
      <c r="J130" s="589"/>
    </row>
    <row r="131" spans="1:10">
      <c r="A131" s="192"/>
      <c r="B131" s="192"/>
      <c r="C131" s="192"/>
      <c r="D131" s="192"/>
      <c r="E131" s="192"/>
      <c r="F131" s="192"/>
      <c r="G131" s="192"/>
      <c r="H131" s="192"/>
      <c r="I131" s="192"/>
      <c r="J131" s="192"/>
    </row>
    <row r="132" spans="1:10">
      <c r="A132" s="575" t="s">
        <v>5673</v>
      </c>
      <c r="B132" s="582"/>
      <c r="C132" s="582"/>
      <c r="D132" s="317"/>
      <c r="E132" s="317"/>
      <c r="F132" s="317"/>
      <c r="G132" s="317"/>
      <c r="H132" s="317"/>
      <c r="I132" s="317"/>
      <c r="J132" s="317"/>
    </row>
    <row r="133" spans="1:10" ht="38.25">
      <c r="A133" s="318" t="s">
        <v>905</v>
      </c>
      <c r="B133" s="318" t="s">
        <v>830</v>
      </c>
      <c r="C133" s="318"/>
      <c r="D133" s="318"/>
      <c r="E133" s="318"/>
      <c r="F133" s="318"/>
      <c r="G133" s="318"/>
      <c r="H133" s="318"/>
      <c r="I133" s="318"/>
      <c r="J133" s="318"/>
    </row>
    <row r="134" spans="1:10">
      <c r="A134" s="315" t="s">
        <v>1086</v>
      </c>
      <c r="B134" s="594" t="s">
        <v>3292</v>
      </c>
      <c r="C134" s="582"/>
      <c r="D134" s="582"/>
      <c r="E134" s="582"/>
      <c r="F134" s="582"/>
      <c r="G134" s="582"/>
      <c r="H134" s="582"/>
      <c r="I134" s="582"/>
      <c r="J134" s="582"/>
    </row>
    <row r="135" spans="1:10" ht="25.5">
      <c r="A135" s="315" t="s">
        <v>2090</v>
      </c>
      <c r="B135" s="594" t="s">
        <v>3293</v>
      </c>
      <c r="C135" s="582"/>
      <c r="D135" s="582"/>
      <c r="E135" s="582"/>
      <c r="F135" s="582"/>
      <c r="G135" s="582"/>
      <c r="H135" s="582"/>
      <c r="I135" s="582"/>
      <c r="J135" s="582"/>
    </row>
    <row r="136" spans="1:10">
      <c r="A136" s="315" t="s">
        <v>1089</v>
      </c>
      <c r="B136" s="594" t="s">
        <v>3294</v>
      </c>
      <c r="C136" s="582"/>
      <c r="D136" s="582"/>
      <c r="E136" s="582"/>
      <c r="F136" s="582"/>
      <c r="G136" s="582"/>
      <c r="H136" s="582"/>
      <c r="I136" s="582"/>
      <c r="J136" s="582"/>
    </row>
    <row r="137" spans="1:10">
      <c r="A137" s="315" t="s">
        <v>1090</v>
      </c>
      <c r="B137" s="594" t="s">
        <v>3295</v>
      </c>
      <c r="C137" s="582"/>
      <c r="D137" s="582"/>
      <c r="E137" s="582"/>
      <c r="F137" s="582"/>
      <c r="G137" s="582"/>
      <c r="H137" s="582"/>
      <c r="I137" s="582"/>
      <c r="J137" s="582"/>
    </row>
    <row r="138" spans="1:10">
      <c r="A138" s="315" t="s">
        <v>1088</v>
      </c>
      <c r="B138" s="594" t="s">
        <v>3296</v>
      </c>
      <c r="C138" s="582"/>
      <c r="D138" s="582"/>
      <c r="E138" s="582"/>
      <c r="F138" s="582"/>
      <c r="G138" s="582"/>
      <c r="H138" s="582"/>
      <c r="I138" s="582"/>
      <c r="J138" s="582"/>
    </row>
    <row r="139" spans="1:10" ht="25.5">
      <c r="A139" s="315" t="s">
        <v>3297</v>
      </c>
      <c r="B139" s="594" t="s">
        <v>3298</v>
      </c>
      <c r="C139" s="582"/>
      <c r="D139" s="582"/>
      <c r="E139" s="582"/>
      <c r="F139" s="582"/>
      <c r="G139" s="582"/>
      <c r="H139" s="582"/>
      <c r="I139" s="582"/>
      <c r="J139" s="582"/>
    </row>
    <row r="140" spans="1:10">
      <c r="A140" s="315" t="s">
        <v>1563</v>
      </c>
      <c r="B140" s="594" t="s">
        <v>1776</v>
      </c>
      <c r="C140" s="582"/>
      <c r="D140" s="582"/>
      <c r="E140" s="582"/>
      <c r="F140" s="582"/>
      <c r="G140" s="582"/>
      <c r="H140" s="582"/>
      <c r="I140" s="582"/>
      <c r="J140" s="582"/>
    </row>
    <row r="141" spans="1:10">
      <c r="A141" s="227"/>
      <c r="B141" s="227"/>
      <c r="C141" s="227"/>
      <c r="D141" s="227"/>
      <c r="E141" s="227"/>
      <c r="F141" s="227"/>
      <c r="G141" s="227"/>
      <c r="H141" s="227"/>
      <c r="I141" s="227"/>
      <c r="J141" s="227"/>
    </row>
    <row r="142" spans="1:10" ht="18">
      <c r="A142" s="598" t="s">
        <v>5562</v>
      </c>
      <c r="B142" s="598"/>
      <c r="C142" s="598"/>
      <c r="D142" s="598"/>
      <c r="E142" s="598"/>
      <c r="F142" s="598"/>
      <c r="G142" s="598"/>
      <c r="H142" s="598"/>
      <c r="I142" s="227"/>
      <c r="J142" s="227"/>
    </row>
    <row r="143" spans="1:10">
      <c r="A143" s="272" t="s">
        <v>2</v>
      </c>
      <c r="B143" s="591" t="s">
        <v>5563</v>
      </c>
      <c r="C143" s="591"/>
      <c r="D143" s="591"/>
      <c r="E143" s="591"/>
      <c r="F143" s="591"/>
      <c r="G143" s="591"/>
      <c r="H143" s="591"/>
      <c r="I143" s="227"/>
      <c r="J143" s="227"/>
    </row>
    <row r="144" spans="1:10">
      <c r="A144" s="272" t="s">
        <v>5564</v>
      </c>
      <c r="B144" s="591" t="s">
        <v>5565</v>
      </c>
      <c r="C144" s="591"/>
      <c r="D144" s="591"/>
      <c r="E144" s="591"/>
      <c r="F144" s="591"/>
      <c r="G144" s="591"/>
      <c r="H144" s="591"/>
      <c r="I144" s="227"/>
      <c r="J144" s="227"/>
    </row>
    <row r="145" spans="1:10">
      <c r="A145" s="192"/>
      <c r="B145" s="192"/>
      <c r="C145" s="192"/>
      <c r="D145" s="192"/>
      <c r="E145" s="192"/>
      <c r="F145" s="192"/>
      <c r="G145" s="192"/>
      <c r="H145" s="192"/>
      <c r="I145" s="227"/>
      <c r="J145" s="227"/>
    </row>
    <row r="146" spans="1:10">
      <c r="A146" s="319" t="s">
        <v>4946</v>
      </c>
      <c r="B146" s="319" t="s">
        <v>77</v>
      </c>
      <c r="C146" s="319" t="s">
        <v>5566</v>
      </c>
      <c r="D146" s="319" t="s">
        <v>263</v>
      </c>
      <c r="E146" s="319" t="s">
        <v>216</v>
      </c>
      <c r="F146" s="319" t="s">
        <v>5567</v>
      </c>
      <c r="G146" s="319" t="s">
        <v>5568</v>
      </c>
      <c r="H146" s="319" t="s">
        <v>5569</v>
      </c>
      <c r="I146" s="227"/>
      <c r="J146" s="227"/>
    </row>
    <row r="147" spans="1:10" ht="25.5">
      <c r="A147" s="273" t="s">
        <v>5570</v>
      </c>
      <c r="B147" s="274" t="s">
        <v>1096</v>
      </c>
      <c r="C147" s="273"/>
      <c r="D147" s="273"/>
      <c r="E147" s="273"/>
      <c r="F147" s="273"/>
      <c r="G147" s="275" t="str">
        <f t="shared" ref="G147:G154" si="2">IF(OR(B147="Yes",B147="N/A"),"🟢","🟡")</f>
        <v>🟡</v>
      </c>
      <c r="H147" s="273"/>
      <c r="I147" s="227"/>
      <c r="J147" s="227"/>
    </row>
    <row r="148" spans="1:10">
      <c r="A148" s="273" t="s">
        <v>5571</v>
      </c>
      <c r="B148" s="274" t="s">
        <v>1096</v>
      </c>
      <c r="C148" s="273"/>
      <c r="D148" s="273"/>
      <c r="E148" s="273"/>
      <c r="F148" s="273"/>
      <c r="G148" s="275" t="str">
        <f t="shared" si="2"/>
        <v>🟡</v>
      </c>
      <c r="H148" s="273"/>
      <c r="I148" s="227"/>
      <c r="J148" s="227"/>
    </row>
    <row r="149" spans="1:10">
      <c r="A149" s="273" t="s">
        <v>5572</v>
      </c>
      <c r="B149" s="274" t="s">
        <v>1096</v>
      </c>
      <c r="C149" s="273"/>
      <c r="D149" s="273"/>
      <c r="E149" s="273"/>
      <c r="F149" s="273"/>
      <c r="G149" s="275" t="str">
        <f t="shared" si="2"/>
        <v>🟡</v>
      </c>
      <c r="H149" s="273"/>
      <c r="I149" s="227"/>
      <c r="J149" s="227"/>
    </row>
    <row r="150" spans="1:10">
      <c r="A150" s="273" t="s">
        <v>5168</v>
      </c>
      <c r="B150" s="274" t="s">
        <v>1096</v>
      </c>
      <c r="C150" s="273"/>
      <c r="D150" s="273"/>
      <c r="E150" s="273"/>
      <c r="F150" s="273"/>
      <c r="G150" s="275" t="str">
        <f t="shared" si="2"/>
        <v>🟡</v>
      </c>
      <c r="H150" s="273"/>
      <c r="I150" s="227"/>
      <c r="J150" s="227"/>
    </row>
    <row r="151" spans="1:10">
      <c r="A151" s="273" t="s">
        <v>5573</v>
      </c>
      <c r="B151" s="274" t="s">
        <v>1096</v>
      </c>
      <c r="C151" s="273"/>
      <c r="D151" s="273"/>
      <c r="E151" s="273"/>
      <c r="F151" s="273"/>
      <c r="G151" s="275" t="str">
        <f t="shared" si="2"/>
        <v>🟡</v>
      </c>
      <c r="H151" s="273"/>
      <c r="I151" s="227"/>
      <c r="J151" s="227"/>
    </row>
    <row r="152" spans="1:10">
      <c r="A152" s="273" t="s">
        <v>5574</v>
      </c>
      <c r="B152" s="274" t="s">
        <v>1096</v>
      </c>
      <c r="C152" s="273"/>
      <c r="D152" s="273"/>
      <c r="E152" s="273"/>
      <c r="F152" s="273"/>
      <c r="G152" s="275" t="str">
        <f t="shared" si="2"/>
        <v>🟡</v>
      </c>
      <c r="H152" s="273"/>
      <c r="I152" s="227"/>
      <c r="J152" s="227"/>
    </row>
    <row r="153" spans="1:10">
      <c r="A153" s="273" t="s">
        <v>178</v>
      </c>
      <c r="B153" s="274" t="s">
        <v>1096</v>
      </c>
      <c r="C153" s="273"/>
      <c r="D153" s="273"/>
      <c r="E153" s="273"/>
      <c r="F153" s="273"/>
      <c r="G153" s="275" t="str">
        <f t="shared" si="2"/>
        <v>🟡</v>
      </c>
      <c r="H153" s="273"/>
      <c r="I153" s="227"/>
      <c r="J153" s="227"/>
    </row>
    <row r="154" spans="1:10" ht="25.5">
      <c r="A154" s="273" t="s">
        <v>5575</v>
      </c>
      <c r="B154" s="274" t="s">
        <v>1096</v>
      </c>
      <c r="C154" s="273"/>
      <c r="D154" s="273"/>
      <c r="E154" s="273"/>
      <c r="F154" s="273"/>
      <c r="G154" s="275" t="str">
        <f t="shared" si="2"/>
        <v>🟡</v>
      </c>
      <c r="H154" s="273"/>
      <c r="I154" s="227"/>
      <c r="J154" s="227"/>
    </row>
    <row r="155" spans="1:10">
      <c r="A155" s="320" t="s">
        <v>4946</v>
      </c>
      <c r="B155" s="320" t="s">
        <v>5583</v>
      </c>
      <c r="C155" s="192"/>
      <c r="D155" s="192"/>
      <c r="E155" s="320" t="s">
        <v>5584</v>
      </c>
      <c r="F155" s="192"/>
      <c r="G155" s="192"/>
      <c r="H155" s="192"/>
      <c r="I155" s="227"/>
      <c r="J155" s="227"/>
    </row>
    <row r="156" spans="1:10" ht="25.5">
      <c r="A156" s="287" t="s">
        <v>5570</v>
      </c>
      <c r="B156" s="577" t="s">
        <v>5585</v>
      </c>
      <c r="C156" s="577"/>
      <c r="D156" s="577"/>
      <c r="E156" s="577" t="s">
        <v>5586</v>
      </c>
      <c r="F156" s="577"/>
      <c r="G156" s="577"/>
      <c r="H156" s="192"/>
      <c r="I156" s="227"/>
      <c r="J156" s="227"/>
    </row>
    <row r="157" spans="1:10">
      <c r="A157" s="287" t="s">
        <v>5571</v>
      </c>
      <c r="B157" s="577" t="s">
        <v>5587</v>
      </c>
      <c r="C157" s="577"/>
      <c r="D157" s="577"/>
      <c r="E157" s="577" t="s">
        <v>5588</v>
      </c>
      <c r="F157" s="577"/>
      <c r="G157" s="577"/>
      <c r="H157" s="192"/>
      <c r="I157" s="227"/>
      <c r="J157" s="227"/>
    </row>
    <row r="158" spans="1:10">
      <c r="A158" s="287" t="s">
        <v>5572</v>
      </c>
      <c r="B158" s="577" t="s">
        <v>5589</v>
      </c>
      <c r="C158" s="577"/>
      <c r="D158" s="577"/>
      <c r="E158" s="577" t="s">
        <v>5590</v>
      </c>
      <c r="F158" s="577"/>
      <c r="G158" s="577"/>
      <c r="H158" s="192"/>
      <c r="I158" s="227"/>
      <c r="J158" s="227"/>
    </row>
    <row r="159" spans="1:10">
      <c r="A159" s="287" t="s">
        <v>5168</v>
      </c>
      <c r="B159" s="577" t="s">
        <v>5591</v>
      </c>
      <c r="C159" s="577"/>
      <c r="D159" s="577"/>
      <c r="E159" s="577" t="s">
        <v>5592</v>
      </c>
      <c r="F159" s="577"/>
      <c r="G159" s="577"/>
      <c r="H159" s="192"/>
      <c r="I159" s="227"/>
      <c r="J159" s="227"/>
    </row>
    <row r="160" spans="1:10">
      <c r="A160" s="287" t="s">
        <v>5573</v>
      </c>
      <c r="B160" s="577" t="s">
        <v>5593</v>
      </c>
      <c r="C160" s="577"/>
      <c r="D160" s="577"/>
      <c r="E160" s="577" t="s">
        <v>5594</v>
      </c>
      <c r="F160" s="577"/>
      <c r="G160" s="577"/>
      <c r="H160" s="192"/>
      <c r="I160" s="227"/>
      <c r="J160" s="227"/>
    </row>
    <row r="161" spans="1:10">
      <c r="A161" s="287" t="s">
        <v>5574</v>
      </c>
      <c r="B161" s="577" t="s">
        <v>5595</v>
      </c>
      <c r="C161" s="577"/>
      <c r="D161" s="577"/>
      <c r="E161" s="577" t="s">
        <v>5596</v>
      </c>
      <c r="F161" s="577"/>
      <c r="G161" s="577"/>
      <c r="H161" s="192"/>
      <c r="I161" s="227"/>
      <c r="J161" s="227"/>
    </row>
    <row r="162" spans="1:10">
      <c r="A162" s="287" t="s">
        <v>178</v>
      </c>
      <c r="B162" s="577" t="s">
        <v>5597</v>
      </c>
      <c r="C162" s="577"/>
      <c r="D162" s="577"/>
      <c r="E162" s="577" t="s">
        <v>5598</v>
      </c>
      <c r="F162" s="577"/>
      <c r="G162" s="577"/>
      <c r="H162" s="192"/>
      <c r="I162" s="227"/>
      <c r="J162" s="227"/>
    </row>
    <row r="163" spans="1:10" ht="25.5">
      <c r="A163" s="287" t="s">
        <v>5575</v>
      </c>
      <c r="B163" s="577" t="s">
        <v>5599</v>
      </c>
      <c r="C163" s="577"/>
      <c r="D163" s="577"/>
      <c r="E163" s="577" t="s">
        <v>5600</v>
      </c>
      <c r="F163" s="577"/>
      <c r="G163" s="577"/>
      <c r="H163" s="192"/>
      <c r="I163" s="227"/>
      <c r="J163" s="227"/>
    </row>
    <row r="164" spans="1:10">
      <c r="A164" s="272" t="s">
        <v>5576</v>
      </c>
      <c r="B164" s="276" t="str">
        <f>IF(COUNTIF(B147:B154,"No")=0,"🟢 PILOT COMPLETE / ACCEPTANCE READY","🟡 NOT COMPLETE — ACCEPTANCE GATES OPEN")</f>
        <v>🟡 NOT COMPLETE — ACCEPTANCE GATES OPEN</v>
      </c>
      <c r="C164" s="276"/>
      <c r="D164" s="276"/>
      <c r="E164" s="276"/>
      <c r="F164" s="276"/>
      <c r="G164" s="276"/>
      <c r="H164" s="276"/>
    </row>
    <row r="165" spans="1:10">
      <c r="A165" s="272" t="s">
        <v>5577</v>
      </c>
      <c r="B165" s="276">
        <f>COUNTIF(B147:B154,"No")</f>
        <v>8</v>
      </c>
      <c r="C165" s="276"/>
      <c r="D165" s="276"/>
      <c r="E165" s="276"/>
      <c r="F165" s="276"/>
      <c r="G165" s="276"/>
      <c r="H165" s="276"/>
    </row>
    <row r="166" spans="1:10">
      <c r="A166" s="272" t="s">
        <v>5578</v>
      </c>
      <c r="B166" s="276" t="str">
        <f>COUNTIF(B147:B154,"Yes")&amp;" / 8 Complete"</f>
        <v>0 / 8 Complete</v>
      </c>
      <c r="C166" s="276"/>
      <c r="D166" s="276"/>
      <c r="E166" s="276"/>
      <c r="F166" s="276"/>
      <c r="G166" s="276"/>
      <c r="H166" s="276"/>
    </row>
    <row r="167" spans="1:10" ht="90">
      <c r="A167" s="277" t="s">
        <v>5579</v>
      </c>
      <c r="B167" s="278" t="s">
        <v>5580</v>
      </c>
      <c r="C167" s="278"/>
      <c r="D167" s="278"/>
      <c r="E167" s="278"/>
      <c r="F167" s="278"/>
      <c r="G167" s="278"/>
      <c r="H167" s="278"/>
    </row>
    <row r="168" spans="1:10">
      <c r="A168" s="277"/>
      <c r="B168" s="278"/>
      <c r="C168" s="278"/>
      <c r="D168" s="278"/>
      <c r="E168" s="278"/>
      <c r="F168" s="278"/>
      <c r="G168" s="278"/>
      <c r="H168" s="278"/>
    </row>
    <row r="169" spans="1:10" ht="64.5">
      <c r="A169" s="277" t="s">
        <v>5581</v>
      </c>
      <c r="B169" s="278" t="s">
        <v>5582</v>
      </c>
      <c r="C169" s="278"/>
      <c r="D169" s="278"/>
      <c r="E169" s="278"/>
      <c r="F169" s="278"/>
      <c r="G169" s="278"/>
      <c r="H169" s="278"/>
    </row>
    <row r="170" spans="1:10">
      <c r="A170" s="575" t="s">
        <v>5694</v>
      </c>
      <c r="B170" s="575"/>
      <c r="C170" s="575"/>
      <c r="D170" s="575"/>
      <c r="E170" s="575"/>
      <c r="F170" s="575"/>
      <c r="G170" s="575"/>
      <c r="H170" s="575"/>
      <c r="I170" s="575"/>
      <c r="J170" s="575"/>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5" t="s">
        <v>5695</v>
      </c>
      <c r="B181" s="575"/>
      <c r="C181" s="575"/>
      <c r="D181" s="575"/>
      <c r="E181" s="575"/>
      <c r="F181" s="575"/>
      <c r="G181" s="575"/>
      <c r="H181" s="575"/>
      <c r="I181" s="575"/>
      <c r="J181" s="575"/>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5" t="s">
        <v>5696</v>
      </c>
      <c r="B191" s="575"/>
      <c r="C191" s="575"/>
      <c r="D191" s="575"/>
      <c r="E191" s="575"/>
      <c r="F191" s="575"/>
      <c r="G191" s="575"/>
      <c r="H191" s="575"/>
      <c r="I191" s="575"/>
      <c r="J191" s="575"/>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5" t="s">
        <v>5697</v>
      </c>
      <c r="B203" s="575"/>
      <c r="C203" s="575"/>
      <c r="D203" s="575"/>
      <c r="E203" s="575"/>
      <c r="F203" s="575"/>
      <c r="G203" s="575"/>
      <c r="H203" s="575"/>
      <c r="I203" s="575"/>
      <c r="J203" s="575"/>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599"/>
      <c r="H225" s="599"/>
      <c r="I225" s="599"/>
      <c r="J225" s="599"/>
    </row>
  </sheetData>
  <mergeCells count="114">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s>
  <conditionalFormatting sqref="B86:B90">
    <cfRule type="expression" dxfId="943" priority="21">
      <formula>B86="Complete"</formula>
    </cfRule>
    <cfRule type="expression" dxfId="942" priority="22">
      <formula>B86="In Progress"</formula>
    </cfRule>
    <cfRule type="expression" dxfId="941" priority="23">
      <formula>B86="At Risk"</formula>
    </cfRule>
    <cfRule type="expression" dxfId="940" priority="24">
      <formula>B86="Blocked"</formula>
    </cfRule>
    <cfRule type="expression" dxfId="939" priority="25">
      <formula>B86="Not Started"</formula>
    </cfRule>
  </conditionalFormatting>
  <conditionalFormatting sqref="B95:B102">
    <cfRule type="expression" dxfId="938" priority="1">
      <formula>B95="Complete"</formula>
    </cfRule>
    <cfRule type="expression" dxfId="937" priority="2">
      <formula>B95="In Progress"</formula>
    </cfRule>
    <cfRule type="expression" dxfId="936" priority="3">
      <formula>B95="At Risk"</formula>
    </cfRule>
    <cfRule type="expression" dxfId="935" priority="4">
      <formula>B95="Blocked"</formula>
    </cfRule>
    <cfRule type="expression" dxfId="934" priority="5">
      <formula>B95="Not Started"</formula>
    </cfRule>
  </conditionalFormatting>
  <conditionalFormatting sqref="B107:B111">
    <cfRule type="expression" dxfId="933" priority="30">
      <formula>B107="Not Started"</formula>
    </cfRule>
    <cfRule type="expression" dxfId="932" priority="29">
      <formula>B107="Blocked"</formula>
    </cfRule>
    <cfRule type="expression" dxfId="931" priority="28">
      <formula>B107="At Risk"</formula>
    </cfRule>
    <cfRule type="expression" dxfId="930" priority="27">
      <formula>B107="In Progress"</formula>
    </cfRule>
    <cfRule type="expression" dxfId="929" priority="26">
      <formula>B107="Complete"</formula>
    </cfRule>
  </conditionalFormatting>
  <conditionalFormatting sqref="B116:B119">
    <cfRule type="expression" dxfId="928" priority="6">
      <formula>B116="Complete"</formula>
    </cfRule>
    <cfRule type="expression" dxfId="927" priority="7">
      <formula>B116="In Progress"</formula>
    </cfRule>
    <cfRule type="expression" dxfId="926" priority="8">
      <formula>B116="At Risk"</formula>
    </cfRule>
    <cfRule type="expression" dxfId="925" priority="9">
      <formula>B116="Blocked"</formula>
    </cfRule>
    <cfRule type="expression" dxfId="924" priority="10">
      <formula>B116="Not Started"</formula>
    </cfRule>
  </conditionalFormatting>
  <conditionalFormatting sqref="B124:B129">
    <cfRule type="expression" dxfId="923" priority="11">
      <formula>B124="Complete"</formula>
    </cfRule>
    <cfRule type="expression" dxfId="922" priority="12">
      <formula>B124="In Progress"</formula>
    </cfRule>
    <cfRule type="expression" dxfId="921" priority="13">
      <formula>B124="At Risk"</formula>
    </cfRule>
    <cfRule type="expression" dxfId="920" priority="14">
      <formula>B124="Blocked"</formula>
    </cfRule>
    <cfRule type="expression" dxfId="919" priority="15">
      <formula>B124="Not Started"</formula>
    </cfRule>
  </conditionalFormatting>
  <conditionalFormatting sqref="B147:B154">
    <cfRule type="expression" dxfId="918" priority="82">
      <formula>B147="Yes"</formula>
    </cfRule>
    <cfRule type="expression" dxfId="917" priority="83">
      <formula>B147="N/A"</formula>
    </cfRule>
    <cfRule type="expression" dxfId="916" priority="84">
      <formula>B147="No"</formula>
    </cfRule>
  </conditionalFormatting>
  <conditionalFormatting sqref="B164:H164">
    <cfRule type="expression" dxfId="915" priority="86">
      <formula>COUNTIF($B$6:$B$13,"No")&gt;0</formula>
    </cfRule>
    <cfRule type="expression" dxfId="914" priority="85">
      <formula>COUNTIF($B$6:$B$13,"No")=0</formula>
    </cfRule>
  </conditionalFormatting>
  <conditionalFormatting sqref="C91:D91">
    <cfRule type="dataBar" priority="37">
      <dataBar>
        <cfvo type="num" val="0"/>
        <cfvo type="num" val="1"/>
        <color rgb="FF5B9BD5"/>
      </dataBar>
    </cfRule>
  </conditionalFormatting>
  <conditionalFormatting sqref="C95:D102">
    <cfRule type="expression" dxfId="913" priority="32">
      <formula>C95="No"</formula>
    </cfRule>
    <cfRule type="expression" dxfId="912" priority="31">
      <formula>C95="Yes"</formula>
    </cfRule>
    <cfRule type="expression" dxfId="91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10" priority="17">
      <formula>C124="No"</formula>
    </cfRule>
    <cfRule type="expression" dxfId="909" priority="16">
      <formula>C124="Yes"</formula>
    </cfRule>
    <cfRule type="expression" dxfId="90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07" priority="87">
      <formula>E5="Pass"</formula>
    </cfRule>
    <cfRule type="expression" dxfId="906" priority="88">
      <formula>E5="Verify"</formula>
    </cfRule>
    <cfRule type="expression" dxfId="905" priority="89">
      <formula>E5="Fail"</formula>
    </cfRule>
    <cfRule type="expression" dxfId="904" priority="90">
      <formula>E5="Not Started"</formula>
    </cfRule>
  </conditionalFormatting>
  <conditionalFormatting sqref="F3">
    <cfRule type="expression" dxfId="903" priority="91">
      <formula>F3="Yes"</formula>
    </cfRule>
    <cfRule type="expression" dxfId="902" priority="92">
      <formula>F3="No"</formula>
    </cfRule>
  </conditionalFormatting>
  <conditionalFormatting sqref="F107:F111">
    <cfRule type="expression" dxfId="901" priority="35">
      <formula>F107="Fail"</formula>
    </cfRule>
    <cfRule type="expression" dxfId="900" priority="36">
      <formula>F107="Pending"</formula>
    </cfRule>
    <cfRule type="expression" dxfId="899" priority="34">
      <formula>F107="Pass"</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Lookup_Lists!$L$37:$L$39</xm:f>
          </x14:formula1>
          <xm:sqref>C107:E111 J2</xm:sqref>
        </x14:dataValidation>
        <x14:dataValidation type="list" allowBlank="1" showInputMessage="1" showErrorMessage="1" xr:uid="{ED1605A0-A3E1-4141-8A89-23D8B40CAC91}">
          <x14:formula1>
            <xm:f>Lookup_Lists!$A$36:$A$42</xm:f>
          </x14:formula1>
          <xm:sqref>B86:B90 B95:B102 B124:B129</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45.75" customHeight="1">
      <c r="A1" s="932" t="s">
        <v>2200</v>
      </c>
      <c r="B1" s="932"/>
      <c r="C1" s="932"/>
      <c r="D1" s="932"/>
      <c r="E1" s="932"/>
      <c r="F1" s="932"/>
      <c r="G1" s="932"/>
      <c r="H1" s="932"/>
      <c r="I1" s="932"/>
      <c r="J1" s="932"/>
    </row>
    <row r="2" spans="1:10" s="223" customFormat="1">
      <c r="A2" s="219" t="s">
        <v>142</v>
      </c>
      <c r="B2" s="220" t="s">
        <v>698</v>
      </c>
      <c r="C2" s="219" t="s">
        <v>902</v>
      </c>
      <c r="D2" s="220" t="s">
        <v>1094</v>
      </c>
      <c r="E2" s="219" t="s">
        <v>151</v>
      </c>
      <c r="F2" s="220" t="s">
        <v>1095</v>
      </c>
      <c r="G2" s="219" t="s">
        <v>174</v>
      </c>
      <c r="H2" s="221">
        <v>0.5</v>
      </c>
      <c r="I2" s="219" t="s">
        <v>154</v>
      </c>
      <c r="J2" s="222" t="s">
        <v>1096</v>
      </c>
    </row>
    <row r="3" spans="1:10" s="227" customFormat="1" ht="25.5">
      <c r="A3" s="219" t="s">
        <v>903</v>
      </c>
      <c r="B3" s="224">
        <v>46198.630355046298</v>
      </c>
      <c r="C3" s="225" t="s">
        <v>904</v>
      </c>
      <c r="D3" s="226" t="s">
        <v>721</v>
      </c>
      <c r="E3" s="219" t="s">
        <v>905</v>
      </c>
      <c r="F3" s="226" t="s">
        <v>2201</v>
      </c>
      <c r="G3" s="219" t="s">
        <v>907</v>
      </c>
      <c r="H3" s="226" t="s">
        <v>908</v>
      </c>
      <c r="I3" s="219" t="s">
        <v>551</v>
      </c>
      <c r="J3" s="226" t="s">
        <v>2202</v>
      </c>
    </row>
    <row r="4" spans="1:10" s="227" customFormat="1" ht="153">
      <c r="A4" s="219" t="s">
        <v>161</v>
      </c>
      <c r="B4" s="226">
        <v>0</v>
      </c>
      <c r="C4" s="219" t="s">
        <v>199</v>
      </c>
      <c r="D4" s="226">
        <v>0</v>
      </c>
      <c r="E4" s="219" t="s">
        <v>179</v>
      </c>
      <c r="F4" s="226">
        <v>0</v>
      </c>
      <c r="G4" s="219" t="s">
        <v>870</v>
      </c>
      <c r="H4" s="228" t="s">
        <v>2203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1.5" customHeight="1">
      <c r="A6" s="234" t="s">
        <v>916</v>
      </c>
      <c r="B6" s="221" t="s">
        <v>677</v>
      </c>
      <c r="C6" s="235" t="s">
        <v>869</v>
      </c>
      <c r="D6" s="604" t="s">
        <v>2204</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698</v>
      </c>
      <c r="B10" s="13" t="s">
        <v>699</v>
      </c>
      <c r="C10" s="13" t="s">
        <v>919</v>
      </c>
      <c r="D10" s="13" t="s">
        <v>2205</v>
      </c>
      <c r="E10" s="13" t="s">
        <v>356</v>
      </c>
      <c r="F10" s="13">
        <v>2</v>
      </c>
      <c r="G10" s="13">
        <v>1</v>
      </c>
      <c r="H10" s="13" t="s">
        <v>677</v>
      </c>
      <c r="I10" s="13" t="s">
        <v>2206</v>
      </c>
      <c r="J10" s="13" t="s">
        <v>2207</v>
      </c>
    </row>
    <row r="11" spans="1:10" ht="89.25">
      <c r="A11" s="13" t="s">
        <v>698</v>
      </c>
      <c r="B11" s="13" t="s">
        <v>2208</v>
      </c>
      <c r="C11" s="13" t="s">
        <v>933</v>
      </c>
      <c r="D11" s="13" t="s">
        <v>2209</v>
      </c>
      <c r="E11" s="13" t="s">
        <v>925</v>
      </c>
      <c r="F11" s="13">
        <v>1</v>
      </c>
      <c r="G11" s="13">
        <v>0</v>
      </c>
      <c r="H11" s="13" t="s">
        <v>677</v>
      </c>
      <c r="I11" s="13" t="s">
        <v>2210</v>
      </c>
      <c r="J11" s="13" t="s">
        <v>2211</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699</v>
      </c>
      <c r="B15" s="13" t="s">
        <v>677</v>
      </c>
      <c r="C15" s="13" t="s">
        <v>677</v>
      </c>
      <c r="D15" s="13" t="s">
        <v>677</v>
      </c>
      <c r="E15" s="13" t="s">
        <v>677</v>
      </c>
      <c r="F15" s="13" t="s">
        <v>677</v>
      </c>
      <c r="G15" s="13" t="s">
        <v>677</v>
      </c>
      <c r="H15" s="13" t="s">
        <v>677</v>
      </c>
      <c r="I15" s="13" t="s">
        <v>677</v>
      </c>
      <c r="J15" s="13" t="s">
        <v>2212</v>
      </c>
    </row>
    <row r="16" spans="1:10" ht="51">
      <c r="A16" s="13" t="s">
        <v>2208</v>
      </c>
      <c r="B16" s="13" t="s">
        <v>946</v>
      </c>
      <c r="C16" s="13" t="s">
        <v>946</v>
      </c>
      <c r="D16" s="13" t="s">
        <v>946</v>
      </c>
      <c r="E16" s="13" t="s">
        <v>677</v>
      </c>
      <c r="F16" s="13" t="s">
        <v>677</v>
      </c>
      <c r="G16" s="13" t="s">
        <v>677</v>
      </c>
      <c r="H16" s="13" t="s">
        <v>677</v>
      </c>
      <c r="I16" s="13" t="s">
        <v>677</v>
      </c>
      <c r="J16" s="13" t="s">
        <v>2213</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699</v>
      </c>
      <c r="B20" s="13" t="s">
        <v>677</v>
      </c>
      <c r="C20" s="13" t="s">
        <v>677</v>
      </c>
      <c r="D20" s="13" t="s">
        <v>677</v>
      </c>
      <c r="E20" s="13" t="s">
        <v>677</v>
      </c>
      <c r="F20" s="13" t="s">
        <v>677</v>
      </c>
      <c r="G20" s="13" t="s">
        <v>677</v>
      </c>
      <c r="H20" s="13" t="s">
        <v>677</v>
      </c>
      <c r="I20" s="13" t="s">
        <v>677</v>
      </c>
      <c r="J20" s="13" t="s">
        <v>2214</v>
      </c>
    </row>
    <row r="21" spans="1:10" ht="51">
      <c r="A21" s="13" t="s">
        <v>2208</v>
      </c>
      <c r="B21" s="13" t="s">
        <v>677</v>
      </c>
      <c r="C21" s="13" t="s">
        <v>679</v>
      </c>
      <c r="D21" s="13" t="s">
        <v>677</v>
      </c>
      <c r="E21" s="13" t="s">
        <v>677</v>
      </c>
      <c r="F21" s="13" t="s">
        <v>677</v>
      </c>
      <c r="G21" s="13" t="s">
        <v>677</v>
      </c>
      <c r="H21" s="13" t="s">
        <v>677</v>
      </c>
      <c r="I21" s="13" t="s">
        <v>677</v>
      </c>
      <c r="J21" s="13" t="s">
        <v>2215</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699</v>
      </c>
      <c r="B25" s="13" t="s">
        <v>972</v>
      </c>
      <c r="C25" s="13" t="s">
        <v>677</v>
      </c>
      <c r="D25" s="13" t="s">
        <v>677</v>
      </c>
      <c r="E25" s="13" t="s">
        <v>677</v>
      </c>
      <c r="F25" s="13" t="s">
        <v>677</v>
      </c>
      <c r="G25" s="13" t="s">
        <v>677</v>
      </c>
      <c r="H25" s="13" t="s">
        <v>677</v>
      </c>
      <c r="I25" s="13" t="s">
        <v>677</v>
      </c>
      <c r="J25" s="13" t="s">
        <v>2216</v>
      </c>
    </row>
    <row r="26" spans="1:10" ht="63.75">
      <c r="A26" s="13" t="s">
        <v>2208</v>
      </c>
      <c r="B26" s="13" t="s">
        <v>2217</v>
      </c>
      <c r="C26" s="13" t="s">
        <v>677</v>
      </c>
      <c r="D26" s="13" t="s">
        <v>677</v>
      </c>
      <c r="E26" s="13" t="s">
        <v>677</v>
      </c>
      <c r="F26" s="13" t="s">
        <v>677</v>
      </c>
      <c r="G26" s="13" t="s">
        <v>677</v>
      </c>
      <c r="H26" s="13" t="s">
        <v>677</v>
      </c>
      <c r="I26" s="13" t="s">
        <v>677</v>
      </c>
      <c r="J26" s="13" t="s">
        <v>2218</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76.5">
      <c r="A30" s="13" t="s">
        <v>699</v>
      </c>
      <c r="B30" s="13" t="s">
        <v>677</v>
      </c>
      <c r="C30" s="13" t="s">
        <v>2219</v>
      </c>
      <c r="D30" s="13" t="s">
        <v>677</v>
      </c>
      <c r="E30" s="13" t="s">
        <v>677</v>
      </c>
      <c r="F30" s="13" t="s">
        <v>2220</v>
      </c>
      <c r="G30" s="13" t="s">
        <v>677</v>
      </c>
      <c r="H30" s="13" t="s">
        <v>677</v>
      </c>
      <c r="I30" s="13" t="s">
        <v>677</v>
      </c>
      <c r="J30" s="13" t="s">
        <v>2221</v>
      </c>
    </row>
    <row r="31" spans="1:10" ht="51">
      <c r="A31" s="13" t="s">
        <v>2208</v>
      </c>
      <c r="B31" s="13" t="s">
        <v>988</v>
      </c>
      <c r="C31" s="13" t="s">
        <v>988</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6.5">
      <c r="A35" s="13" t="s">
        <v>699</v>
      </c>
      <c r="B35" s="13" t="s">
        <v>677</v>
      </c>
      <c r="C35" s="13" t="s">
        <v>677</v>
      </c>
      <c r="D35" s="13" t="s">
        <v>677</v>
      </c>
      <c r="E35" s="13" t="s">
        <v>677</v>
      </c>
      <c r="F35" s="13" t="s">
        <v>677</v>
      </c>
      <c r="G35" s="13" t="s">
        <v>677</v>
      </c>
      <c r="H35" s="13" t="s">
        <v>677</v>
      </c>
      <c r="I35" s="13" t="s">
        <v>677</v>
      </c>
      <c r="J35" s="13" t="s">
        <v>2223</v>
      </c>
    </row>
    <row r="36" spans="1:10" ht="76.5">
      <c r="A36" s="13" t="s">
        <v>2208</v>
      </c>
      <c r="B36" s="13" t="s">
        <v>988</v>
      </c>
      <c r="C36" s="13" t="s">
        <v>988</v>
      </c>
      <c r="D36" s="13" t="s">
        <v>988</v>
      </c>
      <c r="E36" s="13" t="s">
        <v>677</v>
      </c>
      <c r="F36" s="13" t="s">
        <v>677</v>
      </c>
      <c r="G36" s="13" t="s">
        <v>677</v>
      </c>
      <c r="H36" s="13" t="s">
        <v>677</v>
      </c>
      <c r="I36" s="13" t="s">
        <v>677</v>
      </c>
      <c r="J36" s="13" t="s">
        <v>2224</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89.25">
      <c r="A40" s="13" t="s">
        <v>699</v>
      </c>
      <c r="B40" s="13" t="s">
        <v>677</v>
      </c>
      <c r="C40" s="13" t="s">
        <v>677</v>
      </c>
      <c r="D40" s="13" t="s">
        <v>677</v>
      </c>
      <c r="E40" s="13" t="s">
        <v>677</v>
      </c>
      <c r="F40" s="13" t="s">
        <v>677</v>
      </c>
      <c r="G40" s="13" t="s">
        <v>677</v>
      </c>
      <c r="H40" s="13" t="s">
        <v>677</v>
      </c>
      <c r="I40" s="13" t="s">
        <v>677</v>
      </c>
      <c r="J40" s="13" t="s">
        <v>2225</v>
      </c>
    </row>
    <row r="41" spans="1:10" ht="63.75">
      <c r="A41" s="13" t="s">
        <v>2208</v>
      </c>
      <c r="B41" s="13" t="s">
        <v>677</v>
      </c>
      <c r="C41" s="13" t="s">
        <v>677</v>
      </c>
      <c r="D41" s="13" t="s">
        <v>677</v>
      </c>
      <c r="E41" s="13" t="s">
        <v>677</v>
      </c>
      <c r="F41" s="13" t="s">
        <v>677</v>
      </c>
      <c r="G41" s="13" t="s">
        <v>677</v>
      </c>
      <c r="H41" s="13" t="s">
        <v>677</v>
      </c>
      <c r="I41" s="13" t="s">
        <v>677</v>
      </c>
      <c r="J41" s="13" t="s">
        <v>2226</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2227</v>
      </c>
      <c r="B45" s="13" t="s">
        <v>575</v>
      </c>
      <c r="C45" s="13" t="s">
        <v>2228</v>
      </c>
      <c r="D45" s="13" t="s">
        <v>391</v>
      </c>
      <c r="E45" s="13" t="s">
        <v>488</v>
      </c>
      <c r="F45" s="13">
        <v>6</v>
      </c>
      <c r="G45" s="13" t="s">
        <v>1381</v>
      </c>
      <c r="H45" s="13" t="s">
        <v>1023</v>
      </c>
      <c r="I45" s="13" t="s">
        <v>502</v>
      </c>
      <c r="J45" s="13" t="s">
        <v>2229</v>
      </c>
    </row>
    <row r="46" spans="1:10" ht="63.75">
      <c r="A46" s="13" t="s">
        <v>2230</v>
      </c>
      <c r="B46" s="13" t="s">
        <v>699</v>
      </c>
      <c r="C46" s="13" t="s">
        <v>2231</v>
      </c>
      <c r="D46" s="13" t="s">
        <v>391</v>
      </c>
      <c r="E46" s="13" t="s">
        <v>488</v>
      </c>
      <c r="F46" s="13">
        <v>6</v>
      </c>
      <c r="G46" s="13" t="s">
        <v>2232</v>
      </c>
      <c r="H46" s="13" t="s">
        <v>1858</v>
      </c>
      <c r="I46" s="13" t="s">
        <v>502</v>
      </c>
      <c r="J46" s="13" t="s">
        <v>2233</v>
      </c>
    </row>
    <row r="47" spans="1:10" ht="76.5">
      <c r="A47" s="13" t="s">
        <v>2234</v>
      </c>
      <c r="B47" s="13" t="s">
        <v>2208</v>
      </c>
      <c r="C47" s="13" t="s">
        <v>2235</v>
      </c>
      <c r="D47" s="13" t="s">
        <v>492</v>
      </c>
      <c r="E47" s="13" t="s">
        <v>488</v>
      </c>
      <c r="F47" s="13">
        <v>8</v>
      </c>
      <c r="G47" s="13" t="s">
        <v>2236</v>
      </c>
      <c r="H47" s="13" t="s">
        <v>584</v>
      </c>
      <c r="I47" s="13" t="s">
        <v>502</v>
      </c>
      <c r="J47" s="13" t="s">
        <v>2237</v>
      </c>
    </row>
    <row r="48" spans="1:10" ht="76.5">
      <c r="A48" s="13" t="s">
        <v>2238</v>
      </c>
      <c r="B48" s="13" t="s">
        <v>699</v>
      </c>
      <c r="C48" s="13" t="s">
        <v>593</v>
      </c>
      <c r="D48" s="13" t="s">
        <v>492</v>
      </c>
      <c r="E48" s="13" t="s">
        <v>488</v>
      </c>
      <c r="F48" s="13">
        <v>8</v>
      </c>
      <c r="G48" s="13" t="s">
        <v>2239</v>
      </c>
      <c r="H48" s="13" t="s">
        <v>592</v>
      </c>
      <c r="I48" s="13" t="s">
        <v>502</v>
      </c>
      <c r="J48" s="13" t="s">
        <v>1028</v>
      </c>
    </row>
    <row r="49" spans="1:10" ht="89.25">
      <c r="A49" s="13" t="s">
        <v>2240</v>
      </c>
      <c r="B49" s="13" t="s">
        <v>699</v>
      </c>
      <c r="C49" s="13" t="s">
        <v>2241</v>
      </c>
      <c r="D49" s="13" t="s">
        <v>391</v>
      </c>
      <c r="E49" s="13" t="s">
        <v>488</v>
      </c>
      <c r="F49" s="13">
        <v>6</v>
      </c>
      <c r="G49" s="13" t="s">
        <v>2242</v>
      </c>
      <c r="H49" s="13" t="s">
        <v>1032</v>
      </c>
      <c r="I49" s="13" t="s">
        <v>502</v>
      </c>
      <c r="J49" s="13" t="s">
        <v>2243</v>
      </c>
    </row>
    <row r="50" spans="1:10" ht="102">
      <c r="A50" s="13" t="s">
        <v>2244</v>
      </c>
      <c r="B50" s="13" t="s">
        <v>699</v>
      </c>
      <c r="C50" s="13" t="s">
        <v>2245</v>
      </c>
      <c r="D50" s="13" t="s">
        <v>391</v>
      </c>
      <c r="E50" s="13" t="s">
        <v>488</v>
      </c>
      <c r="F50" s="13">
        <v>6</v>
      </c>
      <c r="G50" s="13" t="s">
        <v>2246</v>
      </c>
      <c r="H50" s="13" t="s">
        <v>1403</v>
      </c>
      <c r="I50" s="13" t="s">
        <v>502</v>
      </c>
      <c r="J50" s="13" t="s">
        <v>2247</v>
      </c>
    </row>
    <row r="51" spans="1:10" ht="76.5">
      <c r="A51" s="13" t="s">
        <v>2248</v>
      </c>
      <c r="B51" s="13" t="s">
        <v>575</v>
      </c>
      <c r="C51" s="13" t="s">
        <v>2249</v>
      </c>
      <c r="D51" s="13" t="s">
        <v>492</v>
      </c>
      <c r="E51" s="13" t="s">
        <v>488</v>
      </c>
      <c r="F51" s="13">
        <v>8</v>
      </c>
      <c r="G51" s="13" t="s">
        <v>1039</v>
      </c>
      <c r="H51" s="13" t="s">
        <v>584</v>
      </c>
      <c r="I51" s="13" t="s">
        <v>502</v>
      </c>
      <c r="J51" s="13" t="s">
        <v>2250</v>
      </c>
    </row>
    <row r="52" spans="1:10" ht="89.25">
      <c r="A52" s="13" t="s">
        <v>2251</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2253</v>
      </c>
      <c r="B56" s="13" t="s">
        <v>2254</v>
      </c>
      <c r="C56" s="13" t="s">
        <v>579</v>
      </c>
      <c r="D56" s="13" t="s">
        <v>502</v>
      </c>
      <c r="E56" s="13"/>
      <c r="F56" s="13"/>
      <c r="G56" s="13" t="s">
        <v>580</v>
      </c>
      <c r="H56" s="13"/>
      <c r="I56" s="13"/>
      <c r="J56" s="13"/>
    </row>
    <row r="57" spans="1:10" ht="63.75">
      <c r="A57" s="13" t="s">
        <v>2255</v>
      </c>
      <c r="B57" s="13" t="s">
        <v>2256</v>
      </c>
      <c r="C57" s="13" t="s">
        <v>587</v>
      </c>
      <c r="D57" s="13" t="s">
        <v>502</v>
      </c>
      <c r="E57" s="13"/>
      <c r="F57" s="13"/>
      <c r="G57" s="13" t="s">
        <v>588</v>
      </c>
      <c r="H57" s="13"/>
      <c r="I57" s="13"/>
      <c r="J57" s="13"/>
    </row>
    <row r="58" spans="1:10" ht="63.75">
      <c r="A58" s="13" t="s">
        <v>2257</v>
      </c>
      <c r="B58" s="13" t="s">
        <v>2258</v>
      </c>
      <c r="C58" s="13" t="s">
        <v>1858</v>
      </c>
      <c r="D58" s="13" t="s">
        <v>502</v>
      </c>
      <c r="E58" s="13"/>
      <c r="F58" s="13"/>
      <c r="G58" s="13" t="s">
        <v>1859</v>
      </c>
      <c r="H58" s="13"/>
      <c r="I58" s="13"/>
      <c r="J58" s="13"/>
    </row>
    <row r="59" spans="1:10" ht="76.5">
      <c r="A59" s="13" t="s">
        <v>2259</v>
      </c>
      <c r="B59" s="13" t="s">
        <v>2260</v>
      </c>
      <c r="C59" s="13" t="s">
        <v>601</v>
      </c>
      <c r="D59" s="13" t="s">
        <v>502</v>
      </c>
      <c r="E59" s="13"/>
      <c r="F59" s="13"/>
      <c r="G59" s="13" t="s">
        <v>602</v>
      </c>
      <c r="H59" s="13"/>
      <c r="I59" s="13"/>
      <c r="J59" s="13"/>
    </row>
    <row r="60" spans="1:10" ht="63.75">
      <c r="A60" s="13" t="s">
        <v>2261</v>
      </c>
      <c r="B60" s="13" t="s">
        <v>2262</v>
      </c>
      <c r="C60" s="13" t="s">
        <v>609</v>
      </c>
      <c r="D60" s="13" t="s">
        <v>502</v>
      </c>
      <c r="E60" s="13"/>
      <c r="F60" s="13"/>
      <c r="G60" s="13" t="s">
        <v>610</v>
      </c>
      <c r="H60" s="13"/>
      <c r="I60" s="13"/>
      <c r="J60" s="13"/>
    </row>
    <row r="61" spans="1:10" ht="76.5">
      <c r="A61" s="13" t="s">
        <v>2263</v>
      </c>
      <c r="B61" s="13" t="s">
        <v>2264</v>
      </c>
      <c r="C61" s="13" t="s">
        <v>616</v>
      </c>
      <c r="D61" s="13" t="s">
        <v>502</v>
      </c>
      <c r="E61" s="13"/>
      <c r="F61" s="13"/>
      <c r="G61" s="13" t="s">
        <v>617</v>
      </c>
      <c r="H61" s="13"/>
      <c r="I61" s="13"/>
      <c r="J61" s="13"/>
    </row>
    <row r="62" spans="1:10" ht="89.25">
      <c r="A62" s="13" t="s">
        <v>2265</v>
      </c>
      <c r="B62" s="13" t="s">
        <v>624</v>
      </c>
      <c r="C62" s="13" t="s">
        <v>622</v>
      </c>
      <c r="D62" s="13" t="s">
        <v>502</v>
      </c>
      <c r="E62" s="13"/>
      <c r="F62" s="13"/>
      <c r="G62" s="13" t="s">
        <v>623</v>
      </c>
      <c r="H62" s="13"/>
      <c r="I62" s="13"/>
      <c r="J62" s="13"/>
    </row>
    <row r="63" spans="1:10" ht="76.5">
      <c r="A63" s="13" t="s">
        <v>2266</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2267</v>
      </c>
      <c r="B67" s="13" t="s">
        <v>699</v>
      </c>
      <c r="C67" s="13" t="s">
        <v>269</v>
      </c>
      <c r="D67" s="13" t="s">
        <v>2268</v>
      </c>
      <c r="E67" s="13"/>
      <c r="F67" s="13" t="s">
        <v>229</v>
      </c>
      <c r="G67" s="13"/>
      <c r="H67" s="13" t="s">
        <v>2269</v>
      </c>
      <c r="I67" s="13" t="s">
        <v>502</v>
      </c>
      <c r="J67" s="13"/>
    </row>
    <row r="68" spans="1:10" ht="76.5">
      <c r="A68" s="13" t="s">
        <v>2270</v>
      </c>
      <c r="B68" s="13" t="s">
        <v>2208</v>
      </c>
      <c r="C68" s="13" t="s">
        <v>269</v>
      </c>
      <c r="D68" s="13" t="s">
        <v>2271</v>
      </c>
      <c r="E68" s="13"/>
      <c r="F68" s="13" t="s">
        <v>229</v>
      </c>
      <c r="G68" s="13"/>
      <c r="H68" s="13" t="s">
        <v>2272</v>
      </c>
      <c r="I68" s="13" t="s">
        <v>502</v>
      </c>
      <c r="J68" s="13"/>
    </row>
    <row r="69" spans="1:10" ht="89.25">
      <c r="A69" s="13" t="s">
        <v>2273</v>
      </c>
      <c r="B69" s="13" t="s">
        <v>699</v>
      </c>
      <c r="C69" s="13" t="s">
        <v>749</v>
      </c>
      <c r="D69" s="13" t="s">
        <v>2274</v>
      </c>
      <c r="E69" s="13"/>
      <c r="F69" s="13" t="s">
        <v>229</v>
      </c>
      <c r="G69" s="13"/>
      <c r="H69" s="13" t="s">
        <v>2230</v>
      </c>
      <c r="I69" s="13" t="s">
        <v>502</v>
      </c>
      <c r="J69" s="13"/>
    </row>
    <row r="70" spans="1:10" ht="63.75">
      <c r="A70" s="13" t="s">
        <v>2275</v>
      </c>
      <c r="B70" s="13" t="s">
        <v>699</v>
      </c>
      <c r="C70" s="13" t="s">
        <v>957</v>
      </c>
      <c r="D70" s="13" t="s">
        <v>1659</v>
      </c>
      <c r="E70" s="13"/>
      <c r="F70" s="13" t="s">
        <v>229</v>
      </c>
      <c r="G70" s="13"/>
      <c r="H70" s="13" t="s">
        <v>2244</v>
      </c>
      <c r="I70" s="13" t="s">
        <v>502</v>
      </c>
      <c r="J70" s="13"/>
    </row>
    <row r="71" spans="1:10" ht="89.25">
      <c r="A71" s="13" t="s">
        <v>2276</v>
      </c>
      <c r="B71" s="13" t="s">
        <v>699</v>
      </c>
      <c r="C71" s="13" t="s">
        <v>148</v>
      </c>
      <c r="D71" s="13" t="s">
        <v>2081</v>
      </c>
      <c r="E71" s="13"/>
      <c r="F71" s="13" t="s">
        <v>229</v>
      </c>
      <c r="G71" s="13"/>
      <c r="H71" s="13" t="s">
        <v>2238</v>
      </c>
      <c r="I71" s="13" t="s">
        <v>502</v>
      </c>
      <c r="J71" s="13"/>
    </row>
    <row r="72" spans="1:10" ht="76.5">
      <c r="A72" s="13" t="s">
        <v>2277</v>
      </c>
      <c r="B72" s="13" t="s">
        <v>699</v>
      </c>
      <c r="C72" s="13" t="s">
        <v>153</v>
      </c>
      <c r="D72" s="13" t="s">
        <v>2278</v>
      </c>
      <c r="E72" s="13"/>
      <c r="F72" s="13" t="s">
        <v>229</v>
      </c>
      <c r="G72" s="13"/>
      <c r="H72" s="13" t="s">
        <v>2240</v>
      </c>
      <c r="I72" s="13" t="s">
        <v>502</v>
      </c>
      <c r="J72" s="13"/>
    </row>
    <row r="73" spans="1:10" ht="76.5">
      <c r="A73" s="13" t="s">
        <v>2279</v>
      </c>
      <c r="B73" s="13" t="s">
        <v>2280</v>
      </c>
      <c r="C73" s="13" t="s">
        <v>155</v>
      </c>
      <c r="D73" s="13" t="s">
        <v>2281</v>
      </c>
      <c r="E73" s="13"/>
      <c r="F73" s="13" t="s">
        <v>229</v>
      </c>
      <c r="G73" s="13"/>
      <c r="H73" s="13" t="s">
        <v>2248</v>
      </c>
      <c r="I73" s="13" t="s">
        <v>502</v>
      </c>
      <c r="J73" s="13"/>
    </row>
    <row r="74" spans="1:10" ht="102">
      <c r="A74" s="13" t="s">
        <v>2282</v>
      </c>
      <c r="B74" s="13" t="s">
        <v>2280</v>
      </c>
      <c r="C74" s="13" t="s">
        <v>556</v>
      </c>
      <c r="D74" s="13" t="s">
        <v>2283</v>
      </c>
      <c r="E74" s="13"/>
      <c r="F74" s="13" t="s">
        <v>229</v>
      </c>
      <c r="G74" s="13"/>
      <c r="H74" s="13" t="s">
        <v>2251</v>
      </c>
      <c r="I74" s="13" t="s">
        <v>502</v>
      </c>
      <c r="J74" s="13"/>
    </row>
    <row r="75" spans="1:10">
      <c r="A75" s="13"/>
      <c r="B75" s="13"/>
      <c r="C75" s="13"/>
      <c r="D75" s="13"/>
      <c r="E75" s="13"/>
      <c r="F75" s="13"/>
      <c r="G75" s="13"/>
      <c r="H75" s="13"/>
      <c r="I75" s="13"/>
      <c r="J75" s="13"/>
    </row>
    <row r="76" spans="1:10" ht="45">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38.25">
      <c r="A78" s="13" t="s">
        <v>699</v>
      </c>
      <c r="B78" s="13">
        <v>0.5</v>
      </c>
      <c r="C78" s="13">
        <v>0.5</v>
      </c>
      <c r="D78" s="13">
        <v>0.5</v>
      </c>
      <c r="E78" s="13">
        <v>0.5</v>
      </c>
      <c r="F78" s="13">
        <v>0.5</v>
      </c>
      <c r="G78" s="13" t="s">
        <v>677</v>
      </c>
      <c r="H78" s="13">
        <v>0.5</v>
      </c>
      <c r="I78" s="13" t="s">
        <v>1201</v>
      </c>
      <c r="J78" s="13" t="s">
        <v>2284</v>
      </c>
    </row>
    <row r="79" spans="1:10" ht="38.25">
      <c r="A79" s="13" t="s">
        <v>2208</v>
      </c>
      <c r="B79" s="13">
        <v>0.5</v>
      </c>
      <c r="C79" s="13">
        <v>0.5</v>
      </c>
      <c r="D79" s="13">
        <v>0.5</v>
      </c>
      <c r="E79" s="13">
        <v>0.5</v>
      </c>
      <c r="F79" s="13">
        <v>0.5</v>
      </c>
      <c r="G79" s="13" t="s">
        <v>677</v>
      </c>
      <c r="H79" s="13">
        <v>0.5</v>
      </c>
      <c r="I79" s="13" t="s">
        <v>1201</v>
      </c>
      <c r="J79" s="13" t="s">
        <v>2285</v>
      </c>
    </row>
    <row r="80" spans="1:10">
      <c r="A80" s="13"/>
      <c r="B80" s="13"/>
      <c r="C80" s="13"/>
      <c r="D80" s="13"/>
      <c r="E80" s="13"/>
      <c r="F80" s="13"/>
      <c r="G80" s="13"/>
      <c r="H80" s="13"/>
      <c r="I80" s="13"/>
      <c r="J80" s="13"/>
    </row>
    <row r="81" spans="1:10" ht="45">
      <c r="A81" s="85" t="s">
        <v>1085</v>
      </c>
      <c r="B81" s="85"/>
      <c r="C81" s="85"/>
      <c r="D81" s="85"/>
      <c r="E81" s="85"/>
      <c r="F81" s="85"/>
      <c r="G81" s="85"/>
      <c r="H81" s="85"/>
      <c r="I81" s="85"/>
      <c r="J81" s="85"/>
    </row>
    <row r="82" spans="1:10" ht="38.25">
      <c r="A82" s="50" t="s">
        <v>905</v>
      </c>
      <c r="B82" s="50" t="s">
        <v>800</v>
      </c>
      <c r="C82" s="50"/>
      <c r="D82" s="50"/>
      <c r="E82" s="50"/>
      <c r="F82" s="50"/>
      <c r="G82" s="50"/>
      <c r="H82" s="50"/>
      <c r="I82" s="50"/>
      <c r="J82" s="50"/>
    </row>
    <row r="83" spans="1:10" ht="178.5">
      <c r="A83" s="13" t="s">
        <v>1086</v>
      </c>
      <c r="B83" s="13" t="s">
        <v>2286</v>
      </c>
      <c r="C83" s="13"/>
      <c r="D83" s="13"/>
      <c r="E83" s="13"/>
      <c r="F83" s="13"/>
      <c r="G83" s="13"/>
      <c r="H83" s="13"/>
      <c r="I83" s="13"/>
      <c r="J83" s="13"/>
    </row>
    <row r="84" spans="1:10" ht="153">
      <c r="A84" s="13" t="s">
        <v>2090</v>
      </c>
      <c r="B84" s="13" t="s">
        <v>2287</v>
      </c>
      <c r="C84" s="13"/>
      <c r="D84" s="13"/>
      <c r="E84" s="13"/>
      <c r="F84" s="13"/>
      <c r="G84" s="13"/>
      <c r="H84" s="13"/>
      <c r="I84" s="13"/>
      <c r="J84" s="13"/>
    </row>
    <row r="85" spans="1:10" ht="165.75">
      <c r="A85" s="13" t="s">
        <v>1088</v>
      </c>
      <c r="B85" s="13" t="s">
        <v>2288</v>
      </c>
      <c r="C85" s="13"/>
      <c r="D85" s="13"/>
      <c r="E85" s="13"/>
      <c r="F85" s="13"/>
      <c r="G85" s="13"/>
      <c r="H85" s="13"/>
      <c r="I85" s="13"/>
      <c r="J85" s="13"/>
    </row>
    <row r="86" spans="1:10" ht="153">
      <c r="A86" s="13" t="s">
        <v>1089</v>
      </c>
      <c r="B86" s="13" t="s">
        <v>2289</v>
      </c>
      <c r="C86" s="13"/>
      <c r="D86" s="13"/>
      <c r="E86" s="13"/>
      <c r="F86" s="13"/>
      <c r="G86" s="13"/>
      <c r="H86" s="13"/>
      <c r="I86" s="13"/>
      <c r="J86" s="13"/>
    </row>
    <row r="87" spans="1:10" ht="191.25">
      <c r="A87" s="13" t="s">
        <v>1090</v>
      </c>
      <c r="B87" s="13" t="s">
        <v>2290</v>
      </c>
      <c r="C87" s="13"/>
      <c r="D87" s="13"/>
      <c r="E87" s="13"/>
      <c r="F87" s="13"/>
      <c r="G87" s="13"/>
      <c r="H87" s="13"/>
      <c r="I87" s="13"/>
      <c r="J87" s="13"/>
    </row>
    <row r="88" spans="1:10" ht="191.25">
      <c r="A88" s="13" t="s">
        <v>1563</v>
      </c>
      <c r="B88" s="13" t="s">
        <v>1776</v>
      </c>
      <c r="C88" s="13"/>
      <c r="D88" s="13"/>
      <c r="E88" s="13"/>
      <c r="F88" s="13"/>
      <c r="G88" s="13"/>
      <c r="H88" s="13"/>
      <c r="I88" s="13"/>
      <c r="J88" s="13"/>
    </row>
    <row r="90" spans="1:10" ht="15.75" thickBot="1"/>
    <row r="91" spans="1:10">
      <c r="A91" s="605" t="s">
        <v>5668</v>
      </c>
      <c r="B91" s="602"/>
      <c r="C91" s="602"/>
      <c r="D91" s="606"/>
      <c r="E91" s="602"/>
      <c r="F91" s="602"/>
      <c r="G91" s="606"/>
      <c r="H91" s="606"/>
      <c r="I91" s="606"/>
      <c r="J91" s="607"/>
    </row>
    <row r="92" spans="1:10">
      <c r="A92" s="321" t="s">
        <v>5610</v>
      </c>
      <c r="B92" s="322" t="s">
        <v>77</v>
      </c>
      <c r="C92" s="322" t="s">
        <v>5611</v>
      </c>
      <c r="D92" s="322" t="s">
        <v>5612</v>
      </c>
      <c r="E92" s="322" t="s">
        <v>5634</v>
      </c>
      <c r="F92" s="322" t="s">
        <v>5601</v>
      </c>
      <c r="G92" s="578" t="s">
        <v>5635</v>
      </c>
      <c r="H92" s="578"/>
      <c r="I92" s="578"/>
      <c r="J92" s="579"/>
    </row>
    <row r="93" spans="1:10" ht="25.5">
      <c r="A93" s="323" t="s">
        <v>5613</v>
      </c>
      <c r="B93" s="333" t="s">
        <v>484</v>
      </c>
      <c r="C93" s="325">
        <v>0</v>
      </c>
      <c r="D93" s="325">
        <v>0</v>
      </c>
      <c r="E93" s="192" t="s">
        <v>5674</v>
      </c>
      <c r="F93" s="325">
        <f>IF(AND(C93&lt;&gt;"",D93&lt;&gt;""),D93-C93,"")</f>
        <v>0</v>
      </c>
      <c r="G93" s="608"/>
      <c r="H93" s="608"/>
      <c r="I93" s="608"/>
      <c r="J93" s="609"/>
    </row>
    <row r="94" spans="1:10" ht="25.5">
      <c r="A94" s="326" t="s">
        <v>5614</v>
      </c>
      <c r="B94" s="333" t="s">
        <v>484</v>
      </c>
      <c r="C94" s="327">
        <v>1</v>
      </c>
      <c r="D94" s="327">
        <v>0</v>
      </c>
      <c r="E94" s="310" t="s">
        <v>5675</v>
      </c>
      <c r="F94" s="327">
        <f>IF(AND(C94&lt;&gt;"",D94&lt;&gt;""),D94-C94,"")</f>
        <v>-1</v>
      </c>
      <c r="G94" s="610"/>
      <c r="H94" s="610"/>
      <c r="I94" s="610"/>
      <c r="J94" s="611"/>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610"/>
      <c r="H96" s="610"/>
      <c r="I96" s="610"/>
      <c r="J96" s="611"/>
    </row>
    <row r="97" spans="1:10">
      <c r="A97" s="323" t="s">
        <v>5168</v>
      </c>
      <c r="B97" s="333" t="s">
        <v>484</v>
      </c>
      <c r="C97" s="327">
        <v>1</v>
      </c>
      <c r="D97" s="327">
        <v>0</v>
      </c>
      <c r="E97" s="310" t="s">
        <v>5675</v>
      </c>
      <c r="F97" s="325">
        <f>IF(AND(C97&lt;&gt;"",D97&lt;&gt;""),D97-C97,"")</f>
        <v>-1</v>
      </c>
      <c r="G97" s="328"/>
      <c r="H97" s="227"/>
      <c r="I97" s="227"/>
      <c r="J97" s="329"/>
    </row>
    <row r="98" spans="1:10" ht="15.75">
      <c r="A98" s="585" t="s">
        <v>5636</v>
      </c>
      <c r="B98" s="586"/>
      <c r="C98" s="330">
        <f>IFERROR(AVERAGE(C93:C97),"")</f>
        <v>0.8</v>
      </c>
      <c r="D98" s="330">
        <f>IFERROR(AVERAGE(D93:D97),"")</f>
        <v>0</v>
      </c>
      <c r="E98" s="589" t="s">
        <v>5637</v>
      </c>
      <c r="F98" s="589"/>
      <c r="G98" s="589"/>
      <c r="H98" s="589"/>
      <c r="I98" s="589"/>
      <c r="J98" s="590"/>
    </row>
    <row r="99" spans="1:10">
      <c r="A99" s="331"/>
      <c r="B99" s="316"/>
      <c r="C99" s="316"/>
      <c r="D99" s="316"/>
      <c r="E99" s="316"/>
      <c r="F99" s="316"/>
      <c r="G99" s="316"/>
      <c r="H99" s="227"/>
      <c r="I99" s="227"/>
      <c r="J99" s="329"/>
    </row>
    <row r="100" spans="1:10">
      <c r="A100" s="574" t="s">
        <v>5669</v>
      </c>
      <c r="B100" s="582"/>
      <c r="C100" s="582"/>
      <c r="D100" s="575"/>
      <c r="E100" s="582"/>
      <c r="F100" s="582"/>
      <c r="G100" s="575"/>
      <c r="H100" s="575"/>
      <c r="I100" s="575"/>
      <c r="J100" s="576"/>
    </row>
    <row r="101" spans="1:10">
      <c r="A101" s="321" t="s">
        <v>4946</v>
      </c>
      <c r="B101" s="322" t="s">
        <v>77</v>
      </c>
      <c r="C101" s="322" t="s">
        <v>5676</v>
      </c>
      <c r="D101" s="322" t="s">
        <v>482</v>
      </c>
      <c r="E101" s="322" t="s">
        <v>572</v>
      </c>
      <c r="F101" s="322" t="s">
        <v>5639</v>
      </c>
      <c r="G101" s="578" t="s">
        <v>5640</v>
      </c>
      <c r="H101" s="578"/>
      <c r="I101" s="578"/>
      <c r="J101" s="579"/>
    </row>
    <row r="102" spans="1:10" ht="25.5">
      <c r="A102" s="326" t="s">
        <v>5602</v>
      </c>
      <c r="B102" s="333" t="s">
        <v>484</v>
      </c>
      <c r="C102" s="332" t="s">
        <v>679</v>
      </c>
      <c r="D102" s="324" t="s">
        <v>679</v>
      </c>
      <c r="E102" s="332">
        <f>IF(D102="Yes",1,0)</f>
        <v>0</v>
      </c>
      <c r="F102" s="580"/>
      <c r="G102" s="580"/>
      <c r="H102" s="580"/>
      <c r="I102" s="580"/>
      <c r="J102" s="581"/>
    </row>
    <row r="103" spans="1:10">
      <c r="A103" s="323" t="s">
        <v>995</v>
      </c>
      <c r="B103" s="333" t="s">
        <v>484</v>
      </c>
      <c r="C103" s="332" t="s">
        <v>679</v>
      </c>
      <c r="D103" s="324" t="s">
        <v>679</v>
      </c>
      <c r="E103" s="324">
        <f t="shared" ref="E103:E109" si="0">IF(D103="Yes",1,0)</f>
        <v>0</v>
      </c>
      <c r="F103" s="580"/>
      <c r="G103" s="580"/>
      <c r="H103" s="580"/>
      <c r="I103" s="580"/>
      <c r="J103" s="581"/>
    </row>
    <row r="104" spans="1:10">
      <c r="A104" s="326" t="s">
        <v>5603</v>
      </c>
      <c r="B104" s="333" t="s">
        <v>484</v>
      </c>
      <c r="C104" s="332" t="s">
        <v>679</v>
      </c>
      <c r="D104" s="324" t="s">
        <v>679</v>
      </c>
      <c r="E104" s="332">
        <f t="shared" si="0"/>
        <v>0</v>
      </c>
      <c r="F104" s="580"/>
      <c r="G104" s="580"/>
      <c r="H104" s="580"/>
      <c r="I104" s="580"/>
      <c r="J104" s="581"/>
    </row>
    <row r="105" spans="1:10">
      <c r="A105" s="323" t="s">
        <v>5617</v>
      </c>
      <c r="B105" s="333" t="s">
        <v>484</v>
      </c>
      <c r="C105" s="332" t="s">
        <v>679</v>
      </c>
      <c r="D105" s="324" t="s">
        <v>679</v>
      </c>
      <c r="E105" s="324">
        <f t="shared" si="0"/>
        <v>0</v>
      </c>
      <c r="F105" s="580"/>
      <c r="G105" s="580"/>
      <c r="H105" s="580"/>
      <c r="I105" s="580"/>
      <c r="J105" s="581"/>
    </row>
    <row r="106" spans="1:10" ht="38.25">
      <c r="A106" s="326" t="s">
        <v>5618</v>
      </c>
      <c r="B106" s="333" t="s">
        <v>484</v>
      </c>
      <c r="C106" s="332" t="s">
        <v>679</v>
      </c>
      <c r="D106" s="324" t="s">
        <v>679</v>
      </c>
      <c r="E106" s="332">
        <f t="shared" si="0"/>
        <v>0</v>
      </c>
      <c r="F106" s="580"/>
      <c r="G106" s="580"/>
      <c r="H106" s="580"/>
      <c r="I106" s="580"/>
      <c r="J106" s="581"/>
    </row>
    <row r="107" spans="1:10" ht="25.5">
      <c r="A107" s="323" t="s">
        <v>5619</v>
      </c>
      <c r="B107" s="333" t="s">
        <v>484</v>
      </c>
      <c r="C107" s="332" t="s">
        <v>679</v>
      </c>
      <c r="D107" s="324" t="s">
        <v>679</v>
      </c>
      <c r="E107" s="324">
        <f t="shared" si="0"/>
        <v>0</v>
      </c>
      <c r="F107" s="580"/>
      <c r="G107" s="580"/>
      <c r="H107" s="580"/>
      <c r="I107" s="580"/>
      <c r="J107" s="581"/>
    </row>
    <row r="108" spans="1:10">
      <c r="A108" s="326" t="s">
        <v>5604</v>
      </c>
      <c r="B108" s="333" t="s">
        <v>484</v>
      </c>
      <c r="C108" s="332" t="s">
        <v>679</v>
      </c>
      <c r="D108" s="324" t="s">
        <v>679</v>
      </c>
      <c r="E108" s="332">
        <f t="shared" si="0"/>
        <v>0</v>
      </c>
      <c r="F108" s="580"/>
      <c r="G108" s="580"/>
      <c r="H108" s="580"/>
      <c r="I108" s="580"/>
      <c r="J108" s="581"/>
    </row>
    <row r="109" spans="1:10" ht="25.5">
      <c r="A109" s="323" t="s">
        <v>5605</v>
      </c>
      <c r="B109" s="333" t="s">
        <v>484</v>
      </c>
      <c r="C109" s="332" t="s">
        <v>679</v>
      </c>
      <c r="D109" s="324" t="s">
        <v>679</v>
      </c>
      <c r="E109" s="324">
        <f t="shared" si="0"/>
        <v>0</v>
      </c>
      <c r="F109" s="580"/>
      <c r="G109" s="580"/>
      <c r="H109" s="580"/>
      <c r="I109" s="580"/>
      <c r="J109" s="581"/>
    </row>
    <row r="110" spans="1:10" ht="15.75">
      <c r="A110" s="585" t="s">
        <v>5641</v>
      </c>
      <c r="B110" s="586"/>
      <c r="C110" s="587" t="str">
        <f>IFERROR(SUM(E102:E109)/COUNTIF(C102:C109,"Yes"),"")</f>
        <v/>
      </c>
      <c r="D110" s="588"/>
      <c r="E110" s="589" t="s">
        <v>5642</v>
      </c>
      <c r="F110" s="589"/>
      <c r="G110" s="589"/>
      <c r="H110" s="589"/>
      <c r="I110" s="589"/>
      <c r="J110" s="590"/>
    </row>
    <row r="111" spans="1:10">
      <c r="A111" s="331"/>
      <c r="B111" s="316"/>
      <c r="C111" s="316"/>
      <c r="D111" s="316"/>
      <c r="E111" s="316"/>
      <c r="F111" s="316"/>
      <c r="G111" s="316"/>
      <c r="H111" s="227"/>
      <c r="I111" s="227"/>
      <c r="J111" s="329"/>
    </row>
    <row r="112" spans="1:10">
      <c r="A112" s="574" t="s">
        <v>5670</v>
      </c>
      <c r="B112" s="582"/>
      <c r="C112" s="582"/>
      <c r="D112" s="575"/>
      <c r="E112" s="582"/>
      <c r="F112" s="582"/>
      <c r="G112" s="575"/>
      <c r="H112" s="575"/>
      <c r="I112" s="575"/>
      <c r="J112" s="576"/>
    </row>
    <row r="113" spans="1:10">
      <c r="A113" s="321" t="s">
        <v>5643</v>
      </c>
      <c r="B113" s="322" t="s">
        <v>77</v>
      </c>
      <c r="C113" s="322" t="s">
        <v>5620</v>
      </c>
      <c r="D113" s="322" t="s">
        <v>5621</v>
      </c>
      <c r="E113" s="322" t="s">
        <v>5622</v>
      </c>
      <c r="F113" s="322" t="s">
        <v>5644</v>
      </c>
      <c r="G113" s="578" t="s">
        <v>5645</v>
      </c>
      <c r="H113" s="578"/>
      <c r="I113" s="578"/>
      <c r="J113" s="579"/>
    </row>
    <row r="114" spans="1:10" ht="25.5">
      <c r="A114" s="326" t="s">
        <v>5623</v>
      </c>
      <c r="B114" s="332" t="s">
        <v>484</v>
      </c>
      <c r="C114" s="332" t="s">
        <v>1096</v>
      </c>
      <c r="D114" s="332" t="s">
        <v>1096</v>
      </c>
      <c r="E114" s="332" t="s">
        <v>1096</v>
      </c>
      <c r="F114" s="332" t="s">
        <v>348</v>
      </c>
      <c r="G114" s="583"/>
      <c r="H114" s="583"/>
      <c r="I114" s="583"/>
      <c r="J114" s="584"/>
    </row>
    <row r="115" spans="1:10">
      <c r="A115" s="323" t="s">
        <v>5624</v>
      </c>
      <c r="B115" s="332" t="s">
        <v>484</v>
      </c>
      <c r="C115" s="332" t="s">
        <v>1096</v>
      </c>
      <c r="D115" s="332" t="s">
        <v>1096</v>
      </c>
      <c r="E115" s="332" t="s">
        <v>1096</v>
      </c>
      <c r="F115" s="332" t="s">
        <v>348</v>
      </c>
      <c r="G115" s="583"/>
      <c r="H115" s="583"/>
      <c r="I115" s="583"/>
      <c r="J115" s="584"/>
    </row>
    <row r="116" spans="1:10">
      <c r="A116" s="326" t="s">
        <v>5646</v>
      </c>
      <c r="B116" s="332" t="s">
        <v>484</v>
      </c>
      <c r="C116" s="332" t="s">
        <v>1096</v>
      </c>
      <c r="D116" s="332" t="s">
        <v>1096</v>
      </c>
      <c r="E116" s="332" t="s">
        <v>1096</v>
      </c>
      <c r="F116" s="332" t="s">
        <v>348</v>
      </c>
      <c r="G116" s="583"/>
      <c r="H116" s="583"/>
      <c r="I116" s="583"/>
      <c r="J116" s="584"/>
    </row>
    <row r="117" spans="1:10">
      <c r="A117" s="323" t="s">
        <v>5625</v>
      </c>
      <c r="B117" s="332" t="s">
        <v>484</v>
      </c>
      <c r="C117" s="332" t="s">
        <v>1096</v>
      </c>
      <c r="D117" s="332" t="s">
        <v>1096</v>
      </c>
      <c r="E117" s="332" t="s">
        <v>1096</v>
      </c>
      <c r="F117" s="332" t="s">
        <v>348</v>
      </c>
      <c r="G117" s="583"/>
      <c r="H117" s="583"/>
      <c r="I117" s="583"/>
      <c r="J117" s="584"/>
    </row>
    <row r="118" spans="1:10" ht="25.5">
      <c r="A118" s="326" t="s">
        <v>5626</v>
      </c>
      <c r="B118" s="332" t="s">
        <v>484</v>
      </c>
      <c r="C118" s="332" t="s">
        <v>1096</v>
      </c>
      <c r="D118" s="332" t="s">
        <v>1096</v>
      </c>
      <c r="E118" s="332" t="s">
        <v>1096</v>
      </c>
      <c r="F118" s="332" t="s">
        <v>348</v>
      </c>
      <c r="G118" s="583"/>
      <c r="H118" s="583"/>
      <c r="I118" s="583"/>
      <c r="J118" s="584"/>
    </row>
    <row r="119" spans="1:10" ht="15.75">
      <c r="A119" s="585" t="s">
        <v>5677</v>
      </c>
      <c r="B119" s="586"/>
      <c r="C119" s="587">
        <f>IFERROR(COUNTIF(E114:E118,"Yes")/COUNTA(A114:A118),"")</f>
        <v>0</v>
      </c>
      <c r="D119" s="588"/>
      <c r="E119" s="589" t="s">
        <v>5648</v>
      </c>
      <c r="F119" s="589"/>
      <c r="G119" s="589"/>
      <c r="H119" s="589"/>
      <c r="I119" s="589"/>
      <c r="J119" s="590"/>
    </row>
    <row r="120" spans="1:10">
      <c r="A120" s="331"/>
      <c r="B120" s="316"/>
      <c r="C120" s="316"/>
      <c r="D120" s="316"/>
      <c r="E120" s="316"/>
      <c r="F120" s="316"/>
      <c r="G120" s="599"/>
      <c r="H120" s="599"/>
      <c r="I120" s="599"/>
      <c r="J120" s="600"/>
    </row>
    <row r="121" spans="1:10">
      <c r="A121" s="574" t="s">
        <v>5671</v>
      </c>
      <c r="B121" s="582"/>
      <c r="C121" s="582"/>
      <c r="D121" s="575"/>
      <c r="E121" s="582"/>
      <c r="F121" s="582"/>
      <c r="G121" s="575"/>
      <c r="H121" s="575"/>
      <c r="I121" s="575"/>
      <c r="J121" s="576"/>
    </row>
    <row r="122" spans="1:10">
      <c r="A122" s="322" t="s">
        <v>5606</v>
      </c>
      <c r="B122" s="322" t="s">
        <v>77</v>
      </c>
      <c r="C122" s="322" t="s">
        <v>5627</v>
      </c>
      <c r="D122" s="322" t="s">
        <v>5628</v>
      </c>
      <c r="E122" s="322" t="s">
        <v>5629</v>
      </c>
      <c r="F122" s="322" t="s">
        <v>5630</v>
      </c>
      <c r="G122" s="578" t="s">
        <v>5678</v>
      </c>
      <c r="H122" s="578"/>
      <c r="I122" s="578"/>
      <c r="J122" s="578"/>
    </row>
    <row r="123" spans="1:10">
      <c r="A123" s="328" t="s">
        <v>153</v>
      </c>
      <c r="B123" s="324" t="s">
        <v>484</v>
      </c>
      <c r="C123" s="324"/>
      <c r="D123" s="324"/>
      <c r="E123" s="324"/>
      <c r="F123" s="325" t="str">
        <f>IFERROR(D123/C123,"")</f>
        <v/>
      </c>
      <c r="G123" s="572"/>
      <c r="H123" s="572"/>
      <c r="I123" s="572"/>
      <c r="J123" s="572"/>
    </row>
    <row r="124" spans="1:10">
      <c r="A124" s="335" t="s">
        <v>155</v>
      </c>
      <c r="B124" s="332" t="s">
        <v>484</v>
      </c>
      <c r="C124" s="332"/>
      <c r="D124" s="332"/>
      <c r="E124" s="332"/>
      <c r="F124" s="327" t="str">
        <f>IFERROR(D124/C124,"")</f>
        <v/>
      </c>
      <c r="G124" s="572"/>
      <c r="H124" s="572"/>
      <c r="I124" s="572"/>
      <c r="J124" s="572"/>
    </row>
    <row r="125" spans="1:10">
      <c r="A125" s="328" t="s">
        <v>4821</v>
      </c>
      <c r="B125" s="324" t="s">
        <v>484</v>
      </c>
      <c r="C125" s="324"/>
      <c r="D125" s="324"/>
      <c r="E125" s="324"/>
      <c r="F125" s="325" t="str">
        <f>IFERROR(D125/C125,"")</f>
        <v/>
      </c>
      <c r="G125" s="572"/>
      <c r="H125" s="572"/>
      <c r="I125" s="572"/>
      <c r="J125" s="572"/>
    </row>
    <row r="126" spans="1:10">
      <c r="A126" s="335" t="s">
        <v>957</v>
      </c>
      <c r="B126" s="332" t="s">
        <v>484</v>
      </c>
      <c r="C126" s="332"/>
      <c r="D126" s="332"/>
      <c r="E126" s="332"/>
      <c r="F126" s="327" t="str">
        <f>IFERROR(D126/C126,"")</f>
        <v/>
      </c>
      <c r="G126" s="572"/>
      <c r="H126" s="572"/>
      <c r="I126" s="572"/>
      <c r="J126" s="572"/>
    </row>
    <row r="127" spans="1:10">
      <c r="A127" s="597" t="s">
        <v>5649</v>
      </c>
      <c r="B127" s="597"/>
      <c r="C127" s="597"/>
      <c r="D127" s="597"/>
      <c r="E127" s="589" t="s">
        <v>5650</v>
      </c>
      <c r="F127" s="589"/>
      <c r="G127" s="589"/>
      <c r="H127" s="589"/>
      <c r="I127" s="589"/>
      <c r="J127" s="589"/>
    </row>
    <row r="128" spans="1:10">
      <c r="A128" s="597"/>
      <c r="B128" s="597"/>
      <c r="C128" s="597"/>
      <c r="D128" s="597"/>
      <c r="E128" s="589"/>
      <c r="F128" s="589"/>
      <c r="G128" s="589"/>
      <c r="H128" s="589"/>
      <c r="I128" s="589"/>
      <c r="J128" s="589"/>
    </row>
    <row r="129" spans="1:10">
      <c r="A129" s="575" t="s">
        <v>5672</v>
      </c>
      <c r="B129" s="575"/>
      <c r="C129" s="575"/>
      <c r="D129" s="575"/>
      <c r="E129" s="575"/>
      <c r="F129" s="575"/>
      <c r="G129" s="575"/>
      <c r="H129" s="575"/>
      <c r="I129" s="575"/>
      <c r="J129" s="575"/>
    </row>
    <row r="130" spans="1:10">
      <c r="A130" s="322" t="s">
        <v>4946</v>
      </c>
      <c r="B130" s="322" t="s">
        <v>77</v>
      </c>
      <c r="C130" s="322" t="s">
        <v>5638</v>
      </c>
      <c r="D130" s="322" t="s">
        <v>482</v>
      </c>
      <c r="E130" s="322" t="s">
        <v>572</v>
      </c>
      <c r="F130" s="322" t="s">
        <v>944</v>
      </c>
      <c r="G130" s="578" t="s">
        <v>5640</v>
      </c>
      <c r="H130" s="578"/>
      <c r="I130" s="578"/>
      <c r="J130" s="578"/>
    </row>
    <row r="131" spans="1:10" ht="25.5">
      <c r="A131" s="328" t="s">
        <v>5607</v>
      </c>
      <c r="B131" s="324" t="s">
        <v>484</v>
      </c>
      <c r="C131" s="324" t="s">
        <v>392</v>
      </c>
      <c r="D131" s="324" t="s">
        <v>1096</v>
      </c>
      <c r="E131" s="324">
        <f t="shared" ref="E131:E136" si="1">IF(D131="Yes",1,0)</f>
        <v>0</v>
      </c>
      <c r="F131" s="324"/>
      <c r="G131" s="572"/>
      <c r="H131" s="572"/>
      <c r="I131" s="572"/>
      <c r="J131" s="572"/>
    </row>
    <row r="132" spans="1:10">
      <c r="A132" s="335" t="s">
        <v>5608</v>
      </c>
      <c r="B132" s="324" t="s">
        <v>484</v>
      </c>
      <c r="C132" s="332" t="s">
        <v>392</v>
      </c>
      <c r="D132" s="324" t="s">
        <v>1096</v>
      </c>
      <c r="E132" s="332">
        <f t="shared" si="1"/>
        <v>0</v>
      </c>
      <c r="F132" s="332"/>
      <c r="G132" s="572"/>
      <c r="H132" s="572"/>
      <c r="I132" s="572"/>
      <c r="J132" s="572"/>
    </row>
    <row r="133" spans="1:10" ht="25.5">
      <c r="A133" s="328" t="s">
        <v>5609</v>
      </c>
      <c r="B133" s="324" t="s">
        <v>484</v>
      </c>
      <c r="C133" s="324" t="s">
        <v>392</v>
      </c>
      <c r="D133" s="324" t="s">
        <v>1096</v>
      </c>
      <c r="E133" s="324">
        <f t="shared" si="1"/>
        <v>0</v>
      </c>
      <c r="F133" s="324"/>
      <c r="G133" s="572"/>
      <c r="H133" s="572"/>
      <c r="I133" s="572"/>
      <c r="J133" s="572"/>
    </row>
    <row r="134" spans="1:10">
      <c r="A134" s="335" t="s">
        <v>5631</v>
      </c>
      <c r="B134" s="324" t="s">
        <v>484</v>
      </c>
      <c r="C134" s="332" t="s">
        <v>392</v>
      </c>
      <c r="D134" s="324" t="s">
        <v>1096</v>
      </c>
      <c r="E134" s="332">
        <f t="shared" si="1"/>
        <v>0</v>
      </c>
      <c r="F134" s="332"/>
      <c r="G134" s="572"/>
      <c r="H134" s="572"/>
      <c r="I134" s="572"/>
      <c r="J134" s="572"/>
    </row>
    <row r="135" spans="1:10" ht="25.5">
      <c r="A135" s="328" t="s">
        <v>5632</v>
      </c>
      <c r="B135" s="324" t="s">
        <v>484</v>
      </c>
      <c r="C135" s="324" t="s">
        <v>392</v>
      </c>
      <c r="D135" s="324" t="s">
        <v>1096</v>
      </c>
      <c r="E135" s="324">
        <f t="shared" si="1"/>
        <v>0</v>
      </c>
      <c r="F135" s="324"/>
      <c r="G135" s="572"/>
      <c r="H135" s="572"/>
      <c r="I135" s="572"/>
      <c r="J135" s="572"/>
    </row>
    <row r="136" spans="1:10" ht="25.5">
      <c r="A136" s="335" t="s">
        <v>5633</v>
      </c>
      <c r="B136" s="324" t="s">
        <v>484</v>
      </c>
      <c r="C136" s="332" t="s">
        <v>392</v>
      </c>
      <c r="D136" s="332" t="s">
        <v>1096</v>
      </c>
      <c r="E136" s="332">
        <f t="shared" si="1"/>
        <v>0</v>
      </c>
      <c r="F136" s="332"/>
      <c r="G136" s="572"/>
      <c r="H136" s="572"/>
      <c r="I136" s="572"/>
      <c r="J136" s="572"/>
    </row>
    <row r="137" spans="1:10" ht="15.75">
      <c r="A137" s="930" t="s">
        <v>5651</v>
      </c>
      <c r="B137" s="586"/>
      <c r="C137" s="587">
        <f>IFERROR(SUM(E131:E136)/COUNTIF(C131:C136,"Yes"),"")</f>
        <v>0</v>
      </c>
      <c r="D137" s="588"/>
      <c r="E137" s="589" t="s">
        <v>5652</v>
      </c>
      <c r="F137" s="589"/>
      <c r="G137" s="589"/>
      <c r="H137" s="589"/>
      <c r="I137" s="589"/>
      <c r="J137" s="589"/>
    </row>
    <row r="138" spans="1:10">
      <c r="A138" s="192"/>
      <c r="B138" s="192"/>
      <c r="C138" s="192"/>
      <c r="D138" s="192"/>
      <c r="E138" s="192"/>
      <c r="F138" s="192"/>
      <c r="G138" s="192"/>
      <c r="H138" s="192"/>
      <c r="I138" s="192"/>
      <c r="J138" s="192"/>
    </row>
    <row r="139" spans="1:10">
      <c r="A139" s="575" t="s">
        <v>5673</v>
      </c>
      <c r="B139" s="582"/>
      <c r="C139" s="582"/>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594" t="s">
        <v>3292</v>
      </c>
      <c r="C141" s="582"/>
      <c r="D141" s="582"/>
      <c r="E141" s="582"/>
      <c r="F141" s="582"/>
      <c r="G141" s="582"/>
      <c r="H141" s="582"/>
      <c r="I141" s="582"/>
      <c r="J141" s="582"/>
    </row>
    <row r="142" spans="1:10" ht="25.5">
      <c r="A142" s="315" t="s">
        <v>2090</v>
      </c>
      <c r="B142" s="594" t="s">
        <v>3293</v>
      </c>
      <c r="C142" s="582"/>
      <c r="D142" s="582"/>
      <c r="E142" s="582"/>
      <c r="F142" s="582"/>
      <c r="G142" s="582"/>
      <c r="H142" s="582"/>
      <c r="I142" s="582"/>
      <c r="J142" s="582"/>
    </row>
    <row r="143" spans="1:10">
      <c r="A143" s="315" t="s">
        <v>1089</v>
      </c>
      <c r="B143" s="594" t="s">
        <v>3294</v>
      </c>
      <c r="C143" s="582"/>
      <c r="D143" s="582"/>
      <c r="E143" s="582"/>
      <c r="F143" s="582"/>
      <c r="G143" s="582"/>
      <c r="H143" s="582"/>
      <c r="I143" s="582"/>
      <c r="J143" s="582"/>
    </row>
    <row r="144" spans="1:10">
      <c r="A144" s="315" t="s">
        <v>1090</v>
      </c>
      <c r="B144" s="594" t="s">
        <v>3295</v>
      </c>
      <c r="C144" s="582"/>
      <c r="D144" s="582"/>
      <c r="E144" s="582"/>
      <c r="F144" s="582"/>
      <c r="G144" s="582"/>
      <c r="H144" s="582"/>
      <c r="I144" s="582"/>
      <c r="J144" s="582"/>
    </row>
    <row r="145" spans="1:10">
      <c r="A145" s="315" t="s">
        <v>1088</v>
      </c>
      <c r="B145" s="594" t="s">
        <v>3296</v>
      </c>
      <c r="C145" s="582"/>
      <c r="D145" s="582"/>
      <c r="E145" s="582"/>
      <c r="F145" s="582"/>
      <c r="G145" s="582"/>
      <c r="H145" s="582"/>
      <c r="I145" s="582"/>
      <c r="J145" s="582"/>
    </row>
    <row r="146" spans="1:10" ht="25.5">
      <c r="A146" s="315" t="s">
        <v>3297</v>
      </c>
      <c r="B146" s="594" t="s">
        <v>3298</v>
      </c>
      <c r="C146" s="582"/>
      <c r="D146" s="582"/>
      <c r="E146" s="582"/>
      <c r="F146" s="582"/>
      <c r="G146" s="582"/>
      <c r="H146" s="582"/>
      <c r="I146" s="582"/>
      <c r="J146" s="582"/>
    </row>
    <row r="147" spans="1:10">
      <c r="A147" s="315" t="s">
        <v>1563</v>
      </c>
      <c r="B147" s="594" t="s">
        <v>1776</v>
      </c>
      <c r="C147" s="582"/>
      <c r="D147" s="582"/>
      <c r="E147" s="582"/>
      <c r="F147" s="582"/>
      <c r="G147" s="582"/>
      <c r="H147" s="582"/>
      <c r="I147" s="582"/>
      <c r="J147" s="582"/>
    </row>
    <row r="148" spans="1:10">
      <c r="A148" s="227"/>
      <c r="B148" s="227"/>
      <c r="C148" s="227"/>
      <c r="D148" s="227"/>
      <c r="E148" s="227"/>
      <c r="F148" s="227"/>
      <c r="G148" s="227"/>
      <c r="H148" s="227"/>
      <c r="I148" s="227"/>
      <c r="J148" s="227"/>
    </row>
    <row r="149" spans="1:10" ht="18">
      <c r="A149" s="598" t="s">
        <v>5562</v>
      </c>
      <c r="B149" s="598"/>
      <c r="C149" s="598"/>
      <c r="D149" s="598"/>
      <c r="E149" s="598"/>
      <c r="F149" s="598"/>
      <c r="G149" s="598"/>
      <c r="H149" s="598"/>
      <c r="I149" s="227"/>
      <c r="J149" s="227"/>
    </row>
    <row r="150" spans="1:10">
      <c r="A150" s="272" t="s">
        <v>2</v>
      </c>
      <c r="B150" s="591" t="s">
        <v>5563</v>
      </c>
      <c r="C150" s="591"/>
      <c r="D150" s="591"/>
      <c r="E150" s="591"/>
      <c r="F150" s="591"/>
      <c r="G150" s="591"/>
      <c r="H150" s="591"/>
      <c r="I150" s="227"/>
      <c r="J150" s="227"/>
    </row>
    <row r="151" spans="1:10">
      <c r="A151" s="272" t="s">
        <v>5564</v>
      </c>
      <c r="B151" s="591" t="s">
        <v>5565</v>
      </c>
      <c r="C151" s="591"/>
      <c r="D151" s="591"/>
      <c r="E151" s="591"/>
      <c r="F151" s="591"/>
      <c r="G151" s="591"/>
      <c r="H151" s="591"/>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577" t="s">
        <v>5585</v>
      </c>
      <c r="C163" s="577"/>
      <c r="D163" s="577"/>
      <c r="E163" s="577" t="s">
        <v>5586</v>
      </c>
      <c r="F163" s="577"/>
      <c r="G163" s="577"/>
      <c r="H163" s="192"/>
      <c r="I163" s="227"/>
      <c r="J163" s="227"/>
    </row>
    <row r="164" spans="1:10">
      <c r="A164" s="287" t="s">
        <v>5571</v>
      </c>
      <c r="B164" s="577" t="s">
        <v>5587</v>
      </c>
      <c r="C164" s="577"/>
      <c r="D164" s="577"/>
      <c r="E164" s="577" t="s">
        <v>5588</v>
      </c>
      <c r="F164" s="577"/>
      <c r="G164" s="577"/>
      <c r="H164" s="192"/>
      <c r="I164" s="227"/>
      <c r="J164" s="227"/>
    </row>
    <row r="165" spans="1:10">
      <c r="A165" s="287" t="s">
        <v>5572</v>
      </c>
      <c r="B165" s="577" t="s">
        <v>5589</v>
      </c>
      <c r="C165" s="577"/>
      <c r="D165" s="577"/>
      <c r="E165" s="577" t="s">
        <v>5590</v>
      </c>
      <c r="F165" s="577"/>
      <c r="G165" s="577"/>
      <c r="H165" s="192"/>
      <c r="I165" s="227"/>
      <c r="J165" s="227"/>
    </row>
    <row r="166" spans="1:10">
      <c r="A166" s="287" t="s">
        <v>5168</v>
      </c>
      <c r="B166" s="577" t="s">
        <v>5591</v>
      </c>
      <c r="C166" s="577"/>
      <c r="D166" s="577"/>
      <c r="E166" s="577" t="s">
        <v>5592</v>
      </c>
      <c r="F166" s="577"/>
      <c r="G166" s="577"/>
      <c r="H166" s="192"/>
      <c r="I166" s="227"/>
      <c r="J166" s="227"/>
    </row>
    <row r="167" spans="1:10">
      <c r="A167" s="287" t="s">
        <v>5573</v>
      </c>
      <c r="B167" s="577" t="s">
        <v>5593</v>
      </c>
      <c r="C167" s="577"/>
      <c r="D167" s="577"/>
      <c r="E167" s="577" t="s">
        <v>5594</v>
      </c>
      <c r="F167" s="577"/>
      <c r="G167" s="577"/>
      <c r="H167" s="192"/>
      <c r="I167" s="227"/>
      <c r="J167" s="227"/>
    </row>
    <row r="168" spans="1:10">
      <c r="A168" s="287" t="s">
        <v>5574</v>
      </c>
      <c r="B168" s="577" t="s">
        <v>5595</v>
      </c>
      <c r="C168" s="577"/>
      <c r="D168" s="577"/>
      <c r="E168" s="577" t="s">
        <v>5596</v>
      </c>
      <c r="F168" s="577"/>
      <c r="G168" s="577"/>
      <c r="H168" s="192"/>
      <c r="I168" s="227"/>
      <c r="J168" s="227"/>
    </row>
    <row r="169" spans="1:10">
      <c r="A169" s="287" t="s">
        <v>178</v>
      </c>
      <c r="B169" s="577" t="s">
        <v>5597</v>
      </c>
      <c r="C169" s="577"/>
      <c r="D169" s="577"/>
      <c r="E169" s="577" t="s">
        <v>5598</v>
      </c>
      <c r="F169" s="577"/>
      <c r="G169" s="577"/>
      <c r="H169" s="192"/>
      <c r="I169" s="227"/>
      <c r="J169" s="227"/>
    </row>
    <row r="170" spans="1:10" ht="25.5">
      <c r="A170" s="287" t="s">
        <v>5575</v>
      </c>
      <c r="B170" s="577" t="s">
        <v>5599</v>
      </c>
      <c r="C170" s="577"/>
      <c r="D170" s="577"/>
      <c r="E170" s="577" t="s">
        <v>5600</v>
      </c>
      <c r="F170" s="577"/>
      <c r="G170" s="577"/>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575" t="s">
        <v>5694</v>
      </c>
      <c r="B177" s="575"/>
      <c r="C177" s="575"/>
      <c r="D177" s="575"/>
      <c r="E177" s="575"/>
      <c r="F177" s="575"/>
      <c r="G177" s="575"/>
      <c r="H177" s="575"/>
      <c r="I177" s="575"/>
      <c r="J177" s="575"/>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5" t="s">
        <v>5695</v>
      </c>
      <c r="B188" s="575"/>
      <c r="C188" s="575"/>
      <c r="D188" s="575"/>
      <c r="E188" s="575"/>
      <c r="F188" s="575"/>
      <c r="G188" s="575"/>
      <c r="H188" s="575"/>
      <c r="I188" s="575"/>
      <c r="J188" s="575"/>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5" t="s">
        <v>5696</v>
      </c>
      <c r="B198" s="575"/>
      <c r="C198" s="575"/>
      <c r="D198" s="575"/>
      <c r="E198" s="575"/>
      <c r="F198" s="575"/>
      <c r="G198" s="575"/>
      <c r="H198" s="575"/>
      <c r="I198" s="575"/>
      <c r="J198" s="575"/>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5" t="s">
        <v>5697</v>
      </c>
      <c r="B210" s="575"/>
      <c r="C210" s="575"/>
      <c r="D210" s="575"/>
      <c r="E210" s="575"/>
      <c r="F210" s="575"/>
      <c r="G210" s="575"/>
      <c r="H210" s="575"/>
      <c r="I210" s="575"/>
      <c r="J210" s="575"/>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599"/>
      <c r="H232" s="599"/>
      <c r="I232" s="599"/>
      <c r="J232" s="599"/>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898" priority="21">
      <formula>B93="Complete"</formula>
    </cfRule>
    <cfRule type="expression" dxfId="897" priority="22">
      <formula>B93="In Progress"</formula>
    </cfRule>
    <cfRule type="expression" dxfId="896" priority="23">
      <formula>B93="At Risk"</formula>
    </cfRule>
    <cfRule type="expression" dxfId="895" priority="24">
      <formula>B93="Blocked"</formula>
    </cfRule>
    <cfRule type="expression" dxfId="894" priority="25">
      <formula>B93="Not Started"</formula>
    </cfRule>
  </conditionalFormatting>
  <conditionalFormatting sqref="B102:B109">
    <cfRule type="expression" dxfId="893" priority="1">
      <formula>B102="Complete"</formula>
    </cfRule>
    <cfRule type="expression" dxfId="892" priority="2">
      <formula>B102="In Progress"</formula>
    </cfRule>
    <cfRule type="expression" dxfId="891" priority="3">
      <formula>B102="At Risk"</formula>
    </cfRule>
    <cfRule type="expression" dxfId="890" priority="4">
      <formula>B102="Blocked"</formula>
    </cfRule>
    <cfRule type="expression" dxfId="889" priority="5">
      <formula>B102="Not Started"</formula>
    </cfRule>
  </conditionalFormatting>
  <conditionalFormatting sqref="B114:B118">
    <cfRule type="expression" dxfId="888" priority="30">
      <formula>B114="Not Started"</formula>
    </cfRule>
    <cfRule type="expression" dxfId="887" priority="29">
      <formula>B114="Blocked"</formula>
    </cfRule>
    <cfRule type="expression" dxfId="886" priority="28">
      <formula>B114="At Risk"</formula>
    </cfRule>
    <cfRule type="expression" dxfId="885" priority="27">
      <formula>B114="In Progress"</formula>
    </cfRule>
    <cfRule type="expression" dxfId="884" priority="26">
      <formula>B114="Complete"</formula>
    </cfRule>
  </conditionalFormatting>
  <conditionalFormatting sqref="B123:B126">
    <cfRule type="expression" dxfId="883" priority="6">
      <formula>B123="Complete"</formula>
    </cfRule>
    <cfRule type="expression" dxfId="882" priority="7">
      <formula>B123="In Progress"</formula>
    </cfRule>
    <cfRule type="expression" dxfId="881" priority="8">
      <formula>B123="At Risk"</formula>
    </cfRule>
    <cfRule type="expression" dxfId="880" priority="9">
      <formula>B123="Blocked"</formula>
    </cfRule>
    <cfRule type="expression" dxfId="879" priority="10">
      <formula>B123="Not Started"</formula>
    </cfRule>
  </conditionalFormatting>
  <conditionalFormatting sqref="B131:B136">
    <cfRule type="expression" dxfId="878" priority="11">
      <formula>B131="Complete"</formula>
    </cfRule>
    <cfRule type="expression" dxfId="877" priority="12">
      <formula>B131="In Progress"</formula>
    </cfRule>
    <cfRule type="expression" dxfId="876" priority="13">
      <formula>B131="At Risk"</formula>
    </cfRule>
    <cfRule type="expression" dxfId="875" priority="14">
      <formula>B131="Blocked"</formula>
    </cfRule>
    <cfRule type="expression" dxfId="874" priority="15">
      <formula>B131="Not Started"</formula>
    </cfRule>
  </conditionalFormatting>
  <conditionalFormatting sqref="B154:B161">
    <cfRule type="expression" dxfId="873" priority="82">
      <formula>B154="Yes"</formula>
    </cfRule>
    <cfRule type="expression" dxfId="872" priority="83">
      <formula>B154="N/A"</formula>
    </cfRule>
    <cfRule type="expression" dxfId="871" priority="84">
      <formula>B154="No"</formula>
    </cfRule>
  </conditionalFormatting>
  <conditionalFormatting sqref="B171:H171">
    <cfRule type="expression" dxfId="870" priority="86">
      <formula>COUNTIF($B$6:$B$13,"No")&gt;0</formula>
    </cfRule>
    <cfRule type="expression" dxfId="869"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868" priority="32">
      <formula>C102="No"</formula>
    </cfRule>
    <cfRule type="expression" dxfId="867" priority="31">
      <formula>C102="Yes"</formula>
    </cfRule>
    <cfRule type="expression" dxfId="866"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865" priority="17">
      <formula>C131="No"</formula>
    </cfRule>
    <cfRule type="expression" dxfId="864" priority="16">
      <formula>C131="Yes"</formula>
    </cfRule>
    <cfRule type="expression" dxfId="863"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862" priority="87">
      <formula>E5="Pass"</formula>
    </cfRule>
    <cfRule type="expression" dxfId="861" priority="88">
      <formula>E5="Verify"</formula>
    </cfRule>
    <cfRule type="expression" dxfId="860" priority="89">
      <formula>E5="Fail"</formula>
    </cfRule>
    <cfRule type="expression" dxfId="859" priority="90">
      <formula>E5="Not Started"</formula>
    </cfRule>
  </conditionalFormatting>
  <conditionalFormatting sqref="F3">
    <cfRule type="expression" dxfId="858" priority="91">
      <formula>F3="Yes"</formula>
    </cfRule>
    <cfRule type="expression" dxfId="857" priority="92">
      <formula>F3="No"</formula>
    </cfRule>
  </conditionalFormatting>
  <conditionalFormatting sqref="F114:F118">
    <cfRule type="expression" dxfId="856" priority="35">
      <formula>F114="Fail"</formula>
    </cfRule>
    <cfRule type="expression" dxfId="855" priority="36">
      <formula>F114="Pending"</formula>
    </cfRule>
    <cfRule type="expression" dxfId="854"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Lookup_Lists!$L$37:$L$39</xm:f>
          </x14:formula1>
          <xm:sqref>C114:E118 J2</xm:sqref>
        </x14:dataValidation>
        <x14:dataValidation type="list" allowBlank="1" showInputMessage="1" showErrorMessage="1" xr:uid="{45BE27ED-23BC-47B0-A69D-46398179389A}">
          <x14:formula1>
            <xm:f>Lookup_Lists!$A$36:$A$42</xm:f>
          </x14:formula1>
          <xm:sqref>B93:B97 B102:B109 B131:B136</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2291</v>
      </c>
      <c r="B1" s="896"/>
      <c r="C1" s="896"/>
      <c r="D1" s="896"/>
      <c r="E1" s="896"/>
      <c r="F1" s="896"/>
      <c r="G1" s="896"/>
      <c r="H1" s="896"/>
      <c r="I1" s="896"/>
      <c r="J1" s="896"/>
    </row>
    <row r="2" spans="1:10" s="223" customFormat="1">
      <c r="A2" s="219" t="s">
        <v>142</v>
      </c>
      <c r="B2" s="220" t="s">
        <v>700</v>
      </c>
      <c r="C2" s="219" t="s">
        <v>902</v>
      </c>
      <c r="D2" s="220" t="s">
        <v>1094</v>
      </c>
      <c r="E2" s="219" t="s">
        <v>151</v>
      </c>
      <c r="F2" s="220" t="s">
        <v>1095</v>
      </c>
      <c r="G2" s="219" t="s">
        <v>174</v>
      </c>
      <c r="H2" s="221">
        <v>0.5</v>
      </c>
      <c r="I2" s="219" t="s">
        <v>154</v>
      </c>
      <c r="J2" s="222" t="s">
        <v>1096</v>
      </c>
    </row>
    <row r="3" spans="1:10" s="227" customFormat="1" ht="25.5">
      <c r="A3" s="219" t="s">
        <v>903</v>
      </c>
      <c r="B3" s="224">
        <v>46198.637558263887</v>
      </c>
      <c r="C3" s="225" t="s">
        <v>904</v>
      </c>
      <c r="D3" s="226" t="s">
        <v>721</v>
      </c>
      <c r="E3" s="219" t="s">
        <v>905</v>
      </c>
      <c r="F3" s="226" t="s">
        <v>2292</v>
      </c>
      <c r="G3" s="219" t="s">
        <v>907</v>
      </c>
      <c r="H3" s="226" t="s">
        <v>908</v>
      </c>
      <c r="I3" s="219" t="s">
        <v>551</v>
      </c>
      <c r="J3" s="226" t="s">
        <v>2293</v>
      </c>
    </row>
    <row r="4" spans="1:10" s="227" customFormat="1" ht="165.75">
      <c r="A4" s="219" t="s">
        <v>161</v>
      </c>
      <c r="B4" s="226">
        <v>0</v>
      </c>
      <c r="C4" s="219" t="s">
        <v>199</v>
      </c>
      <c r="D4" s="226">
        <v>0</v>
      </c>
      <c r="E4" s="219" t="s">
        <v>179</v>
      </c>
      <c r="F4" s="226">
        <v>0</v>
      </c>
      <c r="G4" s="219" t="s">
        <v>870</v>
      </c>
      <c r="H4" s="228" t="s">
        <v>2294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4.5" customHeight="1">
      <c r="A6" s="234" t="s">
        <v>916</v>
      </c>
      <c r="B6" s="221" t="s">
        <v>677</v>
      </c>
      <c r="C6" s="235" t="s">
        <v>869</v>
      </c>
      <c r="D6" s="604" t="s">
        <v>2295</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700</v>
      </c>
      <c r="B10" s="13" t="s">
        <v>701</v>
      </c>
      <c r="C10" s="13" t="s">
        <v>919</v>
      </c>
      <c r="D10" s="13" t="s">
        <v>2205</v>
      </c>
      <c r="E10" s="13" t="s">
        <v>356</v>
      </c>
      <c r="F10" s="13">
        <v>1</v>
      </c>
      <c r="G10" s="13">
        <v>1</v>
      </c>
      <c r="H10" s="13" t="s">
        <v>677</v>
      </c>
      <c r="I10" s="13" t="s">
        <v>2296</v>
      </c>
      <c r="J10" s="13" t="s">
        <v>2297</v>
      </c>
    </row>
    <row r="11" spans="1:10" ht="76.5">
      <c r="A11" s="13" t="s">
        <v>700</v>
      </c>
      <c r="B11" s="13" t="s">
        <v>2298</v>
      </c>
      <c r="C11" s="13" t="s">
        <v>923</v>
      </c>
      <c r="D11" s="13" t="s">
        <v>2299</v>
      </c>
      <c r="E11" s="13" t="s">
        <v>925</v>
      </c>
      <c r="F11" s="13">
        <v>1</v>
      </c>
      <c r="G11" s="13">
        <v>0</v>
      </c>
      <c r="H11" s="13" t="s">
        <v>677</v>
      </c>
      <c r="I11" s="13" t="s">
        <v>2300</v>
      </c>
      <c r="J11" s="13" t="s">
        <v>2301</v>
      </c>
    </row>
    <row r="12" spans="1:10" ht="63.75">
      <c r="A12" s="13" t="s">
        <v>700</v>
      </c>
      <c r="B12" s="13" t="s">
        <v>2302</v>
      </c>
      <c r="C12" s="13" t="s">
        <v>923</v>
      </c>
      <c r="D12" s="13" t="s">
        <v>2303</v>
      </c>
      <c r="E12" s="13" t="s">
        <v>925</v>
      </c>
      <c r="F12" s="13">
        <v>1</v>
      </c>
      <c r="G12" s="13">
        <v>0</v>
      </c>
      <c r="H12" s="13" t="s">
        <v>677</v>
      </c>
      <c r="I12" s="13" t="s">
        <v>2304</v>
      </c>
      <c r="J12" s="13" t="s">
        <v>2305</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6.5">
      <c r="A16" s="13" t="s">
        <v>701</v>
      </c>
      <c r="B16" s="13" t="s">
        <v>677</v>
      </c>
      <c r="C16" s="13" t="s">
        <v>677</v>
      </c>
      <c r="D16" s="13" t="s">
        <v>677</v>
      </c>
      <c r="E16" s="13" t="s">
        <v>677</v>
      </c>
      <c r="F16" s="13" t="s">
        <v>677</v>
      </c>
      <c r="G16" s="13" t="s">
        <v>677</v>
      </c>
      <c r="H16" s="13" t="s">
        <v>677</v>
      </c>
      <c r="I16" s="13" t="s">
        <v>677</v>
      </c>
      <c r="J16" s="13" t="s">
        <v>2306</v>
      </c>
    </row>
    <row r="17" spans="1:10" ht="51">
      <c r="A17" s="13" t="s">
        <v>2298</v>
      </c>
      <c r="B17" s="13" t="s">
        <v>946</v>
      </c>
      <c r="C17" s="13" t="s">
        <v>946</v>
      </c>
      <c r="D17" s="13" t="s">
        <v>946</v>
      </c>
      <c r="E17" s="13" t="s">
        <v>677</v>
      </c>
      <c r="F17" s="13" t="s">
        <v>677</v>
      </c>
      <c r="G17" s="13" t="s">
        <v>677</v>
      </c>
      <c r="H17" s="13" t="s">
        <v>677</v>
      </c>
      <c r="I17" s="13" t="s">
        <v>677</v>
      </c>
      <c r="J17" s="13" t="s">
        <v>2307</v>
      </c>
    </row>
    <row r="18" spans="1:10" ht="51">
      <c r="A18" s="13" t="s">
        <v>2302</v>
      </c>
      <c r="B18" s="13" t="s">
        <v>946</v>
      </c>
      <c r="C18" s="13" t="s">
        <v>946</v>
      </c>
      <c r="D18" s="13" t="s">
        <v>946</v>
      </c>
      <c r="E18" s="13" t="s">
        <v>677</v>
      </c>
      <c r="F18" s="13" t="s">
        <v>677</v>
      </c>
      <c r="G18" s="13" t="s">
        <v>677</v>
      </c>
      <c r="H18" s="13" t="s">
        <v>677</v>
      </c>
      <c r="I18" s="13" t="s">
        <v>677</v>
      </c>
      <c r="J18" s="13" t="s">
        <v>2308</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701</v>
      </c>
      <c r="B22" s="13" t="s">
        <v>677</v>
      </c>
      <c r="C22" s="13" t="s">
        <v>677</v>
      </c>
      <c r="D22" s="13" t="s">
        <v>677</v>
      </c>
      <c r="E22" s="13" t="s">
        <v>677</v>
      </c>
      <c r="F22" s="13" t="s">
        <v>677</v>
      </c>
      <c r="G22" s="13" t="s">
        <v>677</v>
      </c>
      <c r="H22" s="13" t="s">
        <v>677</v>
      </c>
      <c r="I22" s="13" t="s">
        <v>677</v>
      </c>
      <c r="J22" s="13" t="s">
        <v>2214</v>
      </c>
    </row>
    <row r="23" spans="1:10" ht="51">
      <c r="A23" s="13" t="s">
        <v>2298</v>
      </c>
      <c r="B23" s="13" t="s">
        <v>677</v>
      </c>
      <c r="C23" s="13" t="s">
        <v>679</v>
      </c>
      <c r="D23" s="13" t="s">
        <v>677</v>
      </c>
      <c r="E23" s="13" t="s">
        <v>677</v>
      </c>
      <c r="F23" s="13" t="s">
        <v>677</v>
      </c>
      <c r="G23" s="13" t="s">
        <v>677</v>
      </c>
      <c r="H23" s="13" t="s">
        <v>677</v>
      </c>
      <c r="I23" s="13" t="s">
        <v>677</v>
      </c>
      <c r="J23" s="13" t="s">
        <v>2309</v>
      </c>
    </row>
    <row r="24" spans="1:10" ht="38.25">
      <c r="A24" s="13" t="s">
        <v>2302</v>
      </c>
      <c r="B24" s="13" t="s">
        <v>677</v>
      </c>
      <c r="C24" s="13" t="s">
        <v>679</v>
      </c>
      <c r="D24" s="13" t="s">
        <v>677</v>
      </c>
      <c r="E24" s="13" t="s">
        <v>677</v>
      </c>
      <c r="F24" s="13" t="s">
        <v>677</v>
      </c>
      <c r="G24" s="13" t="s">
        <v>677</v>
      </c>
      <c r="H24" s="13" t="s">
        <v>677</v>
      </c>
      <c r="I24" s="13" t="s">
        <v>677</v>
      </c>
      <c r="J24" s="13" t="s">
        <v>2310</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701</v>
      </c>
      <c r="B28" s="13" t="s">
        <v>972</v>
      </c>
      <c r="C28" s="13" t="s">
        <v>677</v>
      </c>
      <c r="D28" s="13" t="s">
        <v>677</v>
      </c>
      <c r="E28" s="13" t="s">
        <v>677</v>
      </c>
      <c r="F28" s="13" t="s">
        <v>677</v>
      </c>
      <c r="G28" s="13" t="s">
        <v>677</v>
      </c>
      <c r="H28" s="13" t="s">
        <v>677</v>
      </c>
      <c r="I28" s="13" t="s">
        <v>677</v>
      </c>
      <c r="J28" s="13" t="s">
        <v>2311</v>
      </c>
    </row>
    <row r="29" spans="1:10" ht="51">
      <c r="A29" s="13" t="s">
        <v>2298</v>
      </c>
      <c r="B29" s="13" t="s">
        <v>946</v>
      </c>
      <c r="C29" s="13" t="s">
        <v>677</v>
      </c>
      <c r="D29" s="13" t="s">
        <v>677</v>
      </c>
      <c r="E29" s="13" t="s">
        <v>677</v>
      </c>
      <c r="F29" s="13" t="s">
        <v>677</v>
      </c>
      <c r="G29" s="13" t="s">
        <v>677</v>
      </c>
      <c r="H29" s="13" t="s">
        <v>677</v>
      </c>
      <c r="I29" s="13" t="s">
        <v>677</v>
      </c>
      <c r="J29" s="13" t="s">
        <v>2312</v>
      </c>
    </row>
    <row r="30" spans="1:10" ht="38.25">
      <c r="A30" s="13" t="s">
        <v>2302</v>
      </c>
      <c r="B30" s="13" t="s">
        <v>946</v>
      </c>
      <c r="C30" s="13" t="s">
        <v>677</v>
      </c>
      <c r="D30" s="13" t="s">
        <v>677</v>
      </c>
      <c r="E30" s="13" t="s">
        <v>677</v>
      </c>
      <c r="F30" s="13" t="s">
        <v>677</v>
      </c>
      <c r="G30" s="13" t="s">
        <v>677</v>
      </c>
      <c r="H30" s="13" t="s">
        <v>677</v>
      </c>
      <c r="I30" s="13" t="s">
        <v>677</v>
      </c>
      <c r="J30" s="13" t="s">
        <v>2313</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701</v>
      </c>
      <c r="B34" s="13" t="s">
        <v>677</v>
      </c>
      <c r="C34" s="13" t="s">
        <v>2219</v>
      </c>
      <c r="D34" s="13" t="s">
        <v>677</v>
      </c>
      <c r="E34" s="13" t="s">
        <v>677</v>
      </c>
      <c r="F34" s="13" t="s">
        <v>2314</v>
      </c>
      <c r="G34" s="13" t="s">
        <v>677</v>
      </c>
      <c r="H34" s="13" t="s">
        <v>677</v>
      </c>
      <c r="I34" s="13" t="s">
        <v>677</v>
      </c>
      <c r="J34" s="13" t="s">
        <v>2315</v>
      </c>
    </row>
    <row r="35" spans="1:10" ht="63.75">
      <c r="A35" s="13" t="s">
        <v>2298</v>
      </c>
      <c r="B35" s="13" t="s">
        <v>988</v>
      </c>
      <c r="C35" s="13" t="s">
        <v>988</v>
      </c>
      <c r="D35" s="13" t="s">
        <v>988</v>
      </c>
      <c r="E35" s="13" t="s">
        <v>677</v>
      </c>
      <c r="F35" s="13" t="s">
        <v>946</v>
      </c>
      <c r="G35" s="13" t="s">
        <v>677</v>
      </c>
      <c r="H35" s="13" t="s">
        <v>677</v>
      </c>
      <c r="I35" s="13" t="s">
        <v>677</v>
      </c>
      <c r="J35" s="13" t="s">
        <v>2316</v>
      </c>
    </row>
    <row r="36" spans="1:10" ht="38.25">
      <c r="A36" s="13" t="s">
        <v>2302</v>
      </c>
      <c r="B36" s="13" t="s">
        <v>946</v>
      </c>
      <c r="C36" s="13" t="s">
        <v>946</v>
      </c>
      <c r="D36" s="13" t="s">
        <v>946</v>
      </c>
      <c r="E36" s="13" t="s">
        <v>677</v>
      </c>
      <c r="F36" s="13" t="s">
        <v>946</v>
      </c>
      <c r="G36" s="13" t="s">
        <v>677</v>
      </c>
      <c r="H36" s="13" t="s">
        <v>677</v>
      </c>
      <c r="I36" s="13" t="s">
        <v>677</v>
      </c>
      <c r="J36" s="13" t="s">
        <v>2317</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701</v>
      </c>
      <c r="B40" s="13" t="s">
        <v>677</v>
      </c>
      <c r="C40" s="13" t="s">
        <v>677</v>
      </c>
      <c r="D40" s="13" t="s">
        <v>677</v>
      </c>
      <c r="E40" s="13" t="s">
        <v>677</v>
      </c>
      <c r="F40" s="13" t="s">
        <v>677</v>
      </c>
      <c r="G40" s="13" t="s">
        <v>677</v>
      </c>
      <c r="H40" s="13" t="s">
        <v>677</v>
      </c>
      <c r="I40" s="13" t="s">
        <v>677</v>
      </c>
      <c r="J40" s="13" t="s">
        <v>2318</v>
      </c>
    </row>
    <row r="41" spans="1:10" ht="76.5">
      <c r="A41" s="13" t="s">
        <v>2298</v>
      </c>
      <c r="B41" s="13" t="s">
        <v>988</v>
      </c>
      <c r="C41" s="13" t="s">
        <v>988</v>
      </c>
      <c r="D41" s="13" t="s">
        <v>988</v>
      </c>
      <c r="E41" s="13" t="s">
        <v>677</v>
      </c>
      <c r="F41" s="13" t="s">
        <v>677</v>
      </c>
      <c r="G41" s="13" t="s">
        <v>677</v>
      </c>
      <c r="H41" s="13" t="s">
        <v>677</v>
      </c>
      <c r="I41" s="13" t="s">
        <v>677</v>
      </c>
      <c r="J41" s="13" t="s">
        <v>2319</v>
      </c>
    </row>
    <row r="42" spans="1:10" ht="51">
      <c r="A42" s="13" t="s">
        <v>2302</v>
      </c>
      <c r="B42" s="13" t="s">
        <v>988</v>
      </c>
      <c r="C42" s="13" t="s">
        <v>988</v>
      </c>
      <c r="D42" s="13" t="s">
        <v>988</v>
      </c>
      <c r="E42" s="13" t="s">
        <v>677</v>
      </c>
      <c r="F42" s="13" t="s">
        <v>677</v>
      </c>
      <c r="G42" s="13" t="s">
        <v>677</v>
      </c>
      <c r="H42" s="13" t="s">
        <v>677</v>
      </c>
      <c r="I42" s="13" t="s">
        <v>677</v>
      </c>
      <c r="J42" s="13" t="s">
        <v>2320</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701</v>
      </c>
      <c r="B46" s="13" t="s">
        <v>677</v>
      </c>
      <c r="C46" s="13" t="s">
        <v>677</v>
      </c>
      <c r="D46" s="13" t="s">
        <v>677</v>
      </c>
      <c r="E46" s="13" t="s">
        <v>677</v>
      </c>
      <c r="F46" s="13" t="s">
        <v>677</v>
      </c>
      <c r="G46" s="13" t="s">
        <v>677</v>
      </c>
      <c r="H46" s="13" t="s">
        <v>677</v>
      </c>
      <c r="I46" s="13" t="s">
        <v>677</v>
      </c>
      <c r="J46" s="13" t="s">
        <v>2321</v>
      </c>
    </row>
    <row r="47" spans="1:10" ht="51">
      <c r="A47" s="13" t="s">
        <v>2298</v>
      </c>
      <c r="B47" s="13" t="s">
        <v>677</v>
      </c>
      <c r="C47" s="13" t="s">
        <v>677</v>
      </c>
      <c r="D47" s="13" t="s">
        <v>677</v>
      </c>
      <c r="E47" s="13" t="s">
        <v>677</v>
      </c>
      <c r="F47" s="13" t="s">
        <v>677</v>
      </c>
      <c r="G47" s="13" t="s">
        <v>677</v>
      </c>
      <c r="H47" s="13" t="s">
        <v>677</v>
      </c>
      <c r="I47" s="13" t="s">
        <v>677</v>
      </c>
      <c r="J47" s="13" t="s">
        <v>2322</v>
      </c>
    </row>
    <row r="48" spans="1:10" ht="38.25">
      <c r="A48" s="13" t="s">
        <v>2302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3.75">
      <c r="A52" s="13" t="s">
        <v>2324</v>
      </c>
      <c r="B52" s="13" t="s">
        <v>575</v>
      </c>
      <c r="C52" s="13" t="s">
        <v>2325</v>
      </c>
      <c r="D52" s="13" t="s">
        <v>391</v>
      </c>
      <c r="E52" s="13" t="s">
        <v>488</v>
      </c>
      <c r="F52" s="13">
        <v>6</v>
      </c>
      <c r="G52" s="13" t="s">
        <v>1381</v>
      </c>
      <c r="H52" s="13" t="s">
        <v>1023</v>
      </c>
      <c r="I52" s="13" t="s">
        <v>502</v>
      </c>
      <c r="J52" s="13" t="s">
        <v>2326</v>
      </c>
    </row>
    <row r="53" spans="1:10" ht="63.75">
      <c r="A53" s="13" t="s">
        <v>2327</v>
      </c>
      <c r="B53" s="13" t="s">
        <v>701</v>
      </c>
      <c r="C53" s="13" t="s">
        <v>2231</v>
      </c>
      <c r="D53" s="13" t="s">
        <v>391</v>
      </c>
      <c r="E53" s="13" t="s">
        <v>488</v>
      </c>
      <c r="F53" s="13">
        <v>6</v>
      </c>
      <c r="G53" s="13" t="s">
        <v>2232</v>
      </c>
      <c r="H53" s="13" t="s">
        <v>1858</v>
      </c>
      <c r="I53" s="13" t="s">
        <v>502</v>
      </c>
      <c r="J53" s="13" t="s">
        <v>2328</v>
      </c>
    </row>
    <row r="54" spans="1:10" ht="76.5">
      <c r="A54" s="13" t="s">
        <v>2329</v>
      </c>
      <c r="B54" s="13" t="s">
        <v>2330</v>
      </c>
      <c r="C54" s="13" t="s">
        <v>2331</v>
      </c>
      <c r="D54" s="13" t="s">
        <v>492</v>
      </c>
      <c r="E54" s="13" t="s">
        <v>488</v>
      </c>
      <c r="F54" s="13">
        <v>8</v>
      </c>
      <c r="G54" s="13" t="s">
        <v>2236</v>
      </c>
      <c r="H54" s="13" t="s">
        <v>584</v>
      </c>
      <c r="I54" s="13" t="s">
        <v>502</v>
      </c>
      <c r="J54" s="13" t="s">
        <v>2332</v>
      </c>
    </row>
    <row r="55" spans="1:10" ht="76.5">
      <c r="A55" s="13" t="s">
        <v>2333</v>
      </c>
      <c r="B55" s="13" t="s">
        <v>701</v>
      </c>
      <c r="C55" s="13" t="s">
        <v>593</v>
      </c>
      <c r="D55" s="13" t="s">
        <v>492</v>
      </c>
      <c r="E55" s="13" t="s">
        <v>488</v>
      </c>
      <c r="F55" s="13">
        <v>8</v>
      </c>
      <c r="G55" s="13" t="s">
        <v>2239</v>
      </c>
      <c r="H55" s="13" t="s">
        <v>592</v>
      </c>
      <c r="I55" s="13" t="s">
        <v>502</v>
      </c>
      <c r="J55" s="13" t="s">
        <v>1028</v>
      </c>
    </row>
    <row r="56" spans="1:10" ht="89.25">
      <c r="A56" s="13" t="s">
        <v>2334</v>
      </c>
      <c r="B56" s="13" t="s">
        <v>701</v>
      </c>
      <c r="C56" s="13" t="s">
        <v>2241</v>
      </c>
      <c r="D56" s="13" t="s">
        <v>391</v>
      </c>
      <c r="E56" s="13" t="s">
        <v>488</v>
      </c>
      <c r="F56" s="13">
        <v>6</v>
      </c>
      <c r="G56" s="13" t="s">
        <v>2335</v>
      </c>
      <c r="H56" s="13" t="s">
        <v>1032</v>
      </c>
      <c r="I56" s="13" t="s">
        <v>502</v>
      </c>
      <c r="J56" s="13" t="s">
        <v>2336</v>
      </c>
    </row>
    <row r="57" spans="1:10" ht="102">
      <c r="A57" s="13" t="s">
        <v>2337</v>
      </c>
      <c r="B57" s="13" t="s">
        <v>701</v>
      </c>
      <c r="C57" s="13" t="s">
        <v>2245</v>
      </c>
      <c r="D57" s="13" t="s">
        <v>391</v>
      </c>
      <c r="E57" s="13" t="s">
        <v>488</v>
      </c>
      <c r="F57" s="13">
        <v>6</v>
      </c>
      <c r="G57" s="13" t="s">
        <v>2246</v>
      </c>
      <c r="H57" s="13" t="s">
        <v>1403</v>
      </c>
      <c r="I57" s="13" t="s">
        <v>502</v>
      </c>
      <c r="J57" s="13" t="s">
        <v>2247</v>
      </c>
    </row>
    <row r="58" spans="1:10" ht="76.5">
      <c r="A58" s="13" t="s">
        <v>2338</v>
      </c>
      <c r="B58" s="13" t="s">
        <v>575</v>
      </c>
      <c r="C58" s="13" t="s">
        <v>2339</v>
      </c>
      <c r="D58" s="13" t="s">
        <v>492</v>
      </c>
      <c r="E58" s="13" t="s">
        <v>488</v>
      </c>
      <c r="F58" s="13">
        <v>8</v>
      </c>
      <c r="G58" s="13" t="s">
        <v>1039</v>
      </c>
      <c r="H58" s="13" t="s">
        <v>584</v>
      </c>
      <c r="I58" s="13" t="s">
        <v>502</v>
      </c>
      <c r="J58" s="13" t="s">
        <v>2340</v>
      </c>
    </row>
    <row r="59" spans="1:10" ht="89.25">
      <c r="A59" s="13" t="s">
        <v>2341</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2342</v>
      </c>
      <c r="B63" s="13" t="s">
        <v>2343</v>
      </c>
      <c r="C63" s="13" t="s">
        <v>579</v>
      </c>
      <c r="D63" s="13" t="s">
        <v>502</v>
      </c>
      <c r="E63" s="13"/>
      <c r="F63" s="13"/>
      <c r="G63" s="13" t="s">
        <v>580</v>
      </c>
      <c r="H63" s="13"/>
      <c r="I63" s="13"/>
      <c r="J63" s="13"/>
    </row>
    <row r="64" spans="1:10" ht="51">
      <c r="A64" s="13" t="s">
        <v>2344</v>
      </c>
      <c r="B64" s="13" t="s">
        <v>2345</v>
      </c>
      <c r="C64" s="13" t="s">
        <v>587</v>
      </c>
      <c r="D64" s="13" t="s">
        <v>502</v>
      </c>
      <c r="E64" s="13"/>
      <c r="F64" s="13"/>
      <c r="G64" s="13" t="s">
        <v>588</v>
      </c>
      <c r="H64" s="13"/>
      <c r="I64" s="13"/>
      <c r="J64" s="13"/>
    </row>
    <row r="65" spans="1:10" ht="63.75">
      <c r="A65" s="13" t="s">
        <v>2346</v>
      </c>
      <c r="B65" s="13" t="s">
        <v>2347</v>
      </c>
      <c r="C65" s="13" t="s">
        <v>1858</v>
      </c>
      <c r="D65" s="13" t="s">
        <v>502</v>
      </c>
      <c r="E65" s="13"/>
      <c r="F65" s="13"/>
      <c r="G65" s="13" t="s">
        <v>1859</v>
      </c>
      <c r="H65" s="13"/>
      <c r="I65" s="13"/>
      <c r="J65" s="13"/>
    </row>
    <row r="66" spans="1:10" ht="76.5">
      <c r="A66" s="13" t="s">
        <v>2348</v>
      </c>
      <c r="B66" s="13" t="s">
        <v>2349</v>
      </c>
      <c r="C66" s="13" t="s">
        <v>601</v>
      </c>
      <c r="D66" s="13" t="s">
        <v>502</v>
      </c>
      <c r="E66" s="13"/>
      <c r="F66" s="13"/>
      <c r="G66" s="13" t="s">
        <v>602</v>
      </c>
      <c r="H66" s="13"/>
      <c r="I66" s="13"/>
      <c r="J66" s="13"/>
    </row>
    <row r="67" spans="1:10" ht="63.75">
      <c r="A67" s="13" t="s">
        <v>2350</v>
      </c>
      <c r="B67" s="13" t="s">
        <v>2351</v>
      </c>
      <c r="C67" s="13" t="s">
        <v>609</v>
      </c>
      <c r="D67" s="13" t="s">
        <v>502</v>
      </c>
      <c r="E67" s="13"/>
      <c r="F67" s="13"/>
      <c r="G67" s="13" t="s">
        <v>610</v>
      </c>
      <c r="H67" s="13"/>
      <c r="I67" s="13"/>
      <c r="J67" s="13"/>
    </row>
    <row r="68" spans="1:10" ht="76.5">
      <c r="A68" s="13" t="s">
        <v>2352</v>
      </c>
      <c r="B68" s="13" t="s">
        <v>2353</v>
      </c>
      <c r="C68" s="13" t="s">
        <v>616</v>
      </c>
      <c r="D68" s="13" t="s">
        <v>502</v>
      </c>
      <c r="E68" s="13"/>
      <c r="F68" s="13"/>
      <c r="G68" s="13" t="s">
        <v>617</v>
      </c>
      <c r="H68" s="13"/>
      <c r="I68" s="13"/>
      <c r="J68" s="13"/>
    </row>
    <row r="69" spans="1:10" ht="89.25">
      <c r="A69" s="13" t="s">
        <v>2354</v>
      </c>
      <c r="B69" s="13" t="s">
        <v>624</v>
      </c>
      <c r="C69" s="13" t="s">
        <v>622</v>
      </c>
      <c r="D69" s="13" t="s">
        <v>502</v>
      </c>
      <c r="E69" s="13"/>
      <c r="F69" s="13"/>
      <c r="G69" s="13" t="s">
        <v>623</v>
      </c>
      <c r="H69" s="13"/>
      <c r="I69" s="13"/>
      <c r="J69" s="13"/>
    </row>
    <row r="70" spans="1:10" ht="76.5">
      <c r="A70" s="13" t="s">
        <v>2355</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2356</v>
      </c>
      <c r="B74" s="13" t="s">
        <v>701</v>
      </c>
      <c r="C74" s="13" t="s">
        <v>269</v>
      </c>
      <c r="D74" s="13" t="s">
        <v>2357</v>
      </c>
      <c r="E74" s="13"/>
      <c r="F74" s="13" t="s">
        <v>229</v>
      </c>
      <c r="G74" s="13"/>
      <c r="H74" s="13" t="s">
        <v>2358</v>
      </c>
      <c r="I74" s="13" t="s">
        <v>502</v>
      </c>
      <c r="J74" s="13"/>
    </row>
    <row r="75" spans="1:10" ht="102">
      <c r="A75" s="13" t="s">
        <v>2359</v>
      </c>
      <c r="B75" s="13" t="s">
        <v>2298</v>
      </c>
      <c r="C75" s="13" t="s">
        <v>269</v>
      </c>
      <c r="D75" s="13" t="s">
        <v>2360</v>
      </c>
      <c r="E75" s="13"/>
      <c r="F75" s="13" t="s">
        <v>229</v>
      </c>
      <c r="G75" s="13"/>
      <c r="H75" s="13" t="s">
        <v>2361</v>
      </c>
      <c r="I75" s="13" t="s">
        <v>502</v>
      </c>
      <c r="J75" s="13"/>
    </row>
    <row r="76" spans="1:10" ht="89.25">
      <c r="A76" s="13" t="s">
        <v>2362</v>
      </c>
      <c r="B76" s="13" t="s">
        <v>2302</v>
      </c>
      <c r="C76" s="13" t="s">
        <v>269</v>
      </c>
      <c r="D76" s="13" t="s">
        <v>2363</v>
      </c>
      <c r="E76" s="13"/>
      <c r="F76" s="13" t="s">
        <v>229</v>
      </c>
      <c r="G76" s="13"/>
      <c r="H76" s="13" t="s">
        <v>2361</v>
      </c>
      <c r="I76" s="13" t="s">
        <v>502</v>
      </c>
      <c r="J76" s="13"/>
    </row>
    <row r="77" spans="1:10" ht="89.25">
      <c r="A77" s="13" t="s">
        <v>2364</v>
      </c>
      <c r="B77" s="13" t="s">
        <v>701</v>
      </c>
      <c r="C77" s="13" t="s">
        <v>749</v>
      </c>
      <c r="D77" s="13" t="s">
        <v>2274</v>
      </c>
      <c r="E77" s="13"/>
      <c r="F77" s="13" t="s">
        <v>229</v>
      </c>
      <c r="G77" s="13"/>
      <c r="H77" s="13" t="s">
        <v>2327</v>
      </c>
      <c r="I77" s="13" t="s">
        <v>502</v>
      </c>
      <c r="J77" s="13"/>
    </row>
    <row r="78" spans="1:10" ht="63.75">
      <c r="A78" s="13" t="s">
        <v>2365</v>
      </c>
      <c r="B78" s="13" t="s">
        <v>701</v>
      </c>
      <c r="C78" s="13" t="s">
        <v>957</v>
      </c>
      <c r="D78" s="13" t="s">
        <v>1659</v>
      </c>
      <c r="E78" s="13"/>
      <c r="F78" s="13" t="s">
        <v>229</v>
      </c>
      <c r="G78" s="13"/>
      <c r="H78" s="13" t="s">
        <v>2337</v>
      </c>
      <c r="I78" s="13" t="s">
        <v>502</v>
      </c>
      <c r="J78" s="13"/>
    </row>
    <row r="79" spans="1:10" ht="89.25">
      <c r="A79" s="13" t="s">
        <v>2366</v>
      </c>
      <c r="B79" s="13" t="s">
        <v>701</v>
      </c>
      <c r="C79" s="13" t="s">
        <v>148</v>
      </c>
      <c r="D79" s="13" t="s">
        <v>2081</v>
      </c>
      <c r="E79" s="13"/>
      <c r="F79" s="13" t="s">
        <v>229</v>
      </c>
      <c r="G79" s="13"/>
      <c r="H79" s="13" t="s">
        <v>2333</v>
      </c>
      <c r="I79" s="13" t="s">
        <v>502</v>
      </c>
      <c r="J79" s="13"/>
    </row>
    <row r="80" spans="1:10" ht="89.25">
      <c r="A80" s="13" t="s">
        <v>2367</v>
      </c>
      <c r="B80" s="13" t="s">
        <v>701</v>
      </c>
      <c r="C80" s="13" t="s">
        <v>153</v>
      </c>
      <c r="D80" s="13" t="s">
        <v>2368</v>
      </c>
      <c r="E80" s="13"/>
      <c r="F80" s="13" t="s">
        <v>229</v>
      </c>
      <c r="G80" s="13"/>
      <c r="H80" s="13" t="s">
        <v>2334</v>
      </c>
      <c r="I80" s="13" t="s">
        <v>502</v>
      </c>
      <c r="J80" s="13"/>
    </row>
    <row r="81" spans="1:10" ht="102">
      <c r="A81" s="13" t="s">
        <v>2369</v>
      </c>
      <c r="B81" s="13" t="s">
        <v>2370</v>
      </c>
      <c r="C81" s="13" t="s">
        <v>1975</v>
      </c>
      <c r="D81" s="13" t="s">
        <v>2371</v>
      </c>
      <c r="E81" s="13"/>
      <c r="F81" s="13" t="s">
        <v>229</v>
      </c>
      <c r="G81" s="13"/>
      <c r="H81" s="13" t="s">
        <v>2372</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701</v>
      </c>
      <c r="B85" s="13">
        <v>0.5</v>
      </c>
      <c r="C85" s="13">
        <v>0.5</v>
      </c>
      <c r="D85" s="13">
        <v>0.5</v>
      </c>
      <c r="E85" s="13">
        <v>0.5</v>
      </c>
      <c r="F85" s="13">
        <v>0.5</v>
      </c>
      <c r="G85" s="13" t="s">
        <v>677</v>
      </c>
      <c r="H85" s="13">
        <v>0.5</v>
      </c>
      <c r="I85" s="13" t="s">
        <v>1201</v>
      </c>
      <c r="J85" s="13" t="s">
        <v>2373</v>
      </c>
    </row>
    <row r="86" spans="1:10" ht="38.25">
      <c r="A86" s="13" t="s">
        <v>2298</v>
      </c>
      <c r="B86" s="13">
        <v>0.5</v>
      </c>
      <c r="C86" s="13">
        <v>0.5</v>
      </c>
      <c r="D86" s="13">
        <v>0.5</v>
      </c>
      <c r="E86" s="13">
        <v>0.5</v>
      </c>
      <c r="F86" s="13">
        <v>0.5</v>
      </c>
      <c r="G86" s="13" t="s">
        <v>677</v>
      </c>
      <c r="H86" s="13">
        <v>0.5</v>
      </c>
      <c r="I86" s="13" t="s">
        <v>1201</v>
      </c>
      <c r="J86" s="13" t="s">
        <v>2374</v>
      </c>
    </row>
    <row r="87" spans="1:10" ht="38.25">
      <c r="A87" s="13" t="s">
        <v>2302</v>
      </c>
      <c r="B87" s="13">
        <v>0.5</v>
      </c>
      <c r="C87" s="13">
        <v>0.5</v>
      </c>
      <c r="D87" s="13">
        <v>0.5</v>
      </c>
      <c r="E87" s="13">
        <v>0.5</v>
      </c>
      <c r="F87" s="13">
        <v>0.5</v>
      </c>
      <c r="G87" s="13" t="s">
        <v>677</v>
      </c>
      <c r="H87" s="13">
        <v>0.5</v>
      </c>
      <c r="I87" s="13" t="s">
        <v>1201</v>
      </c>
      <c r="J87" s="13" t="s">
        <v>2375</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38.25">
      <c r="A90" s="50" t="s">
        <v>905</v>
      </c>
      <c r="B90" s="50" t="s">
        <v>803</v>
      </c>
      <c r="C90" s="50"/>
      <c r="D90" s="50"/>
      <c r="E90" s="50"/>
      <c r="F90" s="50"/>
      <c r="G90" s="50"/>
      <c r="H90" s="50"/>
      <c r="I90" s="50"/>
      <c r="J90" s="50"/>
    </row>
    <row r="91" spans="1:10" ht="191.25">
      <c r="A91" s="13" t="s">
        <v>1086</v>
      </c>
      <c r="B91" s="13" t="s">
        <v>2376</v>
      </c>
      <c r="C91" s="13"/>
      <c r="D91" s="13"/>
      <c r="E91" s="13"/>
      <c r="F91" s="13"/>
      <c r="G91" s="13"/>
      <c r="H91" s="13"/>
      <c r="I91" s="13"/>
      <c r="J91" s="13"/>
    </row>
    <row r="92" spans="1:10" ht="140.25">
      <c r="A92" s="13" t="s">
        <v>2090</v>
      </c>
      <c r="B92" s="13" t="s">
        <v>2377</v>
      </c>
      <c r="C92" s="13"/>
      <c r="D92" s="13"/>
      <c r="E92" s="13"/>
      <c r="F92" s="13"/>
      <c r="G92" s="13"/>
      <c r="H92" s="13"/>
      <c r="I92" s="13"/>
      <c r="J92" s="13"/>
    </row>
    <row r="93" spans="1:10" ht="216.75">
      <c r="A93" s="13" t="s">
        <v>1088</v>
      </c>
      <c r="B93" s="13" t="s">
        <v>2378</v>
      </c>
      <c r="C93" s="13"/>
      <c r="D93" s="13"/>
      <c r="E93" s="13"/>
      <c r="F93" s="13"/>
      <c r="G93" s="13"/>
      <c r="H93" s="13"/>
      <c r="I93" s="13"/>
      <c r="J93" s="13"/>
    </row>
    <row r="94" spans="1:10" ht="153">
      <c r="A94" s="13" t="s">
        <v>1089</v>
      </c>
      <c r="B94" s="13" t="s">
        <v>2379</v>
      </c>
      <c r="C94" s="13"/>
      <c r="D94" s="13"/>
      <c r="E94" s="13"/>
      <c r="F94" s="13"/>
      <c r="G94" s="13"/>
      <c r="H94" s="13"/>
      <c r="I94" s="13"/>
      <c r="J94" s="13"/>
    </row>
    <row r="95" spans="1:10" ht="153">
      <c r="A95" s="13" t="s">
        <v>1090</v>
      </c>
      <c r="B95" s="13" t="s">
        <v>2380</v>
      </c>
      <c r="C95" s="13"/>
      <c r="D95" s="13"/>
      <c r="E95" s="13"/>
      <c r="F95" s="13"/>
      <c r="G95" s="13"/>
      <c r="H95" s="13"/>
      <c r="I95" s="13"/>
      <c r="J95" s="13"/>
    </row>
    <row r="96" spans="1:10" ht="191.25">
      <c r="A96" s="13" t="s">
        <v>1563</v>
      </c>
      <c r="B96" s="13" t="s">
        <v>1776</v>
      </c>
      <c r="C96" s="13"/>
      <c r="D96" s="13"/>
      <c r="E96" s="13"/>
      <c r="F96" s="13"/>
      <c r="G96" s="13"/>
      <c r="H96" s="13"/>
      <c r="I96" s="13"/>
      <c r="J96" s="13"/>
    </row>
    <row r="98" spans="1:10" ht="15.75" thickBot="1"/>
    <row r="99" spans="1:10">
      <c r="A99" s="605" t="s">
        <v>5668</v>
      </c>
      <c r="B99" s="602"/>
      <c r="C99" s="602"/>
      <c r="D99" s="606"/>
      <c r="E99" s="602"/>
      <c r="F99" s="602"/>
      <c r="G99" s="606"/>
      <c r="H99" s="606"/>
      <c r="I99" s="606"/>
      <c r="J99" s="607"/>
    </row>
    <row r="100" spans="1:10">
      <c r="A100" s="321" t="s">
        <v>5610</v>
      </c>
      <c r="B100" s="322" t="s">
        <v>77</v>
      </c>
      <c r="C100" s="322" t="s">
        <v>5611</v>
      </c>
      <c r="D100" s="322" t="s">
        <v>5612</v>
      </c>
      <c r="E100" s="322" t="s">
        <v>5634</v>
      </c>
      <c r="F100" s="322" t="s">
        <v>5601</v>
      </c>
      <c r="G100" s="578" t="s">
        <v>5635</v>
      </c>
      <c r="H100" s="578"/>
      <c r="I100" s="578"/>
      <c r="J100" s="579"/>
    </row>
    <row r="101" spans="1:10" ht="25.5">
      <c r="A101" s="323" t="s">
        <v>5613</v>
      </c>
      <c r="B101" s="333" t="s">
        <v>484</v>
      </c>
      <c r="C101" s="325">
        <v>0</v>
      </c>
      <c r="D101" s="325">
        <v>0</v>
      </c>
      <c r="E101" s="192" t="s">
        <v>5674</v>
      </c>
      <c r="F101" s="325">
        <f>IF(AND(C101&lt;&gt;"",D101&lt;&gt;""),D101-C101,"")</f>
        <v>0</v>
      </c>
      <c r="G101" s="608"/>
      <c r="H101" s="608"/>
      <c r="I101" s="608"/>
      <c r="J101" s="609"/>
    </row>
    <row r="102" spans="1:10" ht="25.5">
      <c r="A102" s="326" t="s">
        <v>5614</v>
      </c>
      <c r="B102" s="333" t="s">
        <v>484</v>
      </c>
      <c r="C102" s="327">
        <v>1</v>
      </c>
      <c r="D102" s="327">
        <v>0</v>
      </c>
      <c r="E102" s="310" t="s">
        <v>5675</v>
      </c>
      <c r="F102" s="327">
        <f>IF(AND(C102&lt;&gt;"",D102&lt;&gt;""),D102-C102,"")</f>
        <v>-1</v>
      </c>
      <c r="G102" s="610"/>
      <c r="H102" s="610"/>
      <c r="I102" s="610"/>
      <c r="J102" s="611"/>
    </row>
    <row r="103" spans="1:10">
      <c r="A103" s="323" t="s">
        <v>5615</v>
      </c>
      <c r="B103" s="333" t="s">
        <v>484</v>
      </c>
      <c r="C103" s="327">
        <v>1</v>
      </c>
      <c r="D103" s="327">
        <v>0</v>
      </c>
      <c r="E103" s="310" t="s">
        <v>5675</v>
      </c>
      <c r="F103" s="325">
        <f>IF(AND(C103&lt;&gt;"",D103&lt;&gt;""),D103-C103,"")</f>
        <v>-1</v>
      </c>
      <c r="G103" s="328"/>
      <c r="H103" s="227"/>
      <c r="I103" s="227"/>
      <c r="J103" s="329"/>
    </row>
    <row r="104" spans="1:10">
      <c r="A104" s="326" t="s">
        <v>5616</v>
      </c>
      <c r="B104" s="333" t="s">
        <v>484</v>
      </c>
      <c r="C104" s="327">
        <v>1</v>
      </c>
      <c r="D104" s="327">
        <v>0</v>
      </c>
      <c r="E104" s="310" t="s">
        <v>5675</v>
      </c>
      <c r="F104" s="327">
        <f>IF(AND(C104&lt;&gt;"",D104&lt;&gt;""),D104-C104,"")</f>
        <v>-1</v>
      </c>
      <c r="G104" s="610"/>
      <c r="H104" s="610"/>
      <c r="I104" s="610"/>
      <c r="J104" s="611"/>
    </row>
    <row r="105" spans="1:10">
      <c r="A105" s="323" t="s">
        <v>5168</v>
      </c>
      <c r="B105" s="333" t="s">
        <v>484</v>
      </c>
      <c r="C105" s="327">
        <v>1</v>
      </c>
      <c r="D105" s="327">
        <v>0</v>
      </c>
      <c r="E105" s="310" t="s">
        <v>5675</v>
      </c>
      <c r="F105" s="325">
        <f>IF(AND(C105&lt;&gt;"",D105&lt;&gt;""),D105-C105,"")</f>
        <v>-1</v>
      </c>
      <c r="G105" s="328"/>
      <c r="H105" s="227"/>
      <c r="I105" s="227"/>
      <c r="J105" s="329"/>
    </row>
    <row r="106" spans="1:10" ht="15.75">
      <c r="A106" s="585" t="s">
        <v>5636</v>
      </c>
      <c r="B106" s="586"/>
      <c r="C106" s="330">
        <f>IFERROR(AVERAGE(C101:C105),"")</f>
        <v>0.8</v>
      </c>
      <c r="D106" s="330">
        <f>IFERROR(AVERAGE(D101:D105),"")</f>
        <v>0</v>
      </c>
      <c r="E106" s="589" t="s">
        <v>5637</v>
      </c>
      <c r="F106" s="589"/>
      <c r="G106" s="589"/>
      <c r="H106" s="589"/>
      <c r="I106" s="589"/>
      <c r="J106" s="590"/>
    </row>
    <row r="107" spans="1:10">
      <c r="A107" s="331"/>
      <c r="B107" s="316"/>
      <c r="C107" s="316"/>
      <c r="D107" s="316"/>
      <c r="E107" s="316"/>
      <c r="F107" s="316"/>
      <c r="G107" s="316"/>
      <c r="H107" s="227"/>
      <c r="I107" s="227"/>
      <c r="J107" s="329"/>
    </row>
    <row r="108" spans="1:10">
      <c r="A108" s="574" t="s">
        <v>5669</v>
      </c>
      <c r="B108" s="582"/>
      <c r="C108" s="582"/>
      <c r="D108" s="575"/>
      <c r="E108" s="582"/>
      <c r="F108" s="582"/>
      <c r="G108" s="575"/>
      <c r="H108" s="575"/>
      <c r="I108" s="575"/>
      <c r="J108" s="576"/>
    </row>
    <row r="109" spans="1:10">
      <c r="A109" s="321" t="s">
        <v>4946</v>
      </c>
      <c r="B109" s="322" t="s">
        <v>77</v>
      </c>
      <c r="C109" s="322" t="s">
        <v>5676</v>
      </c>
      <c r="D109" s="322" t="s">
        <v>482</v>
      </c>
      <c r="E109" s="322" t="s">
        <v>572</v>
      </c>
      <c r="F109" s="322" t="s">
        <v>5639</v>
      </c>
      <c r="G109" s="578" t="s">
        <v>5640</v>
      </c>
      <c r="H109" s="578"/>
      <c r="I109" s="578"/>
      <c r="J109" s="579"/>
    </row>
    <row r="110" spans="1:10" ht="25.5">
      <c r="A110" s="326" t="s">
        <v>5602</v>
      </c>
      <c r="B110" s="333" t="s">
        <v>484</v>
      </c>
      <c r="C110" s="332" t="s">
        <v>679</v>
      </c>
      <c r="D110" s="324" t="s">
        <v>679</v>
      </c>
      <c r="E110" s="332">
        <f>IF(D110="Yes",1,0)</f>
        <v>0</v>
      </c>
      <c r="F110" s="580"/>
      <c r="G110" s="580"/>
      <c r="H110" s="580"/>
      <c r="I110" s="580"/>
      <c r="J110" s="581"/>
    </row>
    <row r="111" spans="1:10">
      <c r="A111" s="323" t="s">
        <v>995</v>
      </c>
      <c r="B111" s="333" t="s">
        <v>484</v>
      </c>
      <c r="C111" s="332" t="s">
        <v>679</v>
      </c>
      <c r="D111" s="324" t="s">
        <v>679</v>
      </c>
      <c r="E111" s="324">
        <f t="shared" ref="E111:E117" si="0">IF(D111="Yes",1,0)</f>
        <v>0</v>
      </c>
      <c r="F111" s="580"/>
      <c r="G111" s="580"/>
      <c r="H111" s="580"/>
      <c r="I111" s="580"/>
      <c r="J111" s="581"/>
    </row>
    <row r="112" spans="1:10">
      <c r="A112" s="326" t="s">
        <v>5603</v>
      </c>
      <c r="B112" s="333" t="s">
        <v>484</v>
      </c>
      <c r="C112" s="332" t="s">
        <v>679</v>
      </c>
      <c r="D112" s="324" t="s">
        <v>679</v>
      </c>
      <c r="E112" s="332">
        <f t="shared" si="0"/>
        <v>0</v>
      </c>
      <c r="F112" s="580"/>
      <c r="G112" s="580"/>
      <c r="H112" s="580"/>
      <c r="I112" s="580"/>
      <c r="J112" s="581"/>
    </row>
    <row r="113" spans="1:10">
      <c r="A113" s="323" t="s">
        <v>5617</v>
      </c>
      <c r="B113" s="333" t="s">
        <v>484</v>
      </c>
      <c r="C113" s="332" t="s">
        <v>679</v>
      </c>
      <c r="D113" s="324" t="s">
        <v>679</v>
      </c>
      <c r="E113" s="324">
        <f t="shared" si="0"/>
        <v>0</v>
      </c>
      <c r="F113" s="580"/>
      <c r="G113" s="580"/>
      <c r="H113" s="580"/>
      <c r="I113" s="580"/>
      <c r="J113" s="581"/>
    </row>
    <row r="114" spans="1:10" ht="38.25">
      <c r="A114" s="326" t="s">
        <v>5618</v>
      </c>
      <c r="B114" s="333" t="s">
        <v>484</v>
      </c>
      <c r="C114" s="332" t="s">
        <v>679</v>
      </c>
      <c r="D114" s="324" t="s">
        <v>679</v>
      </c>
      <c r="E114" s="332">
        <f t="shared" si="0"/>
        <v>0</v>
      </c>
      <c r="F114" s="580"/>
      <c r="G114" s="580"/>
      <c r="H114" s="580"/>
      <c r="I114" s="580"/>
      <c r="J114" s="581"/>
    </row>
    <row r="115" spans="1:10" ht="25.5">
      <c r="A115" s="323" t="s">
        <v>5619</v>
      </c>
      <c r="B115" s="333" t="s">
        <v>484</v>
      </c>
      <c r="C115" s="332" t="s">
        <v>679</v>
      </c>
      <c r="D115" s="324" t="s">
        <v>679</v>
      </c>
      <c r="E115" s="324">
        <f t="shared" si="0"/>
        <v>0</v>
      </c>
      <c r="F115" s="580"/>
      <c r="G115" s="580"/>
      <c r="H115" s="580"/>
      <c r="I115" s="580"/>
      <c r="J115" s="581"/>
    </row>
    <row r="116" spans="1:10">
      <c r="A116" s="326" t="s">
        <v>5604</v>
      </c>
      <c r="B116" s="333" t="s">
        <v>484</v>
      </c>
      <c r="C116" s="332" t="s">
        <v>679</v>
      </c>
      <c r="D116" s="324" t="s">
        <v>679</v>
      </c>
      <c r="E116" s="332">
        <f t="shared" si="0"/>
        <v>0</v>
      </c>
      <c r="F116" s="580"/>
      <c r="G116" s="580"/>
      <c r="H116" s="580"/>
      <c r="I116" s="580"/>
      <c r="J116" s="581"/>
    </row>
    <row r="117" spans="1:10" ht="25.5">
      <c r="A117" s="323" t="s">
        <v>5605</v>
      </c>
      <c r="B117" s="333" t="s">
        <v>484</v>
      </c>
      <c r="C117" s="332" t="s">
        <v>679</v>
      </c>
      <c r="D117" s="324" t="s">
        <v>679</v>
      </c>
      <c r="E117" s="324">
        <f t="shared" si="0"/>
        <v>0</v>
      </c>
      <c r="F117" s="580"/>
      <c r="G117" s="580"/>
      <c r="H117" s="580"/>
      <c r="I117" s="580"/>
      <c r="J117" s="581"/>
    </row>
    <row r="118" spans="1:10" ht="15.75">
      <c r="A118" s="585" t="s">
        <v>5641</v>
      </c>
      <c r="B118" s="586"/>
      <c r="C118" s="587" t="str">
        <f>IFERROR(SUM(E110:E117)/COUNTIF(C110:C117,"Yes"),"")</f>
        <v/>
      </c>
      <c r="D118" s="588"/>
      <c r="E118" s="589" t="s">
        <v>5642</v>
      </c>
      <c r="F118" s="589"/>
      <c r="G118" s="589"/>
      <c r="H118" s="589"/>
      <c r="I118" s="589"/>
      <c r="J118" s="590"/>
    </row>
    <row r="119" spans="1:10">
      <c r="A119" s="331"/>
      <c r="B119" s="316"/>
      <c r="C119" s="316"/>
      <c r="D119" s="316"/>
      <c r="E119" s="316"/>
      <c r="F119" s="316"/>
      <c r="G119" s="316"/>
      <c r="H119" s="227"/>
      <c r="I119" s="227"/>
      <c r="J119" s="329"/>
    </row>
    <row r="120" spans="1:10">
      <c r="A120" s="574" t="s">
        <v>5670</v>
      </c>
      <c r="B120" s="582"/>
      <c r="C120" s="582"/>
      <c r="D120" s="575"/>
      <c r="E120" s="582"/>
      <c r="F120" s="582"/>
      <c r="G120" s="575"/>
      <c r="H120" s="575"/>
      <c r="I120" s="575"/>
      <c r="J120" s="576"/>
    </row>
    <row r="121" spans="1:10">
      <c r="A121" s="321" t="s">
        <v>5643</v>
      </c>
      <c r="B121" s="322" t="s">
        <v>77</v>
      </c>
      <c r="C121" s="322" t="s">
        <v>5620</v>
      </c>
      <c r="D121" s="322" t="s">
        <v>5621</v>
      </c>
      <c r="E121" s="322" t="s">
        <v>5622</v>
      </c>
      <c r="F121" s="322" t="s">
        <v>5644</v>
      </c>
      <c r="G121" s="578" t="s">
        <v>5645</v>
      </c>
      <c r="H121" s="578"/>
      <c r="I121" s="578"/>
      <c r="J121" s="579"/>
    </row>
    <row r="122" spans="1:10" ht="25.5">
      <c r="A122" s="326" t="s">
        <v>5623</v>
      </c>
      <c r="B122" s="332" t="s">
        <v>484</v>
      </c>
      <c r="C122" s="332" t="s">
        <v>1096</v>
      </c>
      <c r="D122" s="332" t="s">
        <v>1096</v>
      </c>
      <c r="E122" s="332" t="s">
        <v>1096</v>
      </c>
      <c r="F122" s="332" t="s">
        <v>348</v>
      </c>
      <c r="G122" s="583"/>
      <c r="H122" s="583"/>
      <c r="I122" s="583"/>
      <c r="J122" s="584"/>
    </row>
    <row r="123" spans="1:10">
      <c r="A123" s="323" t="s">
        <v>5624</v>
      </c>
      <c r="B123" s="332" t="s">
        <v>484</v>
      </c>
      <c r="C123" s="332" t="s">
        <v>1096</v>
      </c>
      <c r="D123" s="332" t="s">
        <v>1096</v>
      </c>
      <c r="E123" s="332" t="s">
        <v>1096</v>
      </c>
      <c r="F123" s="332" t="s">
        <v>348</v>
      </c>
      <c r="G123" s="583"/>
      <c r="H123" s="583"/>
      <c r="I123" s="583"/>
      <c r="J123" s="584"/>
    </row>
    <row r="124" spans="1:10">
      <c r="A124" s="326" t="s">
        <v>5646</v>
      </c>
      <c r="B124" s="332" t="s">
        <v>484</v>
      </c>
      <c r="C124" s="332" t="s">
        <v>1096</v>
      </c>
      <c r="D124" s="332" t="s">
        <v>1096</v>
      </c>
      <c r="E124" s="332" t="s">
        <v>1096</v>
      </c>
      <c r="F124" s="332" t="s">
        <v>348</v>
      </c>
      <c r="G124" s="583"/>
      <c r="H124" s="583"/>
      <c r="I124" s="583"/>
      <c r="J124" s="584"/>
    </row>
    <row r="125" spans="1:10">
      <c r="A125" s="323" t="s">
        <v>5625</v>
      </c>
      <c r="B125" s="332" t="s">
        <v>484</v>
      </c>
      <c r="C125" s="332" t="s">
        <v>1096</v>
      </c>
      <c r="D125" s="332" t="s">
        <v>1096</v>
      </c>
      <c r="E125" s="332" t="s">
        <v>1096</v>
      </c>
      <c r="F125" s="332" t="s">
        <v>348</v>
      </c>
      <c r="G125" s="583"/>
      <c r="H125" s="583"/>
      <c r="I125" s="583"/>
      <c r="J125" s="584"/>
    </row>
    <row r="126" spans="1:10" ht="25.5">
      <c r="A126" s="326" t="s">
        <v>5626</v>
      </c>
      <c r="B126" s="332" t="s">
        <v>484</v>
      </c>
      <c r="C126" s="332" t="s">
        <v>1096</v>
      </c>
      <c r="D126" s="332" t="s">
        <v>1096</v>
      </c>
      <c r="E126" s="332" t="s">
        <v>1096</v>
      </c>
      <c r="F126" s="332" t="s">
        <v>348</v>
      </c>
      <c r="G126" s="583"/>
      <c r="H126" s="583"/>
      <c r="I126" s="583"/>
      <c r="J126" s="584"/>
    </row>
    <row r="127" spans="1:10" ht="15.75">
      <c r="A127" s="585" t="s">
        <v>5677</v>
      </c>
      <c r="B127" s="586"/>
      <c r="C127" s="587">
        <f>IFERROR(COUNTIF(E122:E126,"Yes")/COUNTA(A122:A126),"")</f>
        <v>0</v>
      </c>
      <c r="D127" s="588"/>
      <c r="E127" s="589" t="s">
        <v>5648</v>
      </c>
      <c r="F127" s="589"/>
      <c r="G127" s="589"/>
      <c r="H127" s="589"/>
      <c r="I127" s="589"/>
      <c r="J127" s="590"/>
    </row>
    <row r="128" spans="1:10">
      <c r="A128" s="331"/>
      <c r="B128" s="316"/>
      <c r="C128" s="316"/>
      <c r="D128" s="316"/>
      <c r="E128" s="316"/>
      <c r="F128" s="316"/>
      <c r="G128" s="599"/>
      <c r="H128" s="599"/>
      <c r="I128" s="599"/>
      <c r="J128" s="600"/>
    </row>
    <row r="129" spans="1:10">
      <c r="A129" s="574" t="s">
        <v>5671</v>
      </c>
      <c r="B129" s="582"/>
      <c r="C129" s="582"/>
      <c r="D129" s="575"/>
      <c r="E129" s="582"/>
      <c r="F129" s="582"/>
      <c r="G129" s="575"/>
      <c r="H129" s="575"/>
      <c r="I129" s="575"/>
      <c r="J129" s="576"/>
    </row>
    <row r="130" spans="1:10">
      <c r="A130" s="322" t="s">
        <v>5606</v>
      </c>
      <c r="B130" s="322" t="s">
        <v>77</v>
      </c>
      <c r="C130" s="322" t="s">
        <v>5627</v>
      </c>
      <c r="D130" s="322" t="s">
        <v>5628</v>
      </c>
      <c r="E130" s="322" t="s">
        <v>5629</v>
      </c>
      <c r="F130" s="322" t="s">
        <v>5630</v>
      </c>
      <c r="G130" s="578" t="s">
        <v>5678</v>
      </c>
      <c r="H130" s="578"/>
      <c r="I130" s="578"/>
      <c r="J130" s="578"/>
    </row>
    <row r="131" spans="1:10">
      <c r="A131" s="328" t="s">
        <v>153</v>
      </c>
      <c r="B131" s="324" t="s">
        <v>484</v>
      </c>
      <c r="C131" s="324"/>
      <c r="D131" s="324"/>
      <c r="E131" s="324"/>
      <c r="F131" s="325" t="str">
        <f>IFERROR(D131/C131,"")</f>
        <v/>
      </c>
      <c r="G131" s="572"/>
      <c r="H131" s="572"/>
      <c r="I131" s="572"/>
      <c r="J131" s="572"/>
    </row>
    <row r="132" spans="1:10">
      <c r="A132" s="335" t="s">
        <v>155</v>
      </c>
      <c r="B132" s="332" t="s">
        <v>484</v>
      </c>
      <c r="C132" s="332"/>
      <c r="D132" s="332"/>
      <c r="E132" s="332"/>
      <c r="F132" s="327" t="str">
        <f>IFERROR(D132/C132,"")</f>
        <v/>
      </c>
      <c r="G132" s="572"/>
      <c r="H132" s="572"/>
      <c r="I132" s="572"/>
      <c r="J132" s="572"/>
    </row>
    <row r="133" spans="1:10">
      <c r="A133" s="328" t="s">
        <v>4821</v>
      </c>
      <c r="B133" s="324" t="s">
        <v>484</v>
      </c>
      <c r="C133" s="324"/>
      <c r="D133" s="324"/>
      <c r="E133" s="324"/>
      <c r="F133" s="325" t="str">
        <f>IFERROR(D133/C133,"")</f>
        <v/>
      </c>
      <c r="G133" s="572"/>
      <c r="H133" s="572"/>
      <c r="I133" s="572"/>
      <c r="J133" s="572"/>
    </row>
    <row r="134" spans="1:10">
      <c r="A134" s="335" t="s">
        <v>957</v>
      </c>
      <c r="B134" s="332" t="s">
        <v>484</v>
      </c>
      <c r="C134" s="332"/>
      <c r="D134" s="332"/>
      <c r="E134" s="332"/>
      <c r="F134" s="327" t="str">
        <f>IFERROR(D134/C134,"")</f>
        <v/>
      </c>
      <c r="G134" s="572"/>
      <c r="H134" s="572"/>
      <c r="I134" s="572"/>
      <c r="J134" s="572"/>
    </row>
    <row r="135" spans="1:10">
      <c r="A135" s="597" t="s">
        <v>5649</v>
      </c>
      <c r="B135" s="597"/>
      <c r="C135" s="597"/>
      <c r="D135" s="597"/>
      <c r="E135" s="589" t="s">
        <v>5650</v>
      </c>
      <c r="F135" s="589"/>
      <c r="G135" s="589"/>
      <c r="H135" s="589"/>
      <c r="I135" s="589"/>
      <c r="J135" s="589"/>
    </row>
    <row r="136" spans="1:10">
      <c r="A136" s="597"/>
      <c r="B136" s="597"/>
      <c r="C136" s="597"/>
      <c r="D136" s="597"/>
      <c r="E136" s="589"/>
      <c r="F136" s="589"/>
      <c r="G136" s="589"/>
      <c r="H136" s="589"/>
      <c r="I136" s="589"/>
      <c r="J136" s="589"/>
    </row>
    <row r="137" spans="1:10">
      <c r="A137" s="575" t="s">
        <v>5672</v>
      </c>
      <c r="B137" s="575"/>
      <c r="C137" s="575"/>
      <c r="D137" s="575"/>
      <c r="E137" s="575"/>
      <c r="F137" s="575"/>
      <c r="G137" s="575"/>
      <c r="H137" s="575"/>
      <c r="I137" s="575"/>
      <c r="J137" s="575"/>
    </row>
    <row r="138" spans="1:10">
      <c r="A138" s="322" t="s">
        <v>4946</v>
      </c>
      <c r="B138" s="322" t="s">
        <v>77</v>
      </c>
      <c r="C138" s="322" t="s">
        <v>5638</v>
      </c>
      <c r="D138" s="322" t="s">
        <v>482</v>
      </c>
      <c r="E138" s="322" t="s">
        <v>572</v>
      </c>
      <c r="F138" s="322" t="s">
        <v>944</v>
      </c>
      <c r="G138" s="578" t="s">
        <v>5640</v>
      </c>
      <c r="H138" s="578"/>
      <c r="I138" s="578"/>
      <c r="J138" s="578"/>
    </row>
    <row r="139" spans="1:10" ht="25.5">
      <c r="A139" s="328" t="s">
        <v>5607</v>
      </c>
      <c r="B139" s="324" t="s">
        <v>484</v>
      </c>
      <c r="C139" s="324" t="s">
        <v>392</v>
      </c>
      <c r="D139" s="324" t="s">
        <v>1096</v>
      </c>
      <c r="E139" s="324">
        <f t="shared" ref="E139:E144" si="1">IF(D139="Yes",1,0)</f>
        <v>0</v>
      </c>
      <c r="F139" s="324"/>
      <c r="G139" s="572"/>
      <c r="H139" s="572"/>
      <c r="I139" s="572"/>
      <c r="J139" s="572"/>
    </row>
    <row r="140" spans="1:10">
      <c r="A140" s="335" t="s">
        <v>5608</v>
      </c>
      <c r="B140" s="324" t="s">
        <v>484</v>
      </c>
      <c r="C140" s="332" t="s">
        <v>392</v>
      </c>
      <c r="D140" s="324" t="s">
        <v>1096</v>
      </c>
      <c r="E140" s="332">
        <f t="shared" si="1"/>
        <v>0</v>
      </c>
      <c r="F140" s="332"/>
      <c r="G140" s="572"/>
      <c r="H140" s="572"/>
      <c r="I140" s="572"/>
      <c r="J140" s="572"/>
    </row>
    <row r="141" spans="1:10" ht="25.5">
      <c r="A141" s="328" t="s">
        <v>5609</v>
      </c>
      <c r="B141" s="324" t="s">
        <v>484</v>
      </c>
      <c r="C141" s="324" t="s">
        <v>392</v>
      </c>
      <c r="D141" s="324" t="s">
        <v>1096</v>
      </c>
      <c r="E141" s="324">
        <f t="shared" si="1"/>
        <v>0</v>
      </c>
      <c r="F141" s="324"/>
      <c r="G141" s="572"/>
      <c r="H141" s="572"/>
      <c r="I141" s="572"/>
      <c r="J141" s="572"/>
    </row>
    <row r="142" spans="1:10">
      <c r="A142" s="335" t="s">
        <v>5631</v>
      </c>
      <c r="B142" s="324" t="s">
        <v>484</v>
      </c>
      <c r="C142" s="332" t="s">
        <v>392</v>
      </c>
      <c r="D142" s="324" t="s">
        <v>1096</v>
      </c>
      <c r="E142" s="332">
        <f t="shared" si="1"/>
        <v>0</v>
      </c>
      <c r="F142" s="332"/>
      <c r="G142" s="572"/>
      <c r="H142" s="572"/>
      <c r="I142" s="572"/>
      <c r="J142" s="572"/>
    </row>
    <row r="143" spans="1:10" ht="25.5">
      <c r="A143" s="328" t="s">
        <v>5632</v>
      </c>
      <c r="B143" s="324" t="s">
        <v>484</v>
      </c>
      <c r="C143" s="324" t="s">
        <v>392</v>
      </c>
      <c r="D143" s="324" t="s">
        <v>1096</v>
      </c>
      <c r="E143" s="324">
        <f t="shared" si="1"/>
        <v>0</v>
      </c>
      <c r="F143" s="324"/>
      <c r="G143" s="572"/>
      <c r="H143" s="572"/>
      <c r="I143" s="572"/>
      <c r="J143" s="572"/>
    </row>
    <row r="144" spans="1:10" ht="25.5">
      <c r="A144" s="335" t="s">
        <v>5633</v>
      </c>
      <c r="B144" s="324" t="s">
        <v>484</v>
      </c>
      <c r="C144" s="332" t="s">
        <v>392</v>
      </c>
      <c r="D144" s="332" t="s">
        <v>1096</v>
      </c>
      <c r="E144" s="332">
        <f t="shared" si="1"/>
        <v>0</v>
      </c>
      <c r="F144" s="332"/>
      <c r="G144" s="572"/>
      <c r="H144" s="572"/>
      <c r="I144" s="572"/>
      <c r="J144" s="572"/>
    </row>
    <row r="145" spans="1:10" ht="15.75">
      <c r="A145" s="930" t="s">
        <v>5651</v>
      </c>
      <c r="B145" s="586"/>
      <c r="C145" s="587">
        <f>IFERROR(SUM(E139:E144)/COUNTIF(C139:C144,"Yes"),"")</f>
        <v>0</v>
      </c>
      <c r="D145" s="588"/>
      <c r="E145" s="589" t="s">
        <v>5652</v>
      </c>
      <c r="F145" s="589"/>
      <c r="G145" s="589"/>
      <c r="H145" s="589"/>
      <c r="I145" s="589"/>
      <c r="J145" s="589"/>
    </row>
    <row r="146" spans="1:10">
      <c r="A146" s="192"/>
      <c r="B146" s="192"/>
      <c r="C146" s="192"/>
      <c r="D146" s="192"/>
      <c r="E146" s="192"/>
      <c r="F146" s="192"/>
      <c r="G146" s="192"/>
      <c r="H146" s="192"/>
      <c r="I146" s="192"/>
      <c r="J146" s="192"/>
    </row>
    <row r="147" spans="1:10">
      <c r="A147" s="575" t="s">
        <v>5673</v>
      </c>
      <c r="B147" s="582"/>
      <c r="C147" s="582"/>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594" t="s">
        <v>3292</v>
      </c>
      <c r="C149" s="582"/>
      <c r="D149" s="582"/>
      <c r="E149" s="582"/>
      <c r="F149" s="582"/>
      <c r="G149" s="582"/>
      <c r="H149" s="582"/>
      <c r="I149" s="582"/>
      <c r="J149" s="582"/>
    </row>
    <row r="150" spans="1:10" ht="25.5">
      <c r="A150" s="315" t="s">
        <v>2090</v>
      </c>
      <c r="B150" s="594" t="s">
        <v>3293</v>
      </c>
      <c r="C150" s="582"/>
      <c r="D150" s="582"/>
      <c r="E150" s="582"/>
      <c r="F150" s="582"/>
      <c r="G150" s="582"/>
      <c r="H150" s="582"/>
      <c r="I150" s="582"/>
      <c r="J150" s="582"/>
    </row>
    <row r="151" spans="1:10">
      <c r="A151" s="315" t="s">
        <v>1089</v>
      </c>
      <c r="B151" s="594" t="s">
        <v>3294</v>
      </c>
      <c r="C151" s="582"/>
      <c r="D151" s="582"/>
      <c r="E151" s="582"/>
      <c r="F151" s="582"/>
      <c r="G151" s="582"/>
      <c r="H151" s="582"/>
      <c r="I151" s="582"/>
      <c r="J151" s="582"/>
    </row>
    <row r="152" spans="1:10">
      <c r="A152" s="315" t="s">
        <v>1090</v>
      </c>
      <c r="B152" s="594" t="s">
        <v>3295</v>
      </c>
      <c r="C152" s="582"/>
      <c r="D152" s="582"/>
      <c r="E152" s="582"/>
      <c r="F152" s="582"/>
      <c r="G152" s="582"/>
      <c r="H152" s="582"/>
      <c r="I152" s="582"/>
      <c r="J152" s="582"/>
    </row>
    <row r="153" spans="1:10">
      <c r="A153" s="315" t="s">
        <v>1088</v>
      </c>
      <c r="B153" s="594" t="s">
        <v>3296</v>
      </c>
      <c r="C153" s="582"/>
      <c r="D153" s="582"/>
      <c r="E153" s="582"/>
      <c r="F153" s="582"/>
      <c r="G153" s="582"/>
      <c r="H153" s="582"/>
      <c r="I153" s="582"/>
      <c r="J153" s="582"/>
    </row>
    <row r="154" spans="1:10" ht="25.5">
      <c r="A154" s="315" t="s">
        <v>3297</v>
      </c>
      <c r="B154" s="594" t="s">
        <v>3298</v>
      </c>
      <c r="C154" s="582"/>
      <c r="D154" s="582"/>
      <c r="E154" s="582"/>
      <c r="F154" s="582"/>
      <c r="G154" s="582"/>
      <c r="H154" s="582"/>
      <c r="I154" s="582"/>
      <c r="J154" s="582"/>
    </row>
    <row r="155" spans="1:10">
      <c r="A155" s="315" t="s">
        <v>1563</v>
      </c>
      <c r="B155" s="594" t="s">
        <v>1776</v>
      </c>
      <c r="C155" s="582"/>
      <c r="D155" s="582"/>
      <c r="E155" s="582"/>
      <c r="F155" s="582"/>
      <c r="G155" s="582"/>
      <c r="H155" s="582"/>
      <c r="I155" s="582"/>
      <c r="J155" s="582"/>
    </row>
    <row r="156" spans="1:10">
      <c r="A156" s="227"/>
      <c r="B156" s="227"/>
      <c r="C156" s="227"/>
      <c r="D156" s="227"/>
      <c r="E156" s="227"/>
      <c r="F156" s="227"/>
      <c r="G156" s="227"/>
      <c r="H156" s="227"/>
      <c r="I156" s="227"/>
      <c r="J156" s="227"/>
    </row>
    <row r="157" spans="1:10" ht="18">
      <c r="A157" s="598" t="s">
        <v>5562</v>
      </c>
      <c r="B157" s="598"/>
      <c r="C157" s="598"/>
      <c r="D157" s="598"/>
      <c r="E157" s="598"/>
      <c r="F157" s="598"/>
      <c r="G157" s="598"/>
      <c r="H157" s="598"/>
      <c r="I157" s="227"/>
      <c r="J157" s="227"/>
    </row>
    <row r="158" spans="1:10">
      <c r="A158" s="272" t="s">
        <v>2</v>
      </c>
      <c r="B158" s="591" t="s">
        <v>5563</v>
      </c>
      <c r="C158" s="591"/>
      <c r="D158" s="591"/>
      <c r="E158" s="591"/>
      <c r="F158" s="591"/>
      <c r="G158" s="591"/>
      <c r="H158" s="591"/>
      <c r="I158" s="227"/>
      <c r="J158" s="227"/>
    </row>
    <row r="159" spans="1:10">
      <c r="A159" s="272" t="s">
        <v>5564</v>
      </c>
      <c r="B159" s="591" t="s">
        <v>5565</v>
      </c>
      <c r="C159" s="591"/>
      <c r="D159" s="591"/>
      <c r="E159" s="591"/>
      <c r="F159" s="591"/>
      <c r="G159" s="591"/>
      <c r="H159" s="591"/>
      <c r="I159" s="227"/>
      <c r="J159" s="227"/>
    </row>
    <row r="160" spans="1:10">
      <c r="A160" s="192"/>
      <c r="B160" s="192"/>
      <c r="C160" s="192"/>
      <c r="D160" s="192"/>
      <c r="E160" s="192"/>
      <c r="F160" s="192"/>
      <c r="G160" s="192"/>
      <c r="H160" s="192"/>
      <c r="I160" s="227"/>
      <c r="J160" s="227"/>
    </row>
    <row r="161" spans="1:10">
      <c r="A161" s="319" t="s">
        <v>4946</v>
      </c>
      <c r="B161" s="319" t="s">
        <v>77</v>
      </c>
      <c r="C161" s="319" t="s">
        <v>5566</v>
      </c>
      <c r="D161" s="319" t="s">
        <v>263</v>
      </c>
      <c r="E161" s="319" t="s">
        <v>216</v>
      </c>
      <c r="F161" s="319" t="s">
        <v>5567</v>
      </c>
      <c r="G161" s="319" t="s">
        <v>5568</v>
      </c>
      <c r="H161" s="319" t="s">
        <v>5569</v>
      </c>
      <c r="I161" s="227"/>
      <c r="J161" s="227"/>
    </row>
    <row r="162" spans="1:10" ht="25.5">
      <c r="A162" s="273" t="s">
        <v>5570</v>
      </c>
      <c r="B162" s="274" t="s">
        <v>1096</v>
      </c>
      <c r="C162" s="273"/>
      <c r="D162" s="273"/>
      <c r="E162" s="273"/>
      <c r="F162" s="273"/>
      <c r="G162" s="275" t="str">
        <f t="shared" ref="G162:G169" si="2">IF(OR(B162="Yes",B162="N/A"),"🟢","🟡")</f>
        <v>🟡</v>
      </c>
      <c r="H162" s="273"/>
      <c r="I162" s="227"/>
      <c r="J162" s="227"/>
    </row>
    <row r="163" spans="1:10">
      <c r="A163" s="273" t="s">
        <v>5571</v>
      </c>
      <c r="B163" s="274" t="s">
        <v>1096</v>
      </c>
      <c r="C163" s="273"/>
      <c r="D163" s="273"/>
      <c r="E163" s="273"/>
      <c r="F163" s="273"/>
      <c r="G163" s="275" t="str">
        <f t="shared" si="2"/>
        <v>🟡</v>
      </c>
      <c r="H163" s="273"/>
      <c r="I163" s="227"/>
      <c r="J163" s="227"/>
    </row>
    <row r="164" spans="1:10">
      <c r="A164" s="273" t="s">
        <v>5572</v>
      </c>
      <c r="B164" s="274" t="s">
        <v>1096</v>
      </c>
      <c r="C164" s="273"/>
      <c r="D164" s="273"/>
      <c r="E164" s="273"/>
      <c r="F164" s="273"/>
      <c r="G164" s="275" t="str">
        <f t="shared" si="2"/>
        <v>🟡</v>
      </c>
      <c r="H164" s="273"/>
      <c r="I164" s="227"/>
      <c r="J164" s="227"/>
    </row>
    <row r="165" spans="1:10">
      <c r="A165" s="273" t="s">
        <v>5168</v>
      </c>
      <c r="B165" s="274" t="s">
        <v>1096</v>
      </c>
      <c r="C165" s="273"/>
      <c r="D165" s="273"/>
      <c r="E165" s="273"/>
      <c r="F165" s="273"/>
      <c r="G165" s="275" t="str">
        <f t="shared" si="2"/>
        <v>🟡</v>
      </c>
      <c r="H165" s="273"/>
      <c r="I165" s="227"/>
      <c r="J165" s="227"/>
    </row>
    <row r="166" spans="1:10">
      <c r="A166" s="273" t="s">
        <v>5573</v>
      </c>
      <c r="B166" s="274" t="s">
        <v>1096</v>
      </c>
      <c r="C166" s="273"/>
      <c r="D166" s="273"/>
      <c r="E166" s="273"/>
      <c r="F166" s="273"/>
      <c r="G166" s="275" t="str">
        <f t="shared" si="2"/>
        <v>🟡</v>
      </c>
      <c r="H166" s="273"/>
      <c r="I166" s="227"/>
      <c r="J166" s="227"/>
    </row>
    <row r="167" spans="1:10">
      <c r="A167" s="273" t="s">
        <v>5574</v>
      </c>
      <c r="B167" s="274" t="s">
        <v>1096</v>
      </c>
      <c r="C167" s="273"/>
      <c r="D167" s="273"/>
      <c r="E167" s="273"/>
      <c r="F167" s="273"/>
      <c r="G167" s="275" t="str">
        <f t="shared" si="2"/>
        <v>🟡</v>
      </c>
      <c r="H167" s="273"/>
      <c r="I167" s="227"/>
      <c r="J167" s="227"/>
    </row>
    <row r="168" spans="1:10">
      <c r="A168" s="273" t="s">
        <v>178</v>
      </c>
      <c r="B168" s="274" t="s">
        <v>1096</v>
      </c>
      <c r="C168" s="273"/>
      <c r="D168" s="273"/>
      <c r="E168" s="273"/>
      <c r="F168" s="273"/>
      <c r="G168" s="275" t="str">
        <f t="shared" si="2"/>
        <v>🟡</v>
      </c>
      <c r="H168" s="273"/>
      <c r="I168" s="227"/>
      <c r="J168" s="227"/>
    </row>
    <row r="169" spans="1:10" ht="25.5">
      <c r="A169" s="273" t="s">
        <v>5575</v>
      </c>
      <c r="B169" s="274" t="s">
        <v>1096</v>
      </c>
      <c r="C169" s="273"/>
      <c r="D169" s="273"/>
      <c r="E169" s="273"/>
      <c r="F169" s="273"/>
      <c r="G169" s="275" t="str">
        <f t="shared" si="2"/>
        <v>🟡</v>
      </c>
      <c r="H169" s="273"/>
      <c r="I169" s="227"/>
      <c r="J169" s="227"/>
    </row>
    <row r="170" spans="1:10">
      <c r="A170" s="320" t="s">
        <v>4946</v>
      </c>
      <c r="B170" s="320" t="s">
        <v>5583</v>
      </c>
      <c r="C170" s="192"/>
      <c r="D170" s="192"/>
      <c r="E170" s="320" t="s">
        <v>5584</v>
      </c>
      <c r="F170" s="192"/>
      <c r="G170" s="192"/>
      <c r="H170" s="192"/>
      <c r="I170" s="227"/>
      <c r="J170" s="227"/>
    </row>
    <row r="171" spans="1:10" ht="25.5">
      <c r="A171" s="287" t="s">
        <v>5570</v>
      </c>
      <c r="B171" s="577" t="s">
        <v>5585</v>
      </c>
      <c r="C171" s="577"/>
      <c r="D171" s="577"/>
      <c r="E171" s="577" t="s">
        <v>5586</v>
      </c>
      <c r="F171" s="577"/>
      <c r="G171" s="577"/>
      <c r="H171" s="192"/>
      <c r="I171" s="227"/>
      <c r="J171" s="227"/>
    </row>
    <row r="172" spans="1:10">
      <c r="A172" s="287" t="s">
        <v>5571</v>
      </c>
      <c r="B172" s="577" t="s">
        <v>5587</v>
      </c>
      <c r="C172" s="577"/>
      <c r="D172" s="577"/>
      <c r="E172" s="577" t="s">
        <v>5588</v>
      </c>
      <c r="F172" s="577"/>
      <c r="G172" s="577"/>
      <c r="H172" s="192"/>
      <c r="I172" s="227"/>
      <c r="J172" s="227"/>
    </row>
    <row r="173" spans="1:10">
      <c r="A173" s="287" t="s">
        <v>5572</v>
      </c>
      <c r="B173" s="577" t="s">
        <v>5589</v>
      </c>
      <c r="C173" s="577"/>
      <c r="D173" s="577"/>
      <c r="E173" s="577" t="s">
        <v>5590</v>
      </c>
      <c r="F173" s="577"/>
      <c r="G173" s="577"/>
      <c r="H173" s="192"/>
      <c r="I173" s="227"/>
      <c r="J173" s="227"/>
    </row>
    <row r="174" spans="1:10">
      <c r="A174" s="287" t="s">
        <v>5168</v>
      </c>
      <c r="B174" s="577" t="s">
        <v>5591</v>
      </c>
      <c r="C174" s="577"/>
      <c r="D174" s="577"/>
      <c r="E174" s="577" t="s">
        <v>5592</v>
      </c>
      <c r="F174" s="577"/>
      <c r="G174" s="577"/>
      <c r="H174" s="192"/>
      <c r="I174" s="227"/>
      <c r="J174" s="227"/>
    </row>
    <row r="175" spans="1:10">
      <c r="A175" s="287" t="s">
        <v>5573</v>
      </c>
      <c r="B175" s="577" t="s">
        <v>5593</v>
      </c>
      <c r="C175" s="577"/>
      <c r="D175" s="577"/>
      <c r="E175" s="577" t="s">
        <v>5594</v>
      </c>
      <c r="F175" s="577"/>
      <c r="G175" s="577"/>
      <c r="H175" s="192"/>
      <c r="I175" s="227"/>
      <c r="J175" s="227"/>
    </row>
    <row r="176" spans="1:10">
      <c r="A176" s="287" t="s">
        <v>5574</v>
      </c>
      <c r="B176" s="577" t="s">
        <v>5595</v>
      </c>
      <c r="C176" s="577"/>
      <c r="D176" s="577"/>
      <c r="E176" s="577" t="s">
        <v>5596</v>
      </c>
      <c r="F176" s="577"/>
      <c r="G176" s="577"/>
      <c r="H176" s="192"/>
      <c r="I176" s="227"/>
      <c r="J176" s="227"/>
    </row>
    <row r="177" spans="1:10">
      <c r="A177" s="287" t="s">
        <v>178</v>
      </c>
      <c r="B177" s="577" t="s">
        <v>5597</v>
      </c>
      <c r="C177" s="577"/>
      <c r="D177" s="577"/>
      <c r="E177" s="577" t="s">
        <v>5598</v>
      </c>
      <c r="F177" s="577"/>
      <c r="G177" s="577"/>
      <c r="H177" s="192"/>
      <c r="I177" s="227"/>
      <c r="J177" s="227"/>
    </row>
    <row r="178" spans="1:10" ht="25.5">
      <c r="A178" s="287" t="s">
        <v>5575</v>
      </c>
      <c r="B178" s="577" t="s">
        <v>5599</v>
      </c>
      <c r="C178" s="577"/>
      <c r="D178" s="577"/>
      <c r="E178" s="577" t="s">
        <v>5600</v>
      </c>
      <c r="F178" s="577"/>
      <c r="G178" s="577"/>
      <c r="H178" s="192"/>
      <c r="I178" s="227"/>
      <c r="J178" s="227"/>
    </row>
    <row r="179" spans="1:10">
      <c r="A179" s="272" t="s">
        <v>5576</v>
      </c>
      <c r="B179" s="276" t="str">
        <f>IF(COUNTIF(B162:B169,"No")=0,"🟢 PILOT COMPLETE / ACCEPTANCE READY","🟡 NOT COMPLETE — ACCEPTANCE GATES OPEN")</f>
        <v>🟡 NOT COMPLETE — ACCEPTANCE GATES OPEN</v>
      </c>
      <c r="C179" s="276"/>
      <c r="D179" s="276"/>
      <c r="E179" s="276"/>
      <c r="F179" s="276"/>
      <c r="G179" s="276"/>
      <c r="H179" s="276"/>
    </row>
    <row r="180" spans="1:10">
      <c r="A180" s="272" t="s">
        <v>5577</v>
      </c>
      <c r="B180" s="276">
        <f>COUNTIF(B162:B169,"No")</f>
        <v>8</v>
      </c>
      <c r="C180" s="276"/>
      <c r="D180" s="276"/>
      <c r="E180" s="276"/>
      <c r="F180" s="276"/>
      <c r="G180" s="276"/>
      <c r="H180" s="276"/>
    </row>
    <row r="181" spans="1:10">
      <c r="A181" s="272" t="s">
        <v>5578</v>
      </c>
      <c r="B181" s="276" t="str">
        <f>COUNTIF(B162:B169,"Yes")&amp;" / 8 Complete"</f>
        <v>0 / 8 Complete</v>
      </c>
      <c r="C181" s="276"/>
      <c r="D181" s="276"/>
      <c r="E181" s="276"/>
      <c r="F181" s="276"/>
      <c r="G181" s="276"/>
      <c r="H181" s="276"/>
    </row>
    <row r="182" spans="1:10" ht="90">
      <c r="A182" s="277" t="s">
        <v>5579</v>
      </c>
      <c r="B182" s="278" t="s">
        <v>5580</v>
      </c>
      <c r="C182" s="278"/>
      <c r="D182" s="278"/>
      <c r="E182" s="278"/>
      <c r="F182" s="278"/>
      <c r="G182" s="278"/>
      <c r="H182" s="278"/>
    </row>
    <row r="183" spans="1:10">
      <c r="A183" s="277"/>
      <c r="B183" s="278"/>
      <c r="C183" s="278"/>
      <c r="D183" s="278"/>
      <c r="E183" s="278"/>
      <c r="F183" s="278"/>
      <c r="G183" s="278"/>
      <c r="H183" s="278"/>
    </row>
    <row r="184" spans="1:10" ht="64.5">
      <c r="A184" s="277" t="s">
        <v>5581</v>
      </c>
      <c r="B184" s="278" t="s">
        <v>5582</v>
      </c>
      <c r="C184" s="278"/>
      <c r="D184" s="278"/>
      <c r="E184" s="278"/>
      <c r="F184" s="278"/>
      <c r="G184" s="278"/>
      <c r="H184" s="278"/>
    </row>
    <row r="185" spans="1:10">
      <c r="A185" s="575" t="s">
        <v>5694</v>
      </c>
      <c r="B185" s="575"/>
      <c r="C185" s="575"/>
      <c r="D185" s="575"/>
      <c r="E185" s="575"/>
      <c r="F185" s="575"/>
      <c r="G185" s="575"/>
      <c r="H185" s="575"/>
      <c r="I185" s="575"/>
      <c r="J185" s="575"/>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5" t="s">
        <v>5695</v>
      </c>
      <c r="B196" s="575"/>
      <c r="C196" s="575"/>
      <c r="D196" s="575"/>
      <c r="E196" s="575"/>
      <c r="F196" s="575"/>
      <c r="G196" s="575"/>
      <c r="H196" s="575"/>
      <c r="I196" s="575"/>
      <c r="J196" s="575"/>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5" t="s">
        <v>5696</v>
      </c>
      <c r="B206" s="575"/>
      <c r="C206" s="575"/>
      <c r="D206" s="575"/>
      <c r="E206" s="575"/>
      <c r="F206" s="575"/>
      <c r="G206" s="575"/>
      <c r="H206" s="575"/>
      <c r="I206" s="575"/>
      <c r="J206" s="575"/>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5" t="s">
        <v>5697</v>
      </c>
      <c r="B218" s="575"/>
      <c r="C218" s="575"/>
      <c r="D218" s="575"/>
      <c r="E218" s="575"/>
      <c r="F218" s="575"/>
      <c r="G218" s="575"/>
      <c r="H218" s="575"/>
      <c r="I218" s="575"/>
      <c r="J218" s="575"/>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599"/>
      <c r="H240" s="599"/>
      <c r="I240" s="599"/>
      <c r="J240" s="599"/>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853" priority="21">
      <formula>B101="Complete"</formula>
    </cfRule>
    <cfRule type="expression" dxfId="852" priority="22">
      <formula>B101="In Progress"</formula>
    </cfRule>
    <cfRule type="expression" dxfId="851" priority="23">
      <formula>B101="At Risk"</formula>
    </cfRule>
    <cfRule type="expression" dxfId="850" priority="24">
      <formula>B101="Blocked"</formula>
    </cfRule>
    <cfRule type="expression" dxfId="849" priority="25">
      <formula>B101="Not Started"</formula>
    </cfRule>
  </conditionalFormatting>
  <conditionalFormatting sqref="B110:B117">
    <cfRule type="expression" dxfId="848" priority="1">
      <formula>B110="Complete"</formula>
    </cfRule>
    <cfRule type="expression" dxfId="847" priority="2">
      <formula>B110="In Progress"</formula>
    </cfRule>
    <cfRule type="expression" dxfId="846" priority="3">
      <formula>B110="At Risk"</formula>
    </cfRule>
    <cfRule type="expression" dxfId="845" priority="4">
      <formula>B110="Blocked"</formula>
    </cfRule>
    <cfRule type="expression" dxfId="844" priority="5">
      <formula>B110="Not Started"</formula>
    </cfRule>
  </conditionalFormatting>
  <conditionalFormatting sqref="B122:B126">
    <cfRule type="expression" dxfId="843" priority="30">
      <formula>B122="Not Started"</formula>
    </cfRule>
    <cfRule type="expression" dxfId="842" priority="29">
      <formula>B122="Blocked"</formula>
    </cfRule>
    <cfRule type="expression" dxfId="841" priority="28">
      <formula>B122="At Risk"</formula>
    </cfRule>
    <cfRule type="expression" dxfId="840" priority="27">
      <formula>B122="In Progress"</formula>
    </cfRule>
    <cfRule type="expression" dxfId="839" priority="26">
      <formula>B122="Complete"</formula>
    </cfRule>
  </conditionalFormatting>
  <conditionalFormatting sqref="B131:B134">
    <cfRule type="expression" dxfId="838" priority="6">
      <formula>B131="Complete"</formula>
    </cfRule>
    <cfRule type="expression" dxfId="837" priority="7">
      <formula>B131="In Progress"</formula>
    </cfRule>
    <cfRule type="expression" dxfId="836" priority="8">
      <formula>B131="At Risk"</formula>
    </cfRule>
    <cfRule type="expression" dxfId="835" priority="9">
      <formula>B131="Blocked"</formula>
    </cfRule>
    <cfRule type="expression" dxfId="834" priority="10">
      <formula>B131="Not Started"</formula>
    </cfRule>
  </conditionalFormatting>
  <conditionalFormatting sqref="B139:B144">
    <cfRule type="expression" dxfId="833" priority="11">
      <formula>B139="Complete"</formula>
    </cfRule>
    <cfRule type="expression" dxfId="832" priority="12">
      <formula>B139="In Progress"</formula>
    </cfRule>
    <cfRule type="expression" dxfId="831" priority="13">
      <formula>B139="At Risk"</formula>
    </cfRule>
    <cfRule type="expression" dxfId="830" priority="14">
      <formula>B139="Blocked"</formula>
    </cfRule>
    <cfRule type="expression" dxfId="829" priority="15">
      <formula>B139="Not Started"</formula>
    </cfRule>
  </conditionalFormatting>
  <conditionalFormatting sqref="B162:B169">
    <cfRule type="expression" dxfId="828" priority="82">
      <formula>B162="Yes"</formula>
    </cfRule>
    <cfRule type="expression" dxfId="827" priority="83">
      <formula>B162="N/A"</formula>
    </cfRule>
    <cfRule type="expression" dxfId="826" priority="84">
      <formula>B162="No"</formula>
    </cfRule>
  </conditionalFormatting>
  <conditionalFormatting sqref="B179:H179">
    <cfRule type="expression" dxfId="825" priority="86">
      <formula>COUNTIF($B$6:$B$13,"No")&gt;0</formula>
    </cfRule>
    <cfRule type="expression" dxfId="824"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823" priority="32">
      <formula>C110="No"</formula>
    </cfRule>
    <cfRule type="expression" dxfId="822" priority="31">
      <formula>C110="Yes"</formula>
    </cfRule>
    <cfRule type="expression" dxfId="821"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0" priority="17">
      <formula>C139="No"</formula>
    </cfRule>
    <cfRule type="expression" dxfId="819" priority="16">
      <formula>C139="Yes"</formula>
    </cfRule>
    <cfRule type="expression" dxfId="818"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17" priority="87">
      <formula>E5="Pass"</formula>
    </cfRule>
    <cfRule type="expression" dxfId="816" priority="88">
      <formula>E5="Verify"</formula>
    </cfRule>
    <cfRule type="expression" dxfId="815" priority="89">
      <formula>E5="Fail"</formula>
    </cfRule>
    <cfRule type="expression" dxfId="814" priority="90">
      <formula>E5="Not Started"</formula>
    </cfRule>
  </conditionalFormatting>
  <conditionalFormatting sqref="F3">
    <cfRule type="expression" dxfId="813" priority="91">
      <formula>F3="Yes"</formula>
    </cfRule>
    <cfRule type="expression" dxfId="812" priority="92">
      <formula>F3="No"</formula>
    </cfRule>
  </conditionalFormatting>
  <conditionalFormatting sqref="F122:F126">
    <cfRule type="expression" dxfId="811" priority="35">
      <formula>F122="Fail"</formula>
    </cfRule>
    <cfRule type="expression" dxfId="810" priority="36">
      <formula>F122="Pending"</formula>
    </cfRule>
    <cfRule type="expression" dxfId="809"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Lookup_Lists!$L$37:$L$39</xm:f>
          </x14:formula1>
          <xm:sqref>C122:E126 J2</xm:sqref>
        </x14:dataValidation>
        <x14:dataValidation type="list" allowBlank="1" showInputMessage="1" showErrorMessage="1" xr:uid="{12E86EE3-8D0D-44FE-8175-833374E16865}">
          <x14:formula1>
            <xm:f>Lookup_Lists!$A$36:$A$42</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2381</v>
      </c>
      <c r="B1" s="896"/>
      <c r="C1" s="896"/>
      <c r="D1" s="896"/>
      <c r="E1" s="896"/>
      <c r="F1" s="896"/>
      <c r="G1" s="896"/>
      <c r="H1" s="896"/>
      <c r="I1" s="896"/>
      <c r="J1" s="896"/>
    </row>
    <row r="2" spans="1:10" s="223" customFormat="1">
      <c r="A2" s="219" t="s">
        <v>142</v>
      </c>
      <c r="B2" s="220" t="s">
        <v>702</v>
      </c>
      <c r="C2" s="219" t="s">
        <v>902</v>
      </c>
      <c r="D2" s="220" t="s">
        <v>1094</v>
      </c>
      <c r="E2" s="219" t="s">
        <v>151</v>
      </c>
      <c r="F2" s="220" t="s">
        <v>1095</v>
      </c>
      <c r="G2" s="219" t="s">
        <v>174</v>
      </c>
      <c r="H2" s="221">
        <v>0.5</v>
      </c>
      <c r="I2" s="219" t="s">
        <v>154</v>
      </c>
      <c r="J2" s="222" t="s">
        <v>1096</v>
      </c>
    </row>
    <row r="3" spans="1:10" s="227" customFormat="1" ht="25.5">
      <c r="A3" s="219" t="s">
        <v>903</v>
      </c>
      <c r="B3" s="224">
        <v>46198.643851793982</v>
      </c>
      <c r="C3" s="225" t="s">
        <v>904</v>
      </c>
      <c r="D3" s="226" t="s">
        <v>721</v>
      </c>
      <c r="E3" s="219" t="s">
        <v>905</v>
      </c>
      <c r="F3" s="226" t="s">
        <v>2382</v>
      </c>
      <c r="G3" s="219" t="s">
        <v>907</v>
      </c>
      <c r="H3" s="226" t="s">
        <v>908</v>
      </c>
      <c r="I3" s="219" t="s">
        <v>551</v>
      </c>
      <c r="J3" s="226" t="s">
        <v>2383</v>
      </c>
    </row>
    <row r="4" spans="1:10" s="227" customFormat="1" ht="204">
      <c r="A4" s="219" t="s">
        <v>161</v>
      </c>
      <c r="B4" s="226">
        <v>0</v>
      </c>
      <c r="C4" s="219" t="s">
        <v>199</v>
      </c>
      <c r="D4" s="226">
        <v>0</v>
      </c>
      <c r="E4" s="219" t="s">
        <v>179</v>
      </c>
      <c r="F4" s="226">
        <v>0</v>
      </c>
      <c r="G4" s="219" t="s">
        <v>870</v>
      </c>
      <c r="H4" s="228" t="s">
        <v>2384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 customHeight="1">
      <c r="A6" s="234" t="s">
        <v>916</v>
      </c>
      <c r="B6" s="221" t="s">
        <v>677</v>
      </c>
      <c r="C6" s="235" t="s">
        <v>869</v>
      </c>
      <c r="D6" s="604" t="s">
        <v>2385</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702</v>
      </c>
      <c r="B10" s="13" t="s">
        <v>2386</v>
      </c>
      <c r="C10" s="13" t="s">
        <v>919</v>
      </c>
      <c r="D10" s="13" t="s">
        <v>2387</v>
      </c>
      <c r="E10" s="13" t="s">
        <v>356</v>
      </c>
      <c r="F10" s="13">
        <v>1</v>
      </c>
      <c r="G10" s="13">
        <v>1</v>
      </c>
      <c r="H10" s="13" t="s">
        <v>677</v>
      </c>
      <c r="I10" s="13" t="s">
        <v>2388</v>
      </c>
      <c r="J10" s="13" t="s">
        <v>2389</v>
      </c>
    </row>
    <row r="11" spans="1:10" ht="102">
      <c r="A11" s="13" t="s">
        <v>702</v>
      </c>
      <c r="B11" s="13" t="s">
        <v>2208</v>
      </c>
      <c r="C11" s="13" t="s">
        <v>933</v>
      </c>
      <c r="D11" s="13" t="s">
        <v>2390</v>
      </c>
      <c r="E11" s="13" t="s">
        <v>925</v>
      </c>
      <c r="F11" s="13">
        <v>1</v>
      </c>
      <c r="G11" s="13">
        <v>0</v>
      </c>
      <c r="H11" s="13" t="s">
        <v>677</v>
      </c>
      <c r="I11" s="13" t="s">
        <v>2391</v>
      </c>
      <c r="J11" s="13" t="s">
        <v>2392</v>
      </c>
    </row>
    <row r="12" spans="1:10" ht="63.75">
      <c r="A12" s="13" t="s">
        <v>702</v>
      </c>
      <c r="B12" s="13" t="s">
        <v>12</v>
      </c>
      <c r="C12" s="13" t="s">
        <v>923</v>
      </c>
      <c r="D12" s="13" t="s">
        <v>2393</v>
      </c>
      <c r="E12" s="13" t="s">
        <v>925</v>
      </c>
      <c r="F12" s="13">
        <v>1</v>
      </c>
      <c r="G12" s="13">
        <v>0</v>
      </c>
      <c r="H12" s="13" t="s">
        <v>677</v>
      </c>
      <c r="I12" s="13" t="s">
        <v>2394</v>
      </c>
      <c r="J12" s="13" t="s">
        <v>2395</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6.5">
      <c r="A16" s="13" t="s">
        <v>2386</v>
      </c>
      <c r="B16" s="13" t="s">
        <v>677</v>
      </c>
      <c r="C16" s="13" t="s">
        <v>677</v>
      </c>
      <c r="D16" s="13" t="s">
        <v>677</v>
      </c>
      <c r="E16" s="13" t="s">
        <v>677</v>
      </c>
      <c r="F16" s="13" t="s">
        <v>677</v>
      </c>
      <c r="G16" s="13" t="s">
        <v>677</v>
      </c>
      <c r="H16" s="13" t="s">
        <v>677</v>
      </c>
      <c r="I16" s="13" t="s">
        <v>677</v>
      </c>
      <c r="J16" s="13" t="s">
        <v>2306</v>
      </c>
    </row>
    <row r="17" spans="1:10" ht="63.75">
      <c r="A17" s="13" t="s">
        <v>2208</v>
      </c>
      <c r="B17" s="13" t="s">
        <v>946</v>
      </c>
      <c r="C17" s="13" t="s">
        <v>946</v>
      </c>
      <c r="D17" s="13" t="s">
        <v>946</v>
      </c>
      <c r="E17" s="13" t="s">
        <v>677</v>
      </c>
      <c r="F17" s="13" t="s">
        <v>677</v>
      </c>
      <c r="G17" s="13" t="s">
        <v>677</v>
      </c>
      <c r="H17" s="13" t="s">
        <v>677</v>
      </c>
      <c r="I17" s="13" t="s">
        <v>677</v>
      </c>
      <c r="J17" s="13" t="s">
        <v>2396</v>
      </c>
    </row>
    <row r="18" spans="1:10" ht="63.75">
      <c r="A18" s="13" t="s">
        <v>12</v>
      </c>
      <c r="B18" s="13" t="s">
        <v>946</v>
      </c>
      <c r="C18" s="13" t="s">
        <v>946</v>
      </c>
      <c r="D18" s="13" t="s">
        <v>946</v>
      </c>
      <c r="E18" s="13" t="s">
        <v>677</v>
      </c>
      <c r="F18" s="13" t="s">
        <v>677</v>
      </c>
      <c r="G18" s="13" t="s">
        <v>677</v>
      </c>
      <c r="H18" s="13" t="s">
        <v>677</v>
      </c>
      <c r="I18" s="13" t="s">
        <v>677</v>
      </c>
      <c r="J18" s="13" t="s">
        <v>2397</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2386</v>
      </c>
      <c r="B22" s="13" t="s">
        <v>677</v>
      </c>
      <c r="C22" s="13" t="s">
        <v>677</v>
      </c>
      <c r="D22" s="13" t="s">
        <v>677</v>
      </c>
      <c r="E22" s="13" t="s">
        <v>677</v>
      </c>
      <c r="F22" s="13" t="s">
        <v>677</v>
      </c>
      <c r="G22" s="13" t="s">
        <v>677</v>
      </c>
      <c r="H22" s="13" t="s">
        <v>677</v>
      </c>
      <c r="I22" s="13" t="s">
        <v>677</v>
      </c>
      <c r="J22" s="13" t="s">
        <v>2214</v>
      </c>
    </row>
    <row r="23" spans="1:10" ht="51">
      <c r="A23" s="13" t="s">
        <v>2208</v>
      </c>
      <c r="B23" s="13" t="s">
        <v>677</v>
      </c>
      <c r="C23" s="13" t="s">
        <v>679</v>
      </c>
      <c r="D23" s="13" t="s">
        <v>677</v>
      </c>
      <c r="E23" s="13" t="s">
        <v>677</v>
      </c>
      <c r="F23" s="13" t="s">
        <v>677</v>
      </c>
      <c r="G23" s="13" t="s">
        <v>677</v>
      </c>
      <c r="H23" s="13" t="s">
        <v>677</v>
      </c>
      <c r="I23" s="13" t="s">
        <v>677</v>
      </c>
      <c r="J23" s="13" t="s">
        <v>2215</v>
      </c>
    </row>
    <row r="24" spans="1:10" ht="38.25">
      <c r="A24" s="13" t="s">
        <v>12</v>
      </c>
      <c r="B24" s="13" t="s">
        <v>677</v>
      </c>
      <c r="C24" s="13" t="s">
        <v>679</v>
      </c>
      <c r="D24" s="13" t="s">
        <v>677</v>
      </c>
      <c r="E24" s="13" t="s">
        <v>677</v>
      </c>
      <c r="F24" s="13" t="s">
        <v>677</v>
      </c>
      <c r="G24" s="13" t="s">
        <v>677</v>
      </c>
      <c r="H24" s="13" t="s">
        <v>677</v>
      </c>
      <c r="I24" s="13" t="s">
        <v>677</v>
      </c>
      <c r="J24" s="13" t="s">
        <v>2398</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2386</v>
      </c>
      <c r="B28" s="13" t="s">
        <v>972</v>
      </c>
      <c r="C28" s="13" t="s">
        <v>677</v>
      </c>
      <c r="D28" s="13" t="s">
        <v>677</v>
      </c>
      <c r="E28" s="13" t="s">
        <v>677</v>
      </c>
      <c r="F28" s="13" t="s">
        <v>677</v>
      </c>
      <c r="G28" s="13" t="s">
        <v>677</v>
      </c>
      <c r="H28" s="13" t="s">
        <v>677</v>
      </c>
      <c r="I28" s="13" t="s">
        <v>677</v>
      </c>
      <c r="J28" s="13" t="s">
        <v>2399</v>
      </c>
    </row>
    <row r="29" spans="1:10" ht="63.75">
      <c r="A29" s="13" t="s">
        <v>2208</v>
      </c>
      <c r="B29" s="13" t="s">
        <v>2400</v>
      </c>
      <c r="C29" s="13" t="s">
        <v>677</v>
      </c>
      <c r="D29" s="13" t="s">
        <v>677</v>
      </c>
      <c r="E29" s="13" t="s">
        <v>677</v>
      </c>
      <c r="F29" s="13" t="s">
        <v>677</v>
      </c>
      <c r="G29" s="13" t="s">
        <v>677</v>
      </c>
      <c r="H29" s="13" t="s">
        <v>677</v>
      </c>
      <c r="I29" s="13" t="s">
        <v>677</v>
      </c>
      <c r="J29" s="13" t="s">
        <v>2401</v>
      </c>
    </row>
    <row r="30" spans="1:10" ht="51">
      <c r="A30" s="13" t="s">
        <v>12</v>
      </c>
      <c r="B30" s="13" t="s">
        <v>946</v>
      </c>
      <c r="C30" s="13" t="s">
        <v>677</v>
      </c>
      <c r="D30" s="13" t="s">
        <v>677</v>
      </c>
      <c r="E30" s="13" t="s">
        <v>677</v>
      </c>
      <c r="F30" s="13" t="s">
        <v>677</v>
      </c>
      <c r="G30" s="13" t="s">
        <v>677</v>
      </c>
      <c r="H30" s="13" t="s">
        <v>677</v>
      </c>
      <c r="I30" s="13" t="s">
        <v>677</v>
      </c>
      <c r="J30" s="13" t="s">
        <v>2402</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2386</v>
      </c>
      <c r="B34" s="13" t="s">
        <v>677</v>
      </c>
      <c r="C34" s="13" t="s">
        <v>2219</v>
      </c>
      <c r="D34" s="13" t="s">
        <v>677</v>
      </c>
      <c r="E34" s="13" t="s">
        <v>677</v>
      </c>
      <c r="F34" s="13" t="s">
        <v>2403</v>
      </c>
      <c r="G34" s="13" t="s">
        <v>677</v>
      </c>
      <c r="H34" s="13" t="s">
        <v>677</v>
      </c>
      <c r="I34" s="13" t="s">
        <v>677</v>
      </c>
      <c r="J34" s="13" t="s">
        <v>2404</v>
      </c>
    </row>
    <row r="35" spans="1:10" ht="63.75">
      <c r="A35" s="13" t="s">
        <v>2208</v>
      </c>
      <c r="B35" s="13" t="s">
        <v>988</v>
      </c>
      <c r="C35" s="13" t="s">
        <v>1485</v>
      </c>
      <c r="D35" s="13" t="s">
        <v>988</v>
      </c>
      <c r="E35" s="13" t="s">
        <v>677</v>
      </c>
      <c r="F35" s="13" t="s">
        <v>946</v>
      </c>
      <c r="G35" s="13" t="s">
        <v>677</v>
      </c>
      <c r="H35" s="13" t="s">
        <v>677</v>
      </c>
      <c r="I35" s="13" t="s">
        <v>677</v>
      </c>
      <c r="J35" s="13" t="s">
        <v>2405</v>
      </c>
    </row>
    <row r="36" spans="1:10" ht="38.25">
      <c r="A36" s="13" t="s">
        <v>12</v>
      </c>
      <c r="B36" s="13" t="s">
        <v>946</v>
      </c>
      <c r="C36" s="13" t="s">
        <v>946</v>
      </c>
      <c r="D36" s="13" t="s">
        <v>946</v>
      </c>
      <c r="E36" s="13" t="s">
        <v>677</v>
      </c>
      <c r="F36" s="13" t="s">
        <v>946</v>
      </c>
      <c r="G36" s="13" t="s">
        <v>677</v>
      </c>
      <c r="H36" s="13" t="s">
        <v>677</v>
      </c>
      <c r="I36" s="13" t="s">
        <v>677</v>
      </c>
      <c r="J36" s="13" t="s">
        <v>2406</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2">
      <c r="A40" s="13" t="s">
        <v>2386</v>
      </c>
      <c r="B40" s="13" t="s">
        <v>677</v>
      </c>
      <c r="C40" s="13" t="s">
        <v>677</v>
      </c>
      <c r="D40" s="13" t="s">
        <v>677</v>
      </c>
      <c r="E40" s="13" t="s">
        <v>677</v>
      </c>
      <c r="F40" s="13" t="s">
        <v>677</v>
      </c>
      <c r="G40" s="13" t="s">
        <v>677</v>
      </c>
      <c r="H40" s="13" t="s">
        <v>677</v>
      </c>
      <c r="I40" s="13" t="s">
        <v>677</v>
      </c>
      <c r="J40" s="13" t="s">
        <v>2407</v>
      </c>
    </row>
    <row r="41" spans="1:10" ht="89.25">
      <c r="A41" s="13" t="s">
        <v>2208</v>
      </c>
      <c r="B41" s="13" t="s">
        <v>988</v>
      </c>
      <c r="C41" s="13" t="s">
        <v>988</v>
      </c>
      <c r="D41" s="13" t="s">
        <v>988</v>
      </c>
      <c r="E41" s="13" t="s">
        <v>677</v>
      </c>
      <c r="F41" s="13" t="s">
        <v>677</v>
      </c>
      <c r="G41" s="13" t="s">
        <v>677</v>
      </c>
      <c r="H41" s="13" t="s">
        <v>677</v>
      </c>
      <c r="I41" s="13" t="s">
        <v>677</v>
      </c>
      <c r="J41" s="13" t="s">
        <v>2408</v>
      </c>
    </row>
    <row r="42" spans="1:10" ht="51">
      <c r="A42" s="13" t="s">
        <v>12</v>
      </c>
      <c r="B42" s="13" t="s">
        <v>988</v>
      </c>
      <c r="C42" s="13" t="s">
        <v>988</v>
      </c>
      <c r="D42" s="13" t="s">
        <v>988</v>
      </c>
      <c r="E42" s="13" t="s">
        <v>677</v>
      </c>
      <c r="F42" s="13" t="s">
        <v>677</v>
      </c>
      <c r="G42" s="13" t="s">
        <v>677</v>
      </c>
      <c r="H42" s="13" t="s">
        <v>677</v>
      </c>
      <c r="I42" s="13" t="s">
        <v>677</v>
      </c>
      <c r="J42" s="13" t="s">
        <v>2409</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2386</v>
      </c>
      <c r="B46" s="13" t="s">
        <v>677</v>
      </c>
      <c r="C46" s="13" t="s">
        <v>677</v>
      </c>
      <c r="D46" s="13" t="s">
        <v>677</v>
      </c>
      <c r="E46" s="13" t="s">
        <v>677</v>
      </c>
      <c r="F46" s="13" t="s">
        <v>677</v>
      </c>
      <c r="G46" s="13" t="s">
        <v>677</v>
      </c>
      <c r="H46" s="13" t="s">
        <v>677</v>
      </c>
      <c r="I46" s="13" t="s">
        <v>677</v>
      </c>
      <c r="J46" s="13" t="s">
        <v>2410</v>
      </c>
    </row>
    <row r="47" spans="1:10" ht="63.75">
      <c r="A47" s="13" t="s">
        <v>2208</v>
      </c>
      <c r="B47" s="13" t="s">
        <v>677</v>
      </c>
      <c r="C47" s="13" t="s">
        <v>677</v>
      </c>
      <c r="D47" s="13" t="s">
        <v>677</v>
      </c>
      <c r="E47" s="13" t="s">
        <v>677</v>
      </c>
      <c r="F47" s="13" t="s">
        <v>677</v>
      </c>
      <c r="G47" s="13" t="s">
        <v>677</v>
      </c>
      <c r="H47" s="13" t="s">
        <v>677</v>
      </c>
      <c r="I47" s="13" t="s">
        <v>677</v>
      </c>
      <c r="J47" s="13" t="s">
        <v>2226</v>
      </c>
    </row>
    <row r="48" spans="1:10" ht="38.25">
      <c r="A48" s="13" t="s">
        <v>12</v>
      </c>
      <c r="B48" s="13" t="s">
        <v>677</v>
      </c>
      <c r="C48" s="13" t="s">
        <v>677</v>
      </c>
      <c r="D48" s="13" t="s">
        <v>677</v>
      </c>
      <c r="E48" s="13" t="s">
        <v>677</v>
      </c>
      <c r="F48" s="13" t="s">
        <v>677</v>
      </c>
      <c r="G48" s="13" t="s">
        <v>677</v>
      </c>
      <c r="H48" s="13" t="s">
        <v>677</v>
      </c>
      <c r="I48" s="13" t="s">
        <v>677</v>
      </c>
      <c r="J48" s="13" t="s">
        <v>2323</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3.75">
      <c r="A52" s="13" t="s">
        <v>2411</v>
      </c>
      <c r="B52" s="13" t="s">
        <v>575</v>
      </c>
      <c r="C52" s="13" t="s">
        <v>2412</v>
      </c>
      <c r="D52" s="13" t="s">
        <v>391</v>
      </c>
      <c r="E52" s="13" t="s">
        <v>488</v>
      </c>
      <c r="F52" s="13">
        <v>6</v>
      </c>
      <c r="G52" s="13" t="s">
        <v>1381</v>
      </c>
      <c r="H52" s="13" t="s">
        <v>1023</v>
      </c>
      <c r="I52" s="13" t="s">
        <v>502</v>
      </c>
      <c r="J52" s="13" t="s">
        <v>2413</v>
      </c>
    </row>
    <row r="53" spans="1:10" ht="63.75">
      <c r="A53" s="13" t="s">
        <v>2414</v>
      </c>
      <c r="B53" s="13" t="s">
        <v>2386</v>
      </c>
      <c r="C53" s="13" t="s">
        <v>2231</v>
      </c>
      <c r="D53" s="13" t="s">
        <v>391</v>
      </c>
      <c r="E53" s="13" t="s">
        <v>488</v>
      </c>
      <c r="F53" s="13">
        <v>6</v>
      </c>
      <c r="G53" s="13" t="s">
        <v>2232</v>
      </c>
      <c r="H53" s="13" t="s">
        <v>1858</v>
      </c>
      <c r="I53" s="13" t="s">
        <v>502</v>
      </c>
      <c r="J53" s="13" t="s">
        <v>2415</v>
      </c>
    </row>
    <row r="54" spans="1:10" ht="76.5">
      <c r="A54" s="13" t="s">
        <v>2416</v>
      </c>
      <c r="B54" s="13" t="s">
        <v>2417</v>
      </c>
      <c r="C54" s="13" t="s">
        <v>2418</v>
      </c>
      <c r="D54" s="13" t="s">
        <v>492</v>
      </c>
      <c r="E54" s="13" t="s">
        <v>488</v>
      </c>
      <c r="F54" s="13">
        <v>8</v>
      </c>
      <c r="G54" s="13" t="s">
        <v>2236</v>
      </c>
      <c r="H54" s="13" t="s">
        <v>584</v>
      </c>
      <c r="I54" s="13" t="s">
        <v>502</v>
      </c>
      <c r="J54" s="13" t="s">
        <v>2419</v>
      </c>
    </row>
    <row r="55" spans="1:10" ht="76.5">
      <c r="A55" s="13" t="s">
        <v>2420</v>
      </c>
      <c r="B55" s="13" t="s">
        <v>2386</v>
      </c>
      <c r="C55" s="13" t="s">
        <v>593</v>
      </c>
      <c r="D55" s="13" t="s">
        <v>492</v>
      </c>
      <c r="E55" s="13" t="s">
        <v>488</v>
      </c>
      <c r="F55" s="13">
        <v>8</v>
      </c>
      <c r="G55" s="13" t="s">
        <v>2239</v>
      </c>
      <c r="H55" s="13" t="s">
        <v>592</v>
      </c>
      <c r="I55" s="13" t="s">
        <v>502</v>
      </c>
      <c r="J55" s="13" t="s">
        <v>1028</v>
      </c>
    </row>
    <row r="56" spans="1:10" ht="89.25">
      <c r="A56" s="13" t="s">
        <v>2421</v>
      </c>
      <c r="B56" s="13" t="s">
        <v>2386</v>
      </c>
      <c r="C56" s="13" t="s">
        <v>2241</v>
      </c>
      <c r="D56" s="13" t="s">
        <v>391</v>
      </c>
      <c r="E56" s="13" t="s">
        <v>488</v>
      </c>
      <c r="F56" s="13">
        <v>6</v>
      </c>
      <c r="G56" s="13" t="s">
        <v>2422</v>
      </c>
      <c r="H56" s="13" t="s">
        <v>1032</v>
      </c>
      <c r="I56" s="13" t="s">
        <v>502</v>
      </c>
      <c r="J56" s="13" t="s">
        <v>2423</v>
      </c>
    </row>
    <row r="57" spans="1:10" ht="102">
      <c r="A57" s="13" t="s">
        <v>2424</v>
      </c>
      <c r="B57" s="13" t="s">
        <v>2386</v>
      </c>
      <c r="C57" s="13" t="s">
        <v>2245</v>
      </c>
      <c r="D57" s="13" t="s">
        <v>391</v>
      </c>
      <c r="E57" s="13" t="s">
        <v>488</v>
      </c>
      <c r="F57" s="13">
        <v>6</v>
      </c>
      <c r="G57" s="13" t="s">
        <v>2246</v>
      </c>
      <c r="H57" s="13" t="s">
        <v>1403</v>
      </c>
      <c r="I57" s="13" t="s">
        <v>502</v>
      </c>
      <c r="J57" s="13" t="s">
        <v>2247</v>
      </c>
    </row>
    <row r="58" spans="1:10" ht="76.5">
      <c r="A58" s="13" t="s">
        <v>2425</v>
      </c>
      <c r="B58" s="13" t="s">
        <v>575</v>
      </c>
      <c r="C58" s="13" t="s">
        <v>2339</v>
      </c>
      <c r="D58" s="13" t="s">
        <v>492</v>
      </c>
      <c r="E58" s="13" t="s">
        <v>488</v>
      </c>
      <c r="F58" s="13">
        <v>8</v>
      </c>
      <c r="G58" s="13" t="s">
        <v>1039</v>
      </c>
      <c r="H58" s="13" t="s">
        <v>584</v>
      </c>
      <c r="I58" s="13" t="s">
        <v>502</v>
      </c>
      <c r="J58" s="13" t="s">
        <v>2426</v>
      </c>
    </row>
    <row r="59" spans="1:10" ht="89.25">
      <c r="A59" s="13" t="s">
        <v>2427</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2428</v>
      </c>
      <c r="B63" s="13" t="s">
        <v>2429</v>
      </c>
      <c r="C63" s="13" t="s">
        <v>579</v>
      </c>
      <c r="D63" s="13" t="s">
        <v>502</v>
      </c>
      <c r="E63" s="13"/>
      <c r="F63" s="13"/>
      <c r="G63" s="13" t="s">
        <v>580</v>
      </c>
      <c r="H63" s="13"/>
      <c r="I63" s="13"/>
      <c r="J63" s="13"/>
    </row>
    <row r="64" spans="1:10" ht="76.5">
      <c r="A64" s="13" t="s">
        <v>2430</v>
      </c>
      <c r="B64" s="13" t="s">
        <v>2431</v>
      </c>
      <c r="C64" s="13" t="s">
        <v>2432</v>
      </c>
      <c r="D64" s="13" t="s">
        <v>502</v>
      </c>
      <c r="E64" s="13"/>
      <c r="F64" s="13"/>
      <c r="G64" s="13" t="s">
        <v>2433</v>
      </c>
      <c r="H64" s="13"/>
      <c r="I64" s="13"/>
      <c r="J64" s="13"/>
    </row>
    <row r="65" spans="1:10" ht="63.75">
      <c r="A65" s="13" t="s">
        <v>2434</v>
      </c>
      <c r="B65" s="13" t="s">
        <v>2435</v>
      </c>
      <c r="C65" s="13" t="s">
        <v>587</v>
      </c>
      <c r="D65" s="13" t="s">
        <v>502</v>
      </c>
      <c r="E65" s="13"/>
      <c r="F65" s="13"/>
      <c r="G65" s="13" t="s">
        <v>588</v>
      </c>
      <c r="H65" s="13"/>
      <c r="I65" s="13"/>
      <c r="J65" s="13"/>
    </row>
    <row r="66" spans="1:10" ht="63.75">
      <c r="A66" s="13" t="s">
        <v>2436</v>
      </c>
      <c r="B66" s="13" t="s">
        <v>2437</v>
      </c>
      <c r="C66" s="13" t="s">
        <v>1858</v>
      </c>
      <c r="D66" s="13" t="s">
        <v>502</v>
      </c>
      <c r="E66" s="13"/>
      <c r="F66" s="13"/>
      <c r="G66" s="13" t="s">
        <v>1859</v>
      </c>
      <c r="H66" s="13"/>
      <c r="I66" s="13"/>
      <c r="J66" s="13"/>
    </row>
    <row r="67" spans="1:10" ht="76.5">
      <c r="A67" s="13" t="s">
        <v>2438</v>
      </c>
      <c r="B67" s="13" t="s">
        <v>2439</v>
      </c>
      <c r="C67" s="13" t="s">
        <v>601</v>
      </c>
      <c r="D67" s="13" t="s">
        <v>502</v>
      </c>
      <c r="E67" s="13"/>
      <c r="F67" s="13"/>
      <c r="G67" s="13" t="s">
        <v>602</v>
      </c>
      <c r="H67" s="13"/>
      <c r="I67" s="13"/>
      <c r="J67" s="13"/>
    </row>
    <row r="68" spans="1:10" ht="63.75">
      <c r="A68" s="13" t="s">
        <v>2440</v>
      </c>
      <c r="B68" s="13" t="s">
        <v>2441</v>
      </c>
      <c r="C68" s="13" t="s">
        <v>609</v>
      </c>
      <c r="D68" s="13" t="s">
        <v>502</v>
      </c>
      <c r="E68" s="13"/>
      <c r="F68" s="13"/>
      <c r="G68" s="13" t="s">
        <v>610</v>
      </c>
      <c r="H68" s="13"/>
      <c r="I68" s="13"/>
      <c r="J68" s="13"/>
    </row>
    <row r="69" spans="1:10" ht="76.5">
      <c r="A69" s="13" t="s">
        <v>2442</v>
      </c>
      <c r="B69" s="13" t="s">
        <v>2443</v>
      </c>
      <c r="C69" s="13" t="s">
        <v>616</v>
      </c>
      <c r="D69" s="13" t="s">
        <v>502</v>
      </c>
      <c r="E69" s="13"/>
      <c r="F69" s="13"/>
      <c r="G69" s="13" t="s">
        <v>617</v>
      </c>
      <c r="H69" s="13"/>
      <c r="I69" s="13"/>
      <c r="J69" s="13"/>
    </row>
    <row r="70" spans="1:10" ht="89.25">
      <c r="A70" s="13" t="s">
        <v>2444</v>
      </c>
      <c r="B70" s="13" t="s">
        <v>624</v>
      </c>
      <c r="C70" s="13" t="s">
        <v>622</v>
      </c>
      <c r="D70" s="13" t="s">
        <v>502</v>
      </c>
      <c r="E70" s="13"/>
      <c r="F70" s="13"/>
      <c r="G70" s="13" t="s">
        <v>623</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2445</v>
      </c>
      <c r="B74" s="13" t="s">
        <v>2386</v>
      </c>
      <c r="C74" s="13" t="s">
        <v>269</v>
      </c>
      <c r="D74" s="13" t="s">
        <v>2446</v>
      </c>
      <c r="E74" s="13"/>
      <c r="F74" s="13" t="s">
        <v>229</v>
      </c>
      <c r="G74" s="13"/>
      <c r="H74" s="13" t="s">
        <v>2447</v>
      </c>
      <c r="I74" s="13" t="s">
        <v>502</v>
      </c>
      <c r="J74" s="13"/>
    </row>
    <row r="75" spans="1:10" ht="102">
      <c r="A75" s="13" t="s">
        <v>2448</v>
      </c>
      <c r="B75" s="13" t="s">
        <v>2208</v>
      </c>
      <c r="C75" s="13" t="s">
        <v>269</v>
      </c>
      <c r="D75" s="13" t="s">
        <v>2449</v>
      </c>
      <c r="E75" s="13"/>
      <c r="F75" s="13" t="s">
        <v>229</v>
      </c>
      <c r="G75" s="13"/>
      <c r="H75" s="13" t="s">
        <v>2450</v>
      </c>
      <c r="I75" s="13" t="s">
        <v>502</v>
      </c>
      <c r="J75" s="13"/>
    </row>
    <row r="76" spans="1:10" ht="89.25">
      <c r="A76" s="13" t="s">
        <v>2451</v>
      </c>
      <c r="B76" s="13" t="s">
        <v>12</v>
      </c>
      <c r="C76" s="13" t="s">
        <v>269</v>
      </c>
      <c r="D76" s="13" t="s">
        <v>2452</v>
      </c>
      <c r="E76" s="13"/>
      <c r="F76" s="13" t="s">
        <v>229</v>
      </c>
      <c r="G76" s="13"/>
      <c r="H76" s="13" t="s">
        <v>2450</v>
      </c>
      <c r="I76" s="13" t="s">
        <v>502</v>
      </c>
      <c r="J76" s="13"/>
    </row>
    <row r="77" spans="1:10" ht="114.75">
      <c r="A77" s="13" t="s">
        <v>2453</v>
      </c>
      <c r="B77" s="13" t="s">
        <v>2386</v>
      </c>
      <c r="C77" s="13" t="s">
        <v>749</v>
      </c>
      <c r="D77" s="13" t="s">
        <v>2454</v>
      </c>
      <c r="E77" s="13"/>
      <c r="F77" s="13" t="s">
        <v>229</v>
      </c>
      <c r="G77" s="13"/>
      <c r="H77" s="13" t="s">
        <v>2414</v>
      </c>
      <c r="I77" s="13" t="s">
        <v>502</v>
      </c>
      <c r="J77" s="13"/>
    </row>
    <row r="78" spans="1:10" ht="63.75">
      <c r="A78" s="13" t="s">
        <v>2455</v>
      </c>
      <c r="B78" s="13" t="s">
        <v>2386</v>
      </c>
      <c r="C78" s="13" t="s">
        <v>957</v>
      </c>
      <c r="D78" s="13" t="s">
        <v>1659</v>
      </c>
      <c r="E78" s="13"/>
      <c r="F78" s="13" t="s">
        <v>229</v>
      </c>
      <c r="G78" s="13"/>
      <c r="H78" s="13" t="s">
        <v>2424</v>
      </c>
      <c r="I78" s="13" t="s">
        <v>502</v>
      </c>
      <c r="J78" s="13"/>
    </row>
    <row r="79" spans="1:10" ht="89.25">
      <c r="A79" s="13" t="s">
        <v>2456</v>
      </c>
      <c r="B79" s="13" t="s">
        <v>2386</v>
      </c>
      <c r="C79" s="13" t="s">
        <v>148</v>
      </c>
      <c r="D79" s="13" t="s">
        <v>2081</v>
      </c>
      <c r="E79" s="13"/>
      <c r="F79" s="13" t="s">
        <v>229</v>
      </c>
      <c r="G79" s="13"/>
      <c r="H79" s="13" t="s">
        <v>2420</v>
      </c>
      <c r="I79" s="13" t="s">
        <v>502</v>
      </c>
      <c r="J79" s="13"/>
    </row>
    <row r="80" spans="1:10" ht="89.25">
      <c r="A80" s="13" t="s">
        <v>2457</v>
      </c>
      <c r="B80" s="13" t="s">
        <v>2386</v>
      </c>
      <c r="C80" s="13" t="s">
        <v>153</v>
      </c>
      <c r="D80" s="13" t="s">
        <v>2458</v>
      </c>
      <c r="E80" s="13"/>
      <c r="F80" s="13" t="s">
        <v>229</v>
      </c>
      <c r="G80" s="13"/>
      <c r="H80" s="13" t="s">
        <v>2421</v>
      </c>
      <c r="I80" s="13" t="s">
        <v>502</v>
      </c>
      <c r="J80" s="13"/>
    </row>
    <row r="81" spans="1:10" ht="102">
      <c r="A81" s="13" t="s">
        <v>2459</v>
      </c>
      <c r="B81" s="13" t="s">
        <v>2460</v>
      </c>
      <c r="C81" s="13" t="s">
        <v>1975</v>
      </c>
      <c r="D81" s="13" t="s">
        <v>2461</v>
      </c>
      <c r="E81" s="13"/>
      <c r="F81" s="13" t="s">
        <v>229</v>
      </c>
      <c r="G81" s="13"/>
      <c r="H81" s="13" t="s">
        <v>2462</v>
      </c>
      <c r="I81" s="13" t="s">
        <v>502</v>
      </c>
      <c r="J81" s="13"/>
    </row>
    <row r="82" spans="1:10">
      <c r="A82" s="13"/>
      <c r="B82" s="13"/>
      <c r="C82" s="13"/>
      <c r="D82" s="13"/>
      <c r="E82" s="13"/>
      <c r="F82" s="13"/>
      <c r="G82" s="13"/>
      <c r="H82" s="13"/>
      <c r="I82" s="13"/>
      <c r="J82" s="13"/>
    </row>
    <row r="83" spans="1:10" ht="45">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2386</v>
      </c>
      <c r="B85" s="13">
        <v>0.5</v>
      </c>
      <c r="C85" s="13">
        <v>0.5</v>
      </c>
      <c r="D85" s="13">
        <v>0.5</v>
      </c>
      <c r="E85" s="13">
        <v>0.5</v>
      </c>
      <c r="F85" s="13">
        <v>0.5</v>
      </c>
      <c r="G85" s="13" t="s">
        <v>677</v>
      </c>
      <c r="H85" s="13">
        <v>0.5</v>
      </c>
      <c r="I85" s="13" t="s">
        <v>1201</v>
      </c>
      <c r="J85" s="13" t="s">
        <v>2463</v>
      </c>
    </row>
    <row r="86" spans="1:10" ht="38.25">
      <c r="A86" s="13" t="s">
        <v>2208</v>
      </c>
      <c r="B86" s="13">
        <v>0.5</v>
      </c>
      <c r="C86" s="13">
        <v>0.5</v>
      </c>
      <c r="D86" s="13">
        <v>0.5</v>
      </c>
      <c r="E86" s="13">
        <v>0.5</v>
      </c>
      <c r="F86" s="13">
        <v>0.5</v>
      </c>
      <c r="G86" s="13" t="s">
        <v>677</v>
      </c>
      <c r="H86" s="13">
        <v>0.5</v>
      </c>
      <c r="I86" s="13" t="s">
        <v>1201</v>
      </c>
      <c r="J86" s="13" t="s">
        <v>2285</v>
      </c>
    </row>
    <row r="87" spans="1:10" ht="38.25">
      <c r="A87" s="13" t="s">
        <v>12</v>
      </c>
      <c r="B87" s="13">
        <v>0.5</v>
      </c>
      <c r="C87" s="13">
        <v>0.5</v>
      </c>
      <c r="D87" s="13">
        <v>0.5</v>
      </c>
      <c r="E87" s="13">
        <v>0.5</v>
      </c>
      <c r="F87" s="13">
        <v>0.5</v>
      </c>
      <c r="G87" s="13" t="s">
        <v>677</v>
      </c>
      <c r="H87" s="13">
        <v>0.5</v>
      </c>
      <c r="I87" s="13" t="s">
        <v>1201</v>
      </c>
      <c r="J87" s="13" t="s">
        <v>2464</v>
      </c>
    </row>
    <row r="88" spans="1:10">
      <c r="A88" s="13"/>
      <c r="B88" s="13"/>
      <c r="C88" s="13"/>
      <c r="D88" s="13"/>
      <c r="E88" s="13"/>
      <c r="F88" s="13"/>
      <c r="G88" s="13"/>
      <c r="H88" s="13"/>
      <c r="I88" s="13"/>
      <c r="J88" s="13"/>
    </row>
    <row r="89" spans="1:10" ht="45">
      <c r="A89" s="85" t="s">
        <v>1085</v>
      </c>
      <c r="B89" s="85"/>
      <c r="C89" s="85"/>
      <c r="D89" s="85"/>
      <c r="E89" s="85"/>
      <c r="F89" s="85"/>
      <c r="G89" s="85"/>
      <c r="H89" s="85"/>
      <c r="I89" s="85"/>
      <c r="J89" s="85"/>
    </row>
    <row r="90" spans="1:10" ht="51">
      <c r="A90" s="50" t="s">
        <v>905</v>
      </c>
      <c r="B90" s="50" t="s">
        <v>2465</v>
      </c>
      <c r="C90" s="50"/>
      <c r="D90" s="50"/>
      <c r="E90" s="50"/>
      <c r="F90" s="50"/>
      <c r="G90" s="50"/>
      <c r="H90" s="50"/>
      <c r="I90" s="50"/>
      <c r="J90" s="50"/>
    </row>
    <row r="91" spans="1:10" ht="191.25">
      <c r="A91" s="13" t="s">
        <v>1086</v>
      </c>
      <c r="B91" s="13" t="s">
        <v>2466</v>
      </c>
      <c r="C91" s="13"/>
      <c r="D91" s="13"/>
      <c r="E91" s="13"/>
      <c r="F91" s="13"/>
      <c r="G91" s="13"/>
      <c r="H91" s="13"/>
      <c r="I91" s="13"/>
      <c r="J91" s="13"/>
    </row>
    <row r="92" spans="1:10" ht="140.25">
      <c r="A92" s="13" t="s">
        <v>2090</v>
      </c>
      <c r="B92" s="13" t="s">
        <v>2467</v>
      </c>
      <c r="C92" s="13"/>
      <c r="D92" s="13"/>
      <c r="E92" s="13"/>
      <c r="F92" s="13"/>
      <c r="G92" s="13"/>
      <c r="H92" s="13"/>
      <c r="I92" s="13"/>
      <c r="J92" s="13"/>
    </row>
    <row r="93" spans="1:10" ht="242.25">
      <c r="A93" s="13" t="s">
        <v>1088</v>
      </c>
      <c r="B93" s="13" t="s">
        <v>2468</v>
      </c>
      <c r="C93" s="13"/>
      <c r="D93" s="13"/>
      <c r="E93" s="13"/>
      <c r="F93" s="13"/>
      <c r="G93" s="13"/>
      <c r="H93" s="13"/>
      <c r="I93" s="13"/>
      <c r="J93" s="13"/>
    </row>
    <row r="94" spans="1:10" ht="165.75">
      <c r="A94" s="13" t="s">
        <v>1089</v>
      </c>
      <c r="B94" s="13" t="s">
        <v>2469</v>
      </c>
      <c r="C94" s="13"/>
      <c r="D94" s="13"/>
      <c r="E94" s="13"/>
      <c r="F94" s="13"/>
      <c r="G94" s="13"/>
      <c r="H94" s="13"/>
      <c r="I94" s="13"/>
      <c r="J94" s="13"/>
    </row>
    <row r="95" spans="1:10" ht="165.75">
      <c r="A95" s="13" t="s">
        <v>1090</v>
      </c>
      <c r="B95" s="13" t="s">
        <v>2470</v>
      </c>
      <c r="C95" s="13"/>
      <c r="D95" s="13"/>
      <c r="E95" s="13"/>
      <c r="F95" s="13"/>
      <c r="G95" s="13"/>
      <c r="H95" s="13"/>
      <c r="I95" s="13"/>
      <c r="J95" s="13"/>
    </row>
    <row r="96" spans="1:10" ht="191.25">
      <c r="A96" s="13" t="s">
        <v>1563</v>
      </c>
      <c r="B96" s="13" t="s">
        <v>1776</v>
      </c>
      <c r="C96" s="13"/>
      <c r="D96" s="13"/>
      <c r="E96" s="13"/>
      <c r="F96" s="13"/>
      <c r="G96" s="13"/>
      <c r="H96" s="13"/>
      <c r="I96" s="13"/>
      <c r="J96" s="13"/>
    </row>
    <row r="98" spans="1:10" ht="15.75" thickBot="1"/>
    <row r="99" spans="1:10">
      <c r="A99" s="605" t="s">
        <v>5668</v>
      </c>
      <c r="B99" s="602"/>
      <c r="C99" s="602"/>
      <c r="D99" s="606"/>
      <c r="E99" s="602"/>
      <c r="F99" s="602"/>
      <c r="G99" s="606"/>
      <c r="H99" s="606"/>
      <c r="I99" s="606"/>
      <c r="J99" s="607"/>
    </row>
    <row r="100" spans="1:10">
      <c r="A100" s="321" t="s">
        <v>5610</v>
      </c>
      <c r="B100" s="322" t="s">
        <v>77</v>
      </c>
      <c r="C100" s="322" t="s">
        <v>5611</v>
      </c>
      <c r="D100" s="322" t="s">
        <v>5612</v>
      </c>
      <c r="E100" s="322" t="s">
        <v>5634</v>
      </c>
      <c r="F100" s="322" t="s">
        <v>5601</v>
      </c>
      <c r="G100" s="578" t="s">
        <v>5635</v>
      </c>
      <c r="H100" s="578"/>
      <c r="I100" s="578"/>
      <c r="J100" s="579"/>
    </row>
    <row r="101" spans="1:10" ht="25.5">
      <c r="A101" s="323" t="s">
        <v>5613</v>
      </c>
      <c r="B101" s="333" t="s">
        <v>484</v>
      </c>
      <c r="C101" s="325">
        <v>0</v>
      </c>
      <c r="D101" s="325">
        <v>0</v>
      </c>
      <c r="E101" s="192" t="s">
        <v>5674</v>
      </c>
      <c r="F101" s="325">
        <f>IF(AND(C101&lt;&gt;"",D101&lt;&gt;""),D101-C101,"")</f>
        <v>0</v>
      </c>
      <c r="G101" s="608"/>
      <c r="H101" s="608"/>
      <c r="I101" s="608"/>
      <c r="J101" s="609"/>
    </row>
    <row r="102" spans="1:10" ht="25.5">
      <c r="A102" s="326" t="s">
        <v>5614</v>
      </c>
      <c r="B102" s="333" t="s">
        <v>484</v>
      </c>
      <c r="C102" s="327">
        <v>1</v>
      </c>
      <c r="D102" s="327">
        <v>0</v>
      </c>
      <c r="E102" s="310" t="s">
        <v>5675</v>
      </c>
      <c r="F102" s="327">
        <f>IF(AND(C102&lt;&gt;"",D102&lt;&gt;""),D102-C102,"")</f>
        <v>-1</v>
      </c>
      <c r="G102" s="610"/>
      <c r="H102" s="610"/>
      <c r="I102" s="610"/>
      <c r="J102" s="611"/>
    </row>
    <row r="103" spans="1:10">
      <c r="A103" s="323" t="s">
        <v>5615</v>
      </c>
      <c r="B103" s="333" t="s">
        <v>484</v>
      </c>
      <c r="C103" s="327">
        <v>1</v>
      </c>
      <c r="D103" s="327">
        <v>0</v>
      </c>
      <c r="E103" s="310" t="s">
        <v>5675</v>
      </c>
      <c r="F103" s="325">
        <f>IF(AND(C103&lt;&gt;"",D103&lt;&gt;""),D103-C103,"")</f>
        <v>-1</v>
      </c>
      <c r="G103" s="328"/>
      <c r="H103" s="227"/>
      <c r="I103" s="227"/>
      <c r="J103" s="329"/>
    </row>
    <row r="104" spans="1:10">
      <c r="A104" s="326" t="s">
        <v>5616</v>
      </c>
      <c r="B104" s="333" t="s">
        <v>484</v>
      </c>
      <c r="C104" s="327">
        <v>1</v>
      </c>
      <c r="D104" s="327">
        <v>0</v>
      </c>
      <c r="E104" s="310" t="s">
        <v>5675</v>
      </c>
      <c r="F104" s="327">
        <f>IF(AND(C104&lt;&gt;"",D104&lt;&gt;""),D104-C104,"")</f>
        <v>-1</v>
      </c>
      <c r="G104" s="610"/>
      <c r="H104" s="610"/>
      <c r="I104" s="610"/>
      <c r="J104" s="611"/>
    </row>
    <row r="105" spans="1:10">
      <c r="A105" s="323" t="s">
        <v>5168</v>
      </c>
      <c r="B105" s="333" t="s">
        <v>484</v>
      </c>
      <c r="C105" s="327">
        <v>1</v>
      </c>
      <c r="D105" s="327">
        <v>0</v>
      </c>
      <c r="E105" s="310" t="s">
        <v>5675</v>
      </c>
      <c r="F105" s="325">
        <f>IF(AND(C105&lt;&gt;"",D105&lt;&gt;""),D105-C105,"")</f>
        <v>-1</v>
      </c>
      <c r="G105" s="328"/>
      <c r="H105" s="227"/>
      <c r="I105" s="227"/>
      <c r="J105" s="329"/>
    </row>
    <row r="106" spans="1:10" ht="15.75">
      <c r="A106" s="585" t="s">
        <v>5636</v>
      </c>
      <c r="B106" s="586"/>
      <c r="C106" s="330">
        <f>IFERROR(AVERAGE(C101:C105),"")</f>
        <v>0.8</v>
      </c>
      <c r="D106" s="330">
        <f>IFERROR(AVERAGE(D101:D105),"")</f>
        <v>0</v>
      </c>
      <c r="E106" s="589" t="s">
        <v>5637</v>
      </c>
      <c r="F106" s="589"/>
      <c r="G106" s="589"/>
      <c r="H106" s="589"/>
      <c r="I106" s="589"/>
      <c r="J106" s="590"/>
    </row>
    <row r="107" spans="1:10">
      <c r="A107" s="331"/>
      <c r="B107" s="316"/>
      <c r="C107" s="316"/>
      <c r="D107" s="316"/>
      <c r="E107" s="316"/>
      <c r="F107" s="316"/>
      <c r="G107" s="316"/>
      <c r="H107" s="227"/>
      <c r="I107" s="227"/>
      <c r="J107" s="329"/>
    </row>
    <row r="108" spans="1:10">
      <c r="A108" s="574" t="s">
        <v>5669</v>
      </c>
      <c r="B108" s="582"/>
      <c r="C108" s="582"/>
      <c r="D108" s="575"/>
      <c r="E108" s="582"/>
      <c r="F108" s="582"/>
      <c r="G108" s="575"/>
      <c r="H108" s="575"/>
      <c r="I108" s="575"/>
      <c r="J108" s="576"/>
    </row>
    <row r="109" spans="1:10">
      <c r="A109" s="321" t="s">
        <v>4946</v>
      </c>
      <c r="B109" s="322" t="s">
        <v>77</v>
      </c>
      <c r="C109" s="322" t="s">
        <v>5676</v>
      </c>
      <c r="D109" s="322" t="s">
        <v>482</v>
      </c>
      <c r="E109" s="322" t="s">
        <v>572</v>
      </c>
      <c r="F109" s="322" t="s">
        <v>5639</v>
      </c>
      <c r="G109" s="578" t="s">
        <v>5640</v>
      </c>
      <c r="H109" s="578"/>
      <c r="I109" s="578"/>
      <c r="J109" s="579"/>
    </row>
    <row r="110" spans="1:10" ht="25.5">
      <c r="A110" s="326" t="s">
        <v>5602</v>
      </c>
      <c r="B110" s="333" t="s">
        <v>484</v>
      </c>
      <c r="C110" s="332" t="s">
        <v>679</v>
      </c>
      <c r="D110" s="324" t="s">
        <v>679</v>
      </c>
      <c r="E110" s="332">
        <f>IF(D110="Yes",1,0)</f>
        <v>0</v>
      </c>
      <c r="F110" s="580"/>
      <c r="G110" s="580"/>
      <c r="H110" s="580"/>
      <c r="I110" s="580"/>
      <c r="J110" s="581"/>
    </row>
    <row r="111" spans="1:10">
      <c r="A111" s="323" t="s">
        <v>995</v>
      </c>
      <c r="B111" s="333" t="s">
        <v>484</v>
      </c>
      <c r="C111" s="332" t="s">
        <v>679</v>
      </c>
      <c r="D111" s="324" t="s">
        <v>679</v>
      </c>
      <c r="E111" s="324">
        <f t="shared" ref="E111:E117" si="0">IF(D111="Yes",1,0)</f>
        <v>0</v>
      </c>
      <c r="F111" s="580"/>
      <c r="G111" s="580"/>
      <c r="H111" s="580"/>
      <c r="I111" s="580"/>
      <c r="J111" s="581"/>
    </row>
    <row r="112" spans="1:10">
      <c r="A112" s="326" t="s">
        <v>5603</v>
      </c>
      <c r="B112" s="333" t="s">
        <v>484</v>
      </c>
      <c r="C112" s="332" t="s">
        <v>679</v>
      </c>
      <c r="D112" s="324" t="s">
        <v>679</v>
      </c>
      <c r="E112" s="332">
        <f t="shared" si="0"/>
        <v>0</v>
      </c>
      <c r="F112" s="580"/>
      <c r="G112" s="580"/>
      <c r="H112" s="580"/>
      <c r="I112" s="580"/>
      <c r="J112" s="581"/>
    </row>
    <row r="113" spans="1:10">
      <c r="A113" s="323" t="s">
        <v>5617</v>
      </c>
      <c r="B113" s="333" t="s">
        <v>484</v>
      </c>
      <c r="C113" s="332" t="s">
        <v>679</v>
      </c>
      <c r="D113" s="324" t="s">
        <v>679</v>
      </c>
      <c r="E113" s="324">
        <f t="shared" si="0"/>
        <v>0</v>
      </c>
      <c r="F113" s="580"/>
      <c r="G113" s="580"/>
      <c r="H113" s="580"/>
      <c r="I113" s="580"/>
      <c r="J113" s="581"/>
    </row>
    <row r="114" spans="1:10" ht="38.25">
      <c r="A114" s="326" t="s">
        <v>5618</v>
      </c>
      <c r="B114" s="333" t="s">
        <v>484</v>
      </c>
      <c r="C114" s="332" t="s">
        <v>679</v>
      </c>
      <c r="D114" s="324" t="s">
        <v>679</v>
      </c>
      <c r="E114" s="332">
        <f t="shared" si="0"/>
        <v>0</v>
      </c>
      <c r="F114" s="580"/>
      <c r="G114" s="580"/>
      <c r="H114" s="580"/>
      <c r="I114" s="580"/>
      <c r="J114" s="581"/>
    </row>
    <row r="115" spans="1:10" ht="25.5">
      <c r="A115" s="323" t="s">
        <v>5619</v>
      </c>
      <c r="B115" s="333" t="s">
        <v>484</v>
      </c>
      <c r="C115" s="332" t="s">
        <v>679</v>
      </c>
      <c r="D115" s="324" t="s">
        <v>679</v>
      </c>
      <c r="E115" s="324">
        <f t="shared" si="0"/>
        <v>0</v>
      </c>
      <c r="F115" s="580"/>
      <c r="G115" s="580"/>
      <c r="H115" s="580"/>
      <c r="I115" s="580"/>
      <c r="J115" s="581"/>
    </row>
    <row r="116" spans="1:10">
      <c r="A116" s="326" t="s">
        <v>5604</v>
      </c>
      <c r="B116" s="333" t="s">
        <v>484</v>
      </c>
      <c r="C116" s="332" t="s">
        <v>679</v>
      </c>
      <c r="D116" s="324" t="s">
        <v>679</v>
      </c>
      <c r="E116" s="332">
        <f t="shared" si="0"/>
        <v>0</v>
      </c>
      <c r="F116" s="580"/>
      <c r="G116" s="580"/>
      <c r="H116" s="580"/>
      <c r="I116" s="580"/>
      <c r="J116" s="581"/>
    </row>
    <row r="117" spans="1:10" ht="25.5">
      <c r="A117" s="323" t="s">
        <v>5605</v>
      </c>
      <c r="B117" s="333" t="s">
        <v>484</v>
      </c>
      <c r="C117" s="332" t="s">
        <v>679</v>
      </c>
      <c r="D117" s="324" t="s">
        <v>679</v>
      </c>
      <c r="E117" s="324">
        <f t="shared" si="0"/>
        <v>0</v>
      </c>
      <c r="F117" s="580"/>
      <c r="G117" s="580"/>
      <c r="H117" s="580"/>
      <c r="I117" s="580"/>
      <c r="J117" s="581"/>
    </row>
    <row r="118" spans="1:10" ht="15.75">
      <c r="A118" s="585" t="s">
        <v>5641</v>
      </c>
      <c r="B118" s="586"/>
      <c r="C118" s="587" t="str">
        <f>IFERROR(SUM(E110:E117)/COUNTIF(C110:C117,"Yes"),"")</f>
        <v/>
      </c>
      <c r="D118" s="588"/>
      <c r="E118" s="589" t="s">
        <v>5642</v>
      </c>
      <c r="F118" s="589"/>
      <c r="G118" s="589"/>
      <c r="H118" s="589"/>
      <c r="I118" s="589"/>
      <c r="J118" s="590"/>
    </row>
    <row r="119" spans="1:10">
      <c r="A119" s="331"/>
      <c r="B119" s="316"/>
      <c r="C119" s="316"/>
      <c r="D119" s="316"/>
      <c r="E119" s="316"/>
      <c r="F119" s="316"/>
      <c r="G119" s="316"/>
      <c r="H119" s="227"/>
      <c r="I119" s="227"/>
      <c r="J119" s="329"/>
    </row>
    <row r="120" spans="1:10">
      <c r="A120" s="574" t="s">
        <v>5670</v>
      </c>
      <c r="B120" s="582"/>
      <c r="C120" s="582"/>
      <c r="D120" s="575"/>
      <c r="E120" s="582"/>
      <c r="F120" s="582"/>
      <c r="G120" s="575"/>
      <c r="H120" s="575"/>
      <c r="I120" s="575"/>
      <c r="J120" s="576"/>
    </row>
    <row r="121" spans="1:10">
      <c r="A121" s="321" t="s">
        <v>5643</v>
      </c>
      <c r="B121" s="322" t="s">
        <v>77</v>
      </c>
      <c r="C121" s="322" t="s">
        <v>5620</v>
      </c>
      <c r="D121" s="322" t="s">
        <v>5621</v>
      </c>
      <c r="E121" s="322" t="s">
        <v>5622</v>
      </c>
      <c r="F121" s="322" t="s">
        <v>5644</v>
      </c>
      <c r="G121" s="578" t="s">
        <v>5645</v>
      </c>
      <c r="H121" s="578"/>
      <c r="I121" s="578"/>
      <c r="J121" s="579"/>
    </row>
    <row r="122" spans="1:10" ht="25.5">
      <c r="A122" s="326" t="s">
        <v>5623</v>
      </c>
      <c r="B122" s="332" t="s">
        <v>484</v>
      </c>
      <c r="C122" s="332" t="s">
        <v>1096</v>
      </c>
      <c r="D122" s="332" t="s">
        <v>1096</v>
      </c>
      <c r="E122" s="332" t="s">
        <v>1096</v>
      </c>
      <c r="F122" s="332" t="s">
        <v>348</v>
      </c>
      <c r="G122" s="583"/>
      <c r="H122" s="583"/>
      <c r="I122" s="583"/>
      <c r="J122" s="584"/>
    </row>
    <row r="123" spans="1:10">
      <c r="A123" s="323" t="s">
        <v>5624</v>
      </c>
      <c r="B123" s="332" t="s">
        <v>484</v>
      </c>
      <c r="C123" s="332" t="s">
        <v>1096</v>
      </c>
      <c r="D123" s="332" t="s">
        <v>1096</v>
      </c>
      <c r="E123" s="332" t="s">
        <v>1096</v>
      </c>
      <c r="F123" s="332" t="s">
        <v>348</v>
      </c>
      <c r="G123" s="583"/>
      <c r="H123" s="583"/>
      <c r="I123" s="583"/>
      <c r="J123" s="584"/>
    </row>
    <row r="124" spans="1:10">
      <c r="A124" s="326" t="s">
        <v>5646</v>
      </c>
      <c r="B124" s="332" t="s">
        <v>484</v>
      </c>
      <c r="C124" s="332" t="s">
        <v>1096</v>
      </c>
      <c r="D124" s="332" t="s">
        <v>1096</v>
      </c>
      <c r="E124" s="332" t="s">
        <v>1096</v>
      </c>
      <c r="F124" s="332" t="s">
        <v>348</v>
      </c>
      <c r="G124" s="583"/>
      <c r="H124" s="583"/>
      <c r="I124" s="583"/>
      <c r="J124" s="584"/>
    </row>
    <row r="125" spans="1:10">
      <c r="A125" s="323" t="s">
        <v>5625</v>
      </c>
      <c r="B125" s="332" t="s">
        <v>484</v>
      </c>
      <c r="C125" s="332" t="s">
        <v>1096</v>
      </c>
      <c r="D125" s="332" t="s">
        <v>1096</v>
      </c>
      <c r="E125" s="332" t="s">
        <v>1096</v>
      </c>
      <c r="F125" s="332" t="s">
        <v>348</v>
      </c>
      <c r="G125" s="583"/>
      <c r="H125" s="583"/>
      <c r="I125" s="583"/>
      <c r="J125" s="584"/>
    </row>
    <row r="126" spans="1:10" ht="25.5">
      <c r="A126" s="326" t="s">
        <v>5626</v>
      </c>
      <c r="B126" s="332" t="s">
        <v>484</v>
      </c>
      <c r="C126" s="332" t="s">
        <v>1096</v>
      </c>
      <c r="D126" s="332" t="s">
        <v>1096</v>
      </c>
      <c r="E126" s="332" t="s">
        <v>1096</v>
      </c>
      <c r="F126" s="332" t="s">
        <v>348</v>
      </c>
      <c r="G126" s="583"/>
      <c r="H126" s="583"/>
      <c r="I126" s="583"/>
      <c r="J126" s="584"/>
    </row>
    <row r="127" spans="1:10" ht="15.75">
      <c r="A127" s="585" t="s">
        <v>5677</v>
      </c>
      <c r="B127" s="586"/>
      <c r="C127" s="587">
        <f>IFERROR(COUNTIF(E122:E126,"Yes")/COUNTA(A122:A126),"")</f>
        <v>0</v>
      </c>
      <c r="D127" s="588"/>
      <c r="E127" s="589" t="s">
        <v>5648</v>
      </c>
      <c r="F127" s="589"/>
      <c r="G127" s="589"/>
      <c r="H127" s="589"/>
      <c r="I127" s="589"/>
      <c r="J127" s="590"/>
    </row>
    <row r="128" spans="1:10">
      <c r="A128" s="331"/>
      <c r="B128" s="316"/>
      <c r="C128" s="316"/>
      <c r="D128" s="316"/>
      <c r="E128" s="316"/>
      <c r="F128" s="316"/>
      <c r="G128" s="599"/>
      <c r="H128" s="599"/>
      <c r="I128" s="599"/>
      <c r="J128" s="600"/>
    </row>
    <row r="129" spans="1:10">
      <c r="A129" s="574" t="s">
        <v>5671</v>
      </c>
      <c r="B129" s="582"/>
      <c r="C129" s="582"/>
      <c r="D129" s="575"/>
      <c r="E129" s="582"/>
      <c r="F129" s="582"/>
      <c r="G129" s="575"/>
      <c r="H129" s="575"/>
      <c r="I129" s="575"/>
      <c r="J129" s="576"/>
    </row>
    <row r="130" spans="1:10">
      <c r="A130" s="322" t="s">
        <v>5606</v>
      </c>
      <c r="B130" s="322" t="s">
        <v>77</v>
      </c>
      <c r="C130" s="322" t="s">
        <v>5627</v>
      </c>
      <c r="D130" s="322" t="s">
        <v>5628</v>
      </c>
      <c r="E130" s="322" t="s">
        <v>5629</v>
      </c>
      <c r="F130" s="322" t="s">
        <v>5630</v>
      </c>
      <c r="G130" s="578" t="s">
        <v>5678</v>
      </c>
      <c r="H130" s="578"/>
      <c r="I130" s="578"/>
      <c r="J130" s="578"/>
    </row>
    <row r="131" spans="1:10">
      <c r="A131" s="328" t="s">
        <v>153</v>
      </c>
      <c r="B131" s="324" t="s">
        <v>484</v>
      </c>
      <c r="C131" s="324"/>
      <c r="D131" s="324"/>
      <c r="E131" s="324"/>
      <c r="F131" s="325" t="str">
        <f>IFERROR(D131/C131,"")</f>
        <v/>
      </c>
      <c r="G131" s="572"/>
      <c r="H131" s="572"/>
      <c r="I131" s="572"/>
      <c r="J131" s="572"/>
    </row>
    <row r="132" spans="1:10">
      <c r="A132" s="335" t="s">
        <v>155</v>
      </c>
      <c r="B132" s="332" t="s">
        <v>484</v>
      </c>
      <c r="C132" s="332"/>
      <c r="D132" s="332"/>
      <c r="E132" s="332"/>
      <c r="F132" s="327" t="str">
        <f>IFERROR(D132/C132,"")</f>
        <v/>
      </c>
      <c r="G132" s="572"/>
      <c r="H132" s="572"/>
      <c r="I132" s="572"/>
      <c r="J132" s="572"/>
    </row>
    <row r="133" spans="1:10">
      <c r="A133" s="328" t="s">
        <v>4821</v>
      </c>
      <c r="B133" s="324" t="s">
        <v>484</v>
      </c>
      <c r="C133" s="324"/>
      <c r="D133" s="324"/>
      <c r="E133" s="324"/>
      <c r="F133" s="325" t="str">
        <f>IFERROR(D133/C133,"")</f>
        <v/>
      </c>
      <c r="G133" s="572"/>
      <c r="H133" s="572"/>
      <c r="I133" s="572"/>
      <c r="J133" s="572"/>
    </row>
    <row r="134" spans="1:10">
      <c r="A134" s="335" t="s">
        <v>957</v>
      </c>
      <c r="B134" s="332" t="s">
        <v>484</v>
      </c>
      <c r="C134" s="332"/>
      <c r="D134" s="332"/>
      <c r="E134" s="332"/>
      <c r="F134" s="327" t="str">
        <f>IFERROR(D134/C134,"")</f>
        <v/>
      </c>
      <c r="G134" s="572"/>
      <c r="H134" s="572"/>
      <c r="I134" s="572"/>
      <c r="J134" s="572"/>
    </row>
    <row r="135" spans="1:10">
      <c r="A135" s="597" t="s">
        <v>5649</v>
      </c>
      <c r="B135" s="597"/>
      <c r="C135" s="597"/>
      <c r="D135" s="597"/>
      <c r="E135" s="589" t="s">
        <v>5650</v>
      </c>
      <c r="F135" s="589"/>
      <c r="G135" s="589"/>
      <c r="H135" s="589"/>
      <c r="I135" s="589"/>
      <c r="J135" s="589"/>
    </row>
    <row r="136" spans="1:10">
      <c r="A136" s="597"/>
      <c r="B136" s="597"/>
      <c r="C136" s="597"/>
      <c r="D136" s="597"/>
      <c r="E136" s="589"/>
      <c r="F136" s="589"/>
      <c r="G136" s="589"/>
      <c r="H136" s="589"/>
      <c r="I136" s="589"/>
      <c r="J136" s="589"/>
    </row>
    <row r="137" spans="1:10">
      <c r="A137" s="575" t="s">
        <v>5672</v>
      </c>
      <c r="B137" s="575"/>
      <c r="C137" s="575"/>
      <c r="D137" s="575"/>
      <c r="E137" s="575"/>
      <c r="F137" s="575"/>
      <c r="G137" s="575"/>
      <c r="H137" s="575"/>
      <c r="I137" s="575"/>
      <c r="J137" s="575"/>
    </row>
    <row r="138" spans="1:10">
      <c r="A138" s="322" t="s">
        <v>4946</v>
      </c>
      <c r="B138" s="322" t="s">
        <v>77</v>
      </c>
      <c r="C138" s="322" t="s">
        <v>5638</v>
      </c>
      <c r="D138" s="322" t="s">
        <v>482</v>
      </c>
      <c r="E138" s="322" t="s">
        <v>572</v>
      </c>
      <c r="F138" s="322" t="s">
        <v>944</v>
      </c>
      <c r="G138" s="578" t="s">
        <v>5640</v>
      </c>
      <c r="H138" s="578"/>
      <c r="I138" s="578"/>
      <c r="J138" s="578"/>
    </row>
    <row r="139" spans="1:10" ht="25.5">
      <c r="A139" s="328" t="s">
        <v>5607</v>
      </c>
      <c r="B139" s="324" t="s">
        <v>484</v>
      </c>
      <c r="C139" s="324" t="s">
        <v>392</v>
      </c>
      <c r="D139" s="324" t="s">
        <v>1096</v>
      </c>
      <c r="E139" s="324">
        <f t="shared" ref="E139:E144" si="1">IF(D139="Yes",1,0)</f>
        <v>0</v>
      </c>
      <c r="F139" s="324"/>
      <c r="G139" s="572"/>
      <c r="H139" s="572"/>
      <c r="I139" s="572"/>
      <c r="J139" s="572"/>
    </row>
    <row r="140" spans="1:10">
      <c r="A140" s="335" t="s">
        <v>5608</v>
      </c>
      <c r="B140" s="324" t="s">
        <v>484</v>
      </c>
      <c r="C140" s="332" t="s">
        <v>392</v>
      </c>
      <c r="D140" s="324" t="s">
        <v>1096</v>
      </c>
      <c r="E140" s="332">
        <f t="shared" si="1"/>
        <v>0</v>
      </c>
      <c r="F140" s="332"/>
      <c r="G140" s="572"/>
      <c r="H140" s="572"/>
      <c r="I140" s="572"/>
      <c r="J140" s="572"/>
    </row>
    <row r="141" spans="1:10" ht="25.5">
      <c r="A141" s="328" t="s">
        <v>5609</v>
      </c>
      <c r="B141" s="324" t="s">
        <v>484</v>
      </c>
      <c r="C141" s="324" t="s">
        <v>392</v>
      </c>
      <c r="D141" s="324" t="s">
        <v>1096</v>
      </c>
      <c r="E141" s="324">
        <f t="shared" si="1"/>
        <v>0</v>
      </c>
      <c r="F141" s="324"/>
      <c r="G141" s="572"/>
      <c r="H141" s="572"/>
      <c r="I141" s="572"/>
      <c r="J141" s="572"/>
    </row>
    <row r="142" spans="1:10">
      <c r="A142" s="335" t="s">
        <v>5631</v>
      </c>
      <c r="B142" s="324" t="s">
        <v>484</v>
      </c>
      <c r="C142" s="332" t="s">
        <v>392</v>
      </c>
      <c r="D142" s="324" t="s">
        <v>1096</v>
      </c>
      <c r="E142" s="332">
        <f t="shared" si="1"/>
        <v>0</v>
      </c>
      <c r="F142" s="332"/>
      <c r="G142" s="572"/>
      <c r="H142" s="572"/>
      <c r="I142" s="572"/>
      <c r="J142" s="572"/>
    </row>
    <row r="143" spans="1:10" ht="25.5">
      <c r="A143" s="328" t="s">
        <v>5632</v>
      </c>
      <c r="B143" s="324" t="s">
        <v>484</v>
      </c>
      <c r="C143" s="324" t="s">
        <v>392</v>
      </c>
      <c r="D143" s="324" t="s">
        <v>1096</v>
      </c>
      <c r="E143" s="324">
        <f t="shared" si="1"/>
        <v>0</v>
      </c>
      <c r="F143" s="324"/>
      <c r="G143" s="572"/>
      <c r="H143" s="572"/>
      <c r="I143" s="572"/>
      <c r="J143" s="572"/>
    </row>
    <row r="144" spans="1:10" ht="25.5">
      <c r="A144" s="335" t="s">
        <v>5633</v>
      </c>
      <c r="B144" s="324" t="s">
        <v>484</v>
      </c>
      <c r="C144" s="332" t="s">
        <v>392</v>
      </c>
      <c r="D144" s="332" t="s">
        <v>1096</v>
      </c>
      <c r="E144" s="332">
        <f t="shared" si="1"/>
        <v>0</v>
      </c>
      <c r="F144" s="332"/>
      <c r="G144" s="572"/>
      <c r="H144" s="572"/>
      <c r="I144" s="572"/>
      <c r="J144" s="572"/>
    </row>
    <row r="145" spans="1:10" ht="15.75">
      <c r="A145" s="930" t="s">
        <v>5651</v>
      </c>
      <c r="B145" s="586"/>
      <c r="C145" s="587">
        <f>IFERROR(SUM(E139:E144)/COUNTIF(C139:C144,"Yes"),"")</f>
        <v>0</v>
      </c>
      <c r="D145" s="588"/>
      <c r="E145" s="589" t="s">
        <v>5652</v>
      </c>
      <c r="F145" s="589"/>
      <c r="G145" s="589"/>
      <c r="H145" s="589"/>
      <c r="I145" s="589"/>
      <c r="J145" s="589"/>
    </row>
    <row r="146" spans="1:10">
      <c r="A146" s="192"/>
      <c r="B146" s="192"/>
      <c r="C146" s="192"/>
      <c r="D146" s="192"/>
      <c r="E146" s="192"/>
      <c r="F146" s="192"/>
      <c r="G146" s="192"/>
      <c r="H146" s="192"/>
      <c r="I146" s="192"/>
      <c r="J146" s="192"/>
    </row>
    <row r="147" spans="1:10">
      <c r="A147" s="575" t="s">
        <v>5673</v>
      </c>
      <c r="B147" s="582"/>
      <c r="C147" s="582"/>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594" t="s">
        <v>3292</v>
      </c>
      <c r="C149" s="582"/>
      <c r="D149" s="582"/>
      <c r="E149" s="582"/>
      <c r="F149" s="582"/>
      <c r="G149" s="582"/>
      <c r="H149" s="582"/>
      <c r="I149" s="582"/>
      <c r="J149" s="582"/>
    </row>
    <row r="150" spans="1:10" ht="25.5">
      <c r="A150" s="315" t="s">
        <v>2090</v>
      </c>
      <c r="B150" s="594" t="s">
        <v>3293</v>
      </c>
      <c r="C150" s="582"/>
      <c r="D150" s="582"/>
      <c r="E150" s="582"/>
      <c r="F150" s="582"/>
      <c r="G150" s="582"/>
      <c r="H150" s="582"/>
      <c r="I150" s="582"/>
      <c r="J150" s="582"/>
    </row>
    <row r="151" spans="1:10">
      <c r="A151" s="315" t="s">
        <v>1089</v>
      </c>
      <c r="B151" s="594" t="s">
        <v>3294</v>
      </c>
      <c r="C151" s="582"/>
      <c r="D151" s="582"/>
      <c r="E151" s="582"/>
      <c r="F151" s="582"/>
      <c r="G151" s="582"/>
      <c r="H151" s="582"/>
      <c r="I151" s="582"/>
      <c r="J151" s="582"/>
    </row>
    <row r="152" spans="1:10">
      <c r="A152" s="315" t="s">
        <v>1090</v>
      </c>
      <c r="B152" s="594" t="s">
        <v>3295</v>
      </c>
      <c r="C152" s="582"/>
      <c r="D152" s="582"/>
      <c r="E152" s="582"/>
      <c r="F152" s="582"/>
      <c r="G152" s="582"/>
      <c r="H152" s="582"/>
      <c r="I152" s="582"/>
      <c r="J152" s="582"/>
    </row>
    <row r="153" spans="1:10">
      <c r="A153" s="315" t="s">
        <v>1088</v>
      </c>
      <c r="B153" s="594" t="s">
        <v>3296</v>
      </c>
      <c r="C153" s="582"/>
      <c r="D153" s="582"/>
      <c r="E153" s="582"/>
      <c r="F153" s="582"/>
      <c r="G153" s="582"/>
      <c r="H153" s="582"/>
      <c r="I153" s="582"/>
      <c r="J153" s="582"/>
    </row>
    <row r="154" spans="1:10" ht="25.5">
      <c r="A154" s="315" t="s">
        <v>3297</v>
      </c>
      <c r="B154" s="594" t="s">
        <v>3298</v>
      </c>
      <c r="C154" s="582"/>
      <c r="D154" s="582"/>
      <c r="E154" s="582"/>
      <c r="F154" s="582"/>
      <c r="G154" s="582"/>
      <c r="H154" s="582"/>
      <c r="I154" s="582"/>
      <c r="J154" s="582"/>
    </row>
    <row r="155" spans="1:10">
      <c r="A155" s="315" t="s">
        <v>1563</v>
      </c>
      <c r="B155" s="594" t="s">
        <v>1776</v>
      </c>
      <c r="C155" s="582"/>
      <c r="D155" s="582"/>
      <c r="E155" s="582"/>
      <c r="F155" s="582"/>
      <c r="G155" s="582"/>
      <c r="H155" s="582"/>
      <c r="I155" s="582"/>
      <c r="J155" s="582"/>
    </row>
    <row r="156" spans="1:10">
      <c r="A156" s="227"/>
      <c r="B156" s="227"/>
      <c r="C156" s="227"/>
      <c r="D156" s="227"/>
      <c r="E156" s="227"/>
      <c r="F156" s="227"/>
      <c r="G156" s="227"/>
      <c r="H156" s="227"/>
      <c r="I156" s="227"/>
      <c r="J156" s="227"/>
    </row>
    <row r="157" spans="1:10" ht="18">
      <c r="A157" s="598" t="s">
        <v>5562</v>
      </c>
      <c r="B157" s="598"/>
      <c r="C157" s="598"/>
      <c r="D157" s="598"/>
      <c r="E157" s="598"/>
      <c r="F157" s="598"/>
      <c r="G157" s="598"/>
      <c r="H157" s="598"/>
      <c r="I157" s="227"/>
      <c r="J157" s="227"/>
    </row>
    <row r="158" spans="1:10">
      <c r="A158" s="272" t="s">
        <v>2</v>
      </c>
      <c r="B158" s="591" t="s">
        <v>5563</v>
      </c>
      <c r="C158" s="591"/>
      <c r="D158" s="591"/>
      <c r="E158" s="591"/>
      <c r="F158" s="591"/>
      <c r="G158" s="591"/>
      <c r="H158" s="591"/>
      <c r="I158" s="227"/>
      <c r="J158" s="227"/>
    </row>
    <row r="159" spans="1:10">
      <c r="A159" s="272" t="s">
        <v>5564</v>
      </c>
      <c r="B159" s="591" t="s">
        <v>5565</v>
      </c>
      <c r="C159" s="591"/>
      <c r="D159" s="591"/>
      <c r="E159" s="591"/>
      <c r="F159" s="591"/>
      <c r="G159" s="591"/>
      <c r="H159" s="591"/>
      <c r="I159" s="227"/>
      <c r="J159" s="227"/>
    </row>
    <row r="160" spans="1:10">
      <c r="A160" s="192"/>
      <c r="B160" s="192"/>
      <c r="C160" s="192"/>
      <c r="D160" s="192"/>
      <c r="E160" s="192"/>
      <c r="F160" s="192"/>
      <c r="G160" s="192"/>
      <c r="H160" s="192"/>
      <c r="I160" s="227"/>
      <c r="J160" s="227"/>
    </row>
    <row r="161" spans="1:10">
      <c r="A161" s="319" t="s">
        <v>4946</v>
      </c>
      <c r="B161" s="319" t="s">
        <v>77</v>
      </c>
      <c r="C161" s="319" t="s">
        <v>5566</v>
      </c>
      <c r="D161" s="319" t="s">
        <v>263</v>
      </c>
      <c r="E161" s="319" t="s">
        <v>216</v>
      </c>
      <c r="F161" s="319" t="s">
        <v>5567</v>
      </c>
      <c r="G161" s="319" t="s">
        <v>5568</v>
      </c>
      <c r="H161" s="319" t="s">
        <v>5569</v>
      </c>
      <c r="I161" s="227"/>
      <c r="J161" s="227"/>
    </row>
    <row r="162" spans="1:10" ht="25.5">
      <c r="A162" s="273" t="s">
        <v>5570</v>
      </c>
      <c r="B162" s="274" t="s">
        <v>1096</v>
      </c>
      <c r="C162" s="273"/>
      <c r="D162" s="273"/>
      <c r="E162" s="273"/>
      <c r="F162" s="273"/>
      <c r="G162" s="275" t="str">
        <f t="shared" ref="G162:G169" si="2">IF(OR(B162="Yes",B162="N/A"),"🟢","🟡")</f>
        <v>🟡</v>
      </c>
      <c r="H162" s="273"/>
      <c r="I162" s="227"/>
      <c r="J162" s="227"/>
    </row>
    <row r="163" spans="1:10">
      <c r="A163" s="273" t="s">
        <v>5571</v>
      </c>
      <c r="B163" s="274" t="s">
        <v>1096</v>
      </c>
      <c r="C163" s="273"/>
      <c r="D163" s="273"/>
      <c r="E163" s="273"/>
      <c r="F163" s="273"/>
      <c r="G163" s="275" t="str">
        <f t="shared" si="2"/>
        <v>🟡</v>
      </c>
      <c r="H163" s="273"/>
      <c r="I163" s="227"/>
      <c r="J163" s="227"/>
    </row>
    <row r="164" spans="1:10">
      <c r="A164" s="273" t="s">
        <v>5572</v>
      </c>
      <c r="B164" s="274" t="s">
        <v>1096</v>
      </c>
      <c r="C164" s="273"/>
      <c r="D164" s="273"/>
      <c r="E164" s="273"/>
      <c r="F164" s="273"/>
      <c r="G164" s="275" t="str">
        <f t="shared" si="2"/>
        <v>🟡</v>
      </c>
      <c r="H164" s="273"/>
      <c r="I164" s="227"/>
      <c r="J164" s="227"/>
    </row>
    <row r="165" spans="1:10">
      <c r="A165" s="273" t="s">
        <v>5168</v>
      </c>
      <c r="B165" s="274" t="s">
        <v>1096</v>
      </c>
      <c r="C165" s="273"/>
      <c r="D165" s="273"/>
      <c r="E165" s="273"/>
      <c r="F165" s="273"/>
      <c r="G165" s="275" t="str">
        <f t="shared" si="2"/>
        <v>🟡</v>
      </c>
      <c r="H165" s="273"/>
      <c r="I165" s="227"/>
      <c r="J165" s="227"/>
    </row>
    <row r="166" spans="1:10">
      <c r="A166" s="273" t="s">
        <v>5573</v>
      </c>
      <c r="B166" s="274" t="s">
        <v>1096</v>
      </c>
      <c r="C166" s="273"/>
      <c r="D166" s="273"/>
      <c r="E166" s="273"/>
      <c r="F166" s="273"/>
      <c r="G166" s="275" t="str">
        <f t="shared" si="2"/>
        <v>🟡</v>
      </c>
      <c r="H166" s="273"/>
      <c r="I166" s="227"/>
      <c r="J166" s="227"/>
    </row>
    <row r="167" spans="1:10">
      <c r="A167" s="273" t="s">
        <v>5574</v>
      </c>
      <c r="B167" s="274" t="s">
        <v>1096</v>
      </c>
      <c r="C167" s="273"/>
      <c r="D167" s="273"/>
      <c r="E167" s="273"/>
      <c r="F167" s="273"/>
      <c r="G167" s="275" t="str">
        <f t="shared" si="2"/>
        <v>🟡</v>
      </c>
      <c r="H167" s="273"/>
      <c r="I167" s="227"/>
      <c r="J167" s="227"/>
    </row>
    <row r="168" spans="1:10">
      <c r="A168" s="273" t="s">
        <v>178</v>
      </c>
      <c r="B168" s="274" t="s">
        <v>1096</v>
      </c>
      <c r="C168" s="273"/>
      <c r="D168" s="273"/>
      <c r="E168" s="273"/>
      <c r="F168" s="273"/>
      <c r="G168" s="275" t="str">
        <f t="shared" si="2"/>
        <v>🟡</v>
      </c>
      <c r="H168" s="273"/>
      <c r="I168" s="227"/>
      <c r="J168" s="227"/>
    </row>
    <row r="169" spans="1:10" ht="25.5">
      <c r="A169" s="273" t="s">
        <v>5575</v>
      </c>
      <c r="B169" s="274" t="s">
        <v>1096</v>
      </c>
      <c r="C169" s="273"/>
      <c r="D169" s="273"/>
      <c r="E169" s="273"/>
      <c r="F169" s="273"/>
      <c r="G169" s="275" t="str">
        <f t="shared" si="2"/>
        <v>🟡</v>
      </c>
      <c r="H169" s="273"/>
      <c r="I169" s="227"/>
      <c r="J169" s="227"/>
    </row>
    <row r="170" spans="1:10">
      <c r="A170" s="320" t="s">
        <v>4946</v>
      </c>
      <c r="B170" s="320" t="s">
        <v>5583</v>
      </c>
      <c r="C170" s="192"/>
      <c r="D170" s="192"/>
      <c r="E170" s="320" t="s">
        <v>5584</v>
      </c>
      <c r="F170" s="192"/>
      <c r="G170" s="192"/>
      <c r="H170" s="192"/>
      <c r="I170" s="227"/>
      <c r="J170" s="227"/>
    </row>
    <row r="171" spans="1:10" ht="25.5">
      <c r="A171" s="287" t="s">
        <v>5570</v>
      </c>
      <c r="B171" s="577" t="s">
        <v>5585</v>
      </c>
      <c r="C171" s="577"/>
      <c r="D171" s="577"/>
      <c r="E171" s="577" t="s">
        <v>5586</v>
      </c>
      <c r="F171" s="577"/>
      <c r="G171" s="577"/>
      <c r="H171" s="192"/>
      <c r="I171" s="227"/>
      <c r="J171" s="227"/>
    </row>
    <row r="172" spans="1:10">
      <c r="A172" s="287" t="s">
        <v>5571</v>
      </c>
      <c r="B172" s="577" t="s">
        <v>5587</v>
      </c>
      <c r="C172" s="577"/>
      <c r="D172" s="577"/>
      <c r="E172" s="577" t="s">
        <v>5588</v>
      </c>
      <c r="F172" s="577"/>
      <c r="G172" s="577"/>
      <c r="H172" s="192"/>
      <c r="I172" s="227"/>
      <c r="J172" s="227"/>
    </row>
    <row r="173" spans="1:10">
      <c r="A173" s="287" t="s">
        <v>5572</v>
      </c>
      <c r="B173" s="577" t="s">
        <v>5589</v>
      </c>
      <c r="C173" s="577"/>
      <c r="D173" s="577"/>
      <c r="E173" s="577" t="s">
        <v>5590</v>
      </c>
      <c r="F173" s="577"/>
      <c r="G173" s="577"/>
      <c r="H173" s="192"/>
      <c r="I173" s="227"/>
      <c r="J173" s="227"/>
    </row>
    <row r="174" spans="1:10">
      <c r="A174" s="287" t="s">
        <v>5168</v>
      </c>
      <c r="B174" s="577" t="s">
        <v>5591</v>
      </c>
      <c r="C174" s="577"/>
      <c r="D174" s="577"/>
      <c r="E174" s="577" t="s">
        <v>5592</v>
      </c>
      <c r="F174" s="577"/>
      <c r="G174" s="577"/>
      <c r="H174" s="192"/>
      <c r="I174" s="227"/>
      <c r="J174" s="227"/>
    </row>
    <row r="175" spans="1:10">
      <c r="A175" s="287" t="s">
        <v>5573</v>
      </c>
      <c r="B175" s="577" t="s">
        <v>5593</v>
      </c>
      <c r="C175" s="577"/>
      <c r="D175" s="577"/>
      <c r="E175" s="577" t="s">
        <v>5594</v>
      </c>
      <c r="F175" s="577"/>
      <c r="G175" s="577"/>
      <c r="H175" s="192"/>
      <c r="I175" s="227"/>
      <c r="J175" s="227"/>
    </row>
    <row r="176" spans="1:10">
      <c r="A176" s="287" t="s">
        <v>5574</v>
      </c>
      <c r="B176" s="577" t="s">
        <v>5595</v>
      </c>
      <c r="C176" s="577"/>
      <c r="D176" s="577"/>
      <c r="E176" s="577" t="s">
        <v>5596</v>
      </c>
      <c r="F176" s="577"/>
      <c r="G176" s="577"/>
      <c r="H176" s="192"/>
      <c r="I176" s="227"/>
      <c r="J176" s="227"/>
    </row>
    <row r="177" spans="1:10">
      <c r="A177" s="287" t="s">
        <v>178</v>
      </c>
      <c r="B177" s="577" t="s">
        <v>5597</v>
      </c>
      <c r="C177" s="577"/>
      <c r="D177" s="577"/>
      <c r="E177" s="577" t="s">
        <v>5598</v>
      </c>
      <c r="F177" s="577"/>
      <c r="G177" s="577"/>
      <c r="H177" s="192"/>
      <c r="I177" s="227"/>
      <c r="J177" s="227"/>
    </row>
    <row r="178" spans="1:10" ht="25.5">
      <c r="A178" s="287" t="s">
        <v>5575</v>
      </c>
      <c r="B178" s="577" t="s">
        <v>5599</v>
      </c>
      <c r="C178" s="577"/>
      <c r="D178" s="577"/>
      <c r="E178" s="577" t="s">
        <v>5600</v>
      </c>
      <c r="F178" s="577"/>
      <c r="G178" s="577"/>
      <c r="H178" s="192"/>
      <c r="I178" s="227"/>
      <c r="J178" s="227"/>
    </row>
    <row r="179" spans="1:10">
      <c r="A179" s="272" t="s">
        <v>5576</v>
      </c>
      <c r="B179" s="276" t="str">
        <f>IF(COUNTIF(B162:B169,"No")=0,"🟢 PILOT COMPLETE / ACCEPTANCE READY","🟡 NOT COMPLETE — ACCEPTANCE GATES OPEN")</f>
        <v>🟡 NOT COMPLETE — ACCEPTANCE GATES OPEN</v>
      </c>
      <c r="C179" s="276"/>
      <c r="D179" s="276"/>
      <c r="E179" s="276"/>
      <c r="F179" s="276"/>
      <c r="G179" s="276"/>
      <c r="H179" s="276"/>
    </row>
    <row r="180" spans="1:10">
      <c r="A180" s="272" t="s">
        <v>5577</v>
      </c>
      <c r="B180" s="276">
        <f>COUNTIF(B162:B169,"No")</f>
        <v>8</v>
      </c>
      <c r="C180" s="276"/>
      <c r="D180" s="276"/>
      <c r="E180" s="276"/>
      <c r="F180" s="276"/>
      <c r="G180" s="276"/>
      <c r="H180" s="276"/>
    </row>
    <row r="181" spans="1:10">
      <c r="A181" s="272" t="s">
        <v>5578</v>
      </c>
      <c r="B181" s="276" t="str">
        <f>COUNTIF(B162:B169,"Yes")&amp;" / 8 Complete"</f>
        <v>0 / 8 Complete</v>
      </c>
      <c r="C181" s="276"/>
      <c r="D181" s="276"/>
      <c r="E181" s="276"/>
      <c r="F181" s="276"/>
      <c r="G181" s="276"/>
      <c r="H181" s="276"/>
    </row>
    <row r="182" spans="1:10" ht="90">
      <c r="A182" s="277" t="s">
        <v>5579</v>
      </c>
      <c r="B182" s="278" t="s">
        <v>5580</v>
      </c>
      <c r="C182" s="278"/>
      <c r="D182" s="278"/>
      <c r="E182" s="278"/>
      <c r="F182" s="278"/>
      <c r="G182" s="278"/>
      <c r="H182" s="278"/>
    </row>
    <row r="183" spans="1:10">
      <c r="A183" s="277"/>
      <c r="B183" s="278"/>
      <c r="C183" s="278"/>
      <c r="D183" s="278"/>
      <c r="E183" s="278"/>
      <c r="F183" s="278"/>
      <c r="G183" s="278"/>
      <c r="H183" s="278"/>
    </row>
    <row r="184" spans="1:10" ht="64.5">
      <c r="A184" s="277" t="s">
        <v>5581</v>
      </c>
      <c r="B184" s="278" t="s">
        <v>5582</v>
      </c>
      <c r="C184" s="278"/>
      <c r="D184" s="278"/>
      <c r="E184" s="278"/>
      <c r="F184" s="278"/>
      <c r="G184" s="278"/>
      <c r="H184" s="278"/>
    </row>
    <row r="185" spans="1:10">
      <c r="A185" s="575" t="s">
        <v>5694</v>
      </c>
      <c r="B185" s="575"/>
      <c r="C185" s="575"/>
      <c r="D185" s="575"/>
      <c r="E185" s="575"/>
      <c r="F185" s="575"/>
      <c r="G185" s="575"/>
      <c r="H185" s="575"/>
      <c r="I185" s="575"/>
      <c r="J185" s="575"/>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5" t="s">
        <v>5695</v>
      </c>
      <c r="B196" s="575"/>
      <c r="C196" s="575"/>
      <c r="D196" s="575"/>
      <c r="E196" s="575"/>
      <c r="F196" s="575"/>
      <c r="G196" s="575"/>
      <c r="H196" s="575"/>
      <c r="I196" s="575"/>
      <c r="J196" s="575"/>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5" t="s">
        <v>5696</v>
      </c>
      <c r="B206" s="575"/>
      <c r="C206" s="575"/>
      <c r="D206" s="575"/>
      <c r="E206" s="575"/>
      <c r="F206" s="575"/>
      <c r="G206" s="575"/>
      <c r="H206" s="575"/>
      <c r="I206" s="575"/>
      <c r="J206" s="575"/>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5" t="s">
        <v>5697</v>
      </c>
      <c r="B218" s="575"/>
      <c r="C218" s="575"/>
      <c r="D218" s="575"/>
      <c r="E218" s="575"/>
      <c r="F218" s="575"/>
      <c r="G218" s="575"/>
      <c r="H218" s="575"/>
      <c r="I218" s="575"/>
      <c r="J218" s="575"/>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599"/>
      <c r="H240" s="599"/>
      <c r="I240" s="599"/>
      <c r="J240" s="599"/>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808" priority="21">
      <formula>B101="Complete"</formula>
    </cfRule>
    <cfRule type="expression" dxfId="807" priority="22">
      <formula>B101="In Progress"</formula>
    </cfRule>
    <cfRule type="expression" dxfId="806" priority="23">
      <formula>B101="At Risk"</formula>
    </cfRule>
    <cfRule type="expression" dxfId="805" priority="24">
      <formula>B101="Blocked"</formula>
    </cfRule>
    <cfRule type="expression" dxfId="804" priority="25">
      <formula>B101="Not Started"</formula>
    </cfRule>
  </conditionalFormatting>
  <conditionalFormatting sqref="B110:B117">
    <cfRule type="expression" dxfId="803" priority="1">
      <formula>B110="Complete"</formula>
    </cfRule>
    <cfRule type="expression" dxfId="802" priority="2">
      <formula>B110="In Progress"</formula>
    </cfRule>
    <cfRule type="expression" dxfId="801" priority="3">
      <formula>B110="At Risk"</formula>
    </cfRule>
    <cfRule type="expression" dxfId="800" priority="4">
      <formula>B110="Blocked"</formula>
    </cfRule>
    <cfRule type="expression" dxfId="799" priority="5">
      <formula>B110="Not Started"</formula>
    </cfRule>
  </conditionalFormatting>
  <conditionalFormatting sqref="B122:B126">
    <cfRule type="expression" dxfId="798" priority="30">
      <formula>B122="Not Started"</formula>
    </cfRule>
    <cfRule type="expression" dxfId="797" priority="29">
      <formula>B122="Blocked"</formula>
    </cfRule>
    <cfRule type="expression" dxfId="796" priority="28">
      <formula>B122="At Risk"</formula>
    </cfRule>
    <cfRule type="expression" dxfId="795" priority="27">
      <formula>B122="In Progress"</formula>
    </cfRule>
    <cfRule type="expression" dxfId="794" priority="26">
      <formula>B122="Complete"</formula>
    </cfRule>
  </conditionalFormatting>
  <conditionalFormatting sqref="B131:B134">
    <cfRule type="expression" dxfId="793" priority="6">
      <formula>B131="Complete"</formula>
    </cfRule>
    <cfRule type="expression" dxfId="792" priority="7">
      <formula>B131="In Progress"</formula>
    </cfRule>
    <cfRule type="expression" dxfId="791" priority="8">
      <formula>B131="At Risk"</formula>
    </cfRule>
    <cfRule type="expression" dxfId="790" priority="9">
      <formula>B131="Blocked"</formula>
    </cfRule>
    <cfRule type="expression" dxfId="789" priority="10">
      <formula>B131="Not Started"</formula>
    </cfRule>
  </conditionalFormatting>
  <conditionalFormatting sqref="B139:B144">
    <cfRule type="expression" dxfId="788" priority="11">
      <formula>B139="Complete"</formula>
    </cfRule>
    <cfRule type="expression" dxfId="787" priority="12">
      <formula>B139="In Progress"</formula>
    </cfRule>
    <cfRule type="expression" dxfId="786" priority="13">
      <formula>B139="At Risk"</formula>
    </cfRule>
    <cfRule type="expression" dxfId="785" priority="14">
      <formula>B139="Blocked"</formula>
    </cfRule>
    <cfRule type="expression" dxfId="784" priority="15">
      <formula>B139="Not Started"</formula>
    </cfRule>
  </conditionalFormatting>
  <conditionalFormatting sqref="B162:B169">
    <cfRule type="expression" dxfId="783" priority="82">
      <formula>B162="Yes"</formula>
    </cfRule>
    <cfRule type="expression" dxfId="782" priority="83">
      <formula>B162="N/A"</formula>
    </cfRule>
    <cfRule type="expression" dxfId="781" priority="84">
      <formula>B162="No"</formula>
    </cfRule>
  </conditionalFormatting>
  <conditionalFormatting sqref="B179:H179">
    <cfRule type="expression" dxfId="780" priority="86">
      <formula>COUNTIF($B$6:$B$13,"No")&gt;0</formula>
    </cfRule>
    <cfRule type="expression" dxfId="779"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778" priority="32">
      <formula>C110="No"</formula>
    </cfRule>
    <cfRule type="expression" dxfId="777" priority="31">
      <formula>C110="Yes"</formula>
    </cfRule>
    <cfRule type="expression" dxfId="77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75" priority="17">
      <formula>C139="No"</formula>
    </cfRule>
    <cfRule type="expression" dxfId="774" priority="16">
      <formula>C139="Yes"</formula>
    </cfRule>
    <cfRule type="expression" dxfId="77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72" priority="87">
      <formula>E5="Pass"</formula>
    </cfRule>
    <cfRule type="expression" dxfId="771" priority="88">
      <formula>E5="Verify"</formula>
    </cfRule>
    <cfRule type="expression" dxfId="770" priority="89">
      <formula>E5="Fail"</formula>
    </cfRule>
    <cfRule type="expression" dxfId="769" priority="90">
      <formula>E5="Not Started"</formula>
    </cfRule>
  </conditionalFormatting>
  <conditionalFormatting sqref="F3">
    <cfRule type="expression" dxfId="768" priority="91">
      <formula>F3="Yes"</formula>
    </cfRule>
    <cfRule type="expression" dxfId="767" priority="92">
      <formula>F3="No"</formula>
    </cfRule>
  </conditionalFormatting>
  <conditionalFormatting sqref="F122:F126">
    <cfRule type="expression" dxfId="766" priority="35">
      <formula>F122="Fail"</formula>
    </cfRule>
    <cfRule type="expression" dxfId="765" priority="36">
      <formula>F122="Pending"</formula>
    </cfRule>
    <cfRule type="expression" dxfId="764"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Lookup_Lists!$L$37:$L$39</xm:f>
          </x14:formula1>
          <xm:sqref>C122:E126 J2</xm:sqref>
        </x14:dataValidation>
        <x14:dataValidation type="list" allowBlank="1" showInputMessage="1" showErrorMessage="1" xr:uid="{BF48385E-A2E1-4DEF-A82D-0A1BE17AB6AB}">
          <x14:formula1>
            <xm:f>Lookup_Lists!$A$36:$A$42</xm:f>
          </x14:formula1>
          <xm:sqref>B101:B105 B110:B117 B139:B144</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sqref="A1:J1"/>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32.25" customHeight="1">
      <c r="A1" s="932" t="s">
        <v>2471</v>
      </c>
      <c r="B1" s="932"/>
      <c r="C1" s="932"/>
      <c r="D1" s="932"/>
      <c r="E1" s="932"/>
      <c r="F1" s="932"/>
      <c r="G1" s="932"/>
      <c r="H1" s="932"/>
      <c r="I1" s="932"/>
      <c r="J1" s="932"/>
    </row>
    <row r="2" spans="1:10" s="223" customFormat="1">
      <c r="A2" s="219" t="s">
        <v>142</v>
      </c>
      <c r="B2" s="220" t="s">
        <v>703</v>
      </c>
      <c r="C2" s="219" t="s">
        <v>902</v>
      </c>
      <c r="D2" s="220" t="s">
        <v>1094</v>
      </c>
      <c r="E2" s="219" t="s">
        <v>151</v>
      </c>
      <c r="F2" s="220" t="s">
        <v>1095</v>
      </c>
      <c r="G2" s="219" t="s">
        <v>174</v>
      </c>
      <c r="H2" s="221">
        <v>0.5</v>
      </c>
      <c r="I2" s="219" t="s">
        <v>154</v>
      </c>
      <c r="J2" s="222" t="s">
        <v>1096</v>
      </c>
    </row>
    <row r="3" spans="1:10" s="227" customFormat="1" ht="25.5">
      <c r="A3" s="219" t="s">
        <v>903</v>
      </c>
      <c r="B3" s="224">
        <v>46198.648720324083</v>
      </c>
      <c r="C3" s="225" t="s">
        <v>904</v>
      </c>
      <c r="D3" s="226" t="s">
        <v>721</v>
      </c>
      <c r="E3" s="219" t="s">
        <v>905</v>
      </c>
      <c r="F3" s="226" t="s">
        <v>2472</v>
      </c>
      <c r="G3" s="219" t="s">
        <v>907</v>
      </c>
      <c r="H3" s="226" t="s">
        <v>908</v>
      </c>
      <c r="I3" s="219" t="s">
        <v>551</v>
      </c>
      <c r="J3" s="226" t="s">
        <v>2473</v>
      </c>
    </row>
    <row r="4" spans="1:10" s="227" customFormat="1" ht="178.5">
      <c r="A4" s="219" t="s">
        <v>161</v>
      </c>
      <c r="B4" s="226">
        <v>0</v>
      </c>
      <c r="C4" s="219" t="s">
        <v>199</v>
      </c>
      <c r="D4" s="226">
        <v>0</v>
      </c>
      <c r="E4" s="219" t="s">
        <v>179</v>
      </c>
      <c r="F4" s="226">
        <v>0</v>
      </c>
      <c r="G4" s="219" t="s">
        <v>870</v>
      </c>
      <c r="H4" s="228" t="s">
        <v>2474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604" t="s">
        <v>2475</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703</v>
      </c>
      <c r="B10" s="13" t="s">
        <v>2476</v>
      </c>
      <c r="C10" s="13" t="s">
        <v>923</v>
      </c>
      <c r="D10" s="13" t="s">
        <v>2477</v>
      </c>
      <c r="E10" s="13" t="s">
        <v>356</v>
      </c>
      <c r="F10" s="13">
        <v>1</v>
      </c>
      <c r="G10" s="13">
        <v>1</v>
      </c>
      <c r="H10" s="13" t="s">
        <v>677</v>
      </c>
      <c r="I10" s="13" t="s">
        <v>2478</v>
      </c>
      <c r="J10" s="13" t="s">
        <v>2479</v>
      </c>
    </row>
    <row r="11" spans="1:10" ht="102">
      <c r="A11" s="13" t="s">
        <v>703</v>
      </c>
      <c r="B11" s="13" t="s">
        <v>2480</v>
      </c>
      <c r="C11" s="13" t="s">
        <v>923</v>
      </c>
      <c r="D11" s="13" t="s">
        <v>2481</v>
      </c>
      <c r="E11" s="13" t="s">
        <v>925</v>
      </c>
      <c r="F11" s="13">
        <v>1</v>
      </c>
      <c r="G11" s="13">
        <v>0</v>
      </c>
      <c r="H11" s="13" t="s">
        <v>677</v>
      </c>
      <c r="I11" s="13" t="s">
        <v>2482</v>
      </c>
      <c r="J11" s="13" t="s">
        <v>2483</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2476</v>
      </c>
      <c r="B15" s="13" t="s">
        <v>677</v>
      </c>
      <c r="C15" s="13" t="s">
        <v>677</v>
      </c>
      <c r="D15" s="13" t="s">
        <v>677</v>
      </c>
      <c r="E15" s="13" t="s">
        <v>677</v>
      </c>
      <c r="F15" s="13" t="s">
        <v>677</v>
      </c>
      <c r="G15" s="13" t="s">
        <v>677</v>
      </c>
      <c r="H15" s="13" t="s">
        <v>677</v>
      </c>
      <c r="I15" s="13" t="s">
        <v>677</v>
      </c>
      <c r="J15" s="13" t="s">
        <v>2484</v>
      </c>
    </row>
    <row r="16" spans="1:10" ht="51">
      <c r="A16" s="13" t="s">
        <v>2480</v>
      </c>
      <c r="B16" s="13" t="s">
        <v>946</v>
      </c>
      <c r="C16" s="13" t="s">
        <v>946</v>
      </c>
      <c r="D16" s="13" t="s">
        <v>946</v>
      </c>
      <c r="E16" s="13" t="s">
        <v>677</v>
      </c>
      <c r="F16" s="13" t="s">
        <v>677</v>
      </c>
      <c r="G16" s="13" t="s">
        <v>677</v>
      </c>
      <c r="H16" s="13" t="s">
        <v>677</v>
      </c>
      <c r="I16" s="13" t="s">
        <v>677</v>
      </c>
      <c r="J16" s="13" t="s">
        <v>2485</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2476</v>
      </c>
      <c r="B20" s="13" t="s">
        <v>677</v>
      </c>
      <c r="C20" s="13" t="s">
        <v>677</v>
      </c>
      <c r="D20" s="13" t="s">
        <v>677</v>
      </c>
      <c r="E20" s="13" t="s">
        <v>677</v>
      </c>
      <c r="F20" s="13" t="s">
        <v>677</v>
      </c>
      <c r="G20" s="13" t="s">
        <v>677</v>
      </c>
      <c r="H20" s="13" t="s">
        <v>677</v>
      </c>
      <c r="I20" s="13" t="s">
        <v>677</v>
      </c>
      <c r="J20" s="13" t="s">
        <v>2486</v>
      </c>
    </row>
    <row r="21" spans="1:10" ht="51">
      <c r="A21" s="13" t="s">
        <v>2480</v>
      </c>
      <c r="B21" s="13" t="s">
        <v>677</v>
      </c>
      <c r="C21" s="13" t="s">
        <v>679</v>
      </c>
      <c r="D21" s="13" t="s">
        <v>677</v>
      </c>
      <c r="E21" s="13" t="s">
        <v>677</v>
      </c>
      <c r="F21" s="13" t="s">
        <v>677</v>
      </c>
      <c r="G21" s="13" t="s">
        <v>677</v>
      </c>
      <c r="H21" s="13" t="s">
        <v>677</v>
      </c>
      <c r="I21" s="13" t="s">
        <v>677</v>
      </c>
      <c r="J21" s="13" t="s">
        <v>2487</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2476</v>
      </c>
      <c r="B25" s="13" t="s">
        <v>972</v>
      </c>
      <c r="C25" s="13" t="s">
        <v>677</v>
      </c>
      <c r="D25" s="13" t="s">
        <v>677</v>
      </c>
      <c r="E25" s="13" t="s">
        <v>677</v>
      </c>
      <c r="F25" s="13" t="s">
        <v>677</v>
      </c>
      <c r="G25" s="13" t="s">
        <v>677</v>
      </c>
      <c r="H25" s="13" t="s">
        <v>677</v>
      </c>
      <c r="I25" s="13" t="s">
        <v>677</v>
      </c>
      <c r="J25" s="13" t="s">
        <v>2488</v>
      </c>
    </row>
    <row r="26" spans="1:10" ht="51">
      <c r="A26" s="13" t="s">
        <v>2480</v>
      </c>
      <c r="B26" s="13" t="s">
        <v>946</v>
      </c>
      <c r="C26" s="13" t="s">
        <v>677</v>
      </c>
      <c r="D26" s="13" t="s">
        <v>677</v>
      </c>
      <c r="E26" s="13" t="s">
        <v>677</v>
      </c>
      <c r="F26" s="13" t="s">
        <v>677</v>
      </c>
      <c r="G26" s="13" t="s">
        <v>677</v>
      </c>
      <c r="H26" s="13" t="s">
        <v>677</v>
      </c>
      <c r="I26" s="13" t="s">
        <v>677</v>
      </c>
      <c r="J26" s="13" t="s">
        <v>2489</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2476</v>
      </c>
      <c r="B30" s="13" t="s">
        <v>677</v>
      </c>
      <c r="C30" s="13" t="s">
        <v>2219</v>
      </c>
      <c r="D30" s="13" t="s">
        <v>677</v>
      </c>
      <c r="E30" s="13" t="s">
        <v>677</v>
      </c>
      <c r="F30" s="13" t="s">
        <v>2490</v>
      </c>
      <c r="G30" s="13" t="s">
        <v>677</v>
      </c>
      <c r="H30" s="13" t="s">
        <v>677</v>
      </c>
      <c r="I30" s="13" t="s">
        <v>677</v>
      </c>
      <c r="J30" s="13" t="s">
        <v>2491</v>
      </c>
    </row>
    <row r="31" spans="1:10" ht="51">
      <c r="A31" s="13" t="s">
        <v>2480</v>
      </c>
      <c r="B31" s="13" t="s">
        <v>988</v>
      </c>
      <c r="C31" s="13" t="s">
        <v>1485</v>
      </c>
      <c r="D31" s="13" t="s">
        <v>988</v>
      </c>
      <c r="E31" s="13" t="s">
        <v>677</v>
      </c>
      <c r="F31" s="13" t="s">
        <v>946</v>
      </c>
      <c r="G31" s="13" t="s">
        <v>677</v>
      </c>
      <c r="H31" s="13" t="s">
        <v>677</v>
      </c>
      <c r="I31" s="13" t="s">
        <v>677</v>
      </c>
      <c r="J31" s="13" t="s">
        <v>2222</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2476</v>
      </c>
      <c r="B35" s="13" t="s">
        <v>677</v>
      </c>
      <c r="C35" s="13" t="s">
        <v>677</v>
      </c>
      <c r="D35" s="13" t="s">
        <v>677</v>
      </c>
      <c r="E35" s="13" t="s">
        <v>677</v>
      </c>
      <c r="F35" s="13" t="s">
        <v>677</v>
      </c>
      <c r="G35" s="13" t="s">
        <v>677</v>
      </c>
      <c r="H35" s="13" t="s">
        <v>677</v>
      </c>
      <c r="I35" s="13" t="s">
        <v>677</v>
      </c>
      <c r="J35" s="13" t="s">
        <v>2492</v>
      </c>
    </row>
    <row r="36" spans="1:10" ht="63.75">
      <c r="A36" s="13" t="s">
        <v>2480</v>
      </c>
      <c r="B36" s="13" t="s">
        <v>988</v>
      </c>
      <c r="C36" s="13" t="s">
        <v>988</v>
      </c>
      <c r="D36" s="13" t="s">
        <v>988</v>
      </c>
      <c r="E36" s="13" t="s">
        <v>677</v>
      </c>
      <c r="F36" s="13" t="s">
        <v>677</v>
      </c>
      <c r="G36" s="13" t="s">
        <v>677</v>
      </c>
      <c r="H36" s="13" t="s">
        <v>677</v>
      </c>
      <c r="I36" s="13" t="s">
        <v>677</v>
      </c>
      <c r="J36" s="13" t="s">
        <v>2493</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2476</v>
      </c>
      <c r="B40" s="13" t="s">
        <v>677</v>
      </c>
      <c r="C40" s="13" t="s">
        <v>677</v>
      </c>
      <c r="D40" s="13" t="s">
        <v>677</v>
      </c>
      <c r="E40" s="13" t="s">
        <v>677</v>
      </c>
      <c r="F40" s="13" t="s">
        <v>677</v>
      </c>
      <c r="G40" s="13" t="s">
        <v>677</v>
      </c>
      <c r="H40" s="13" t="s">
        <v>677</v>
      </c>
      <c r="I40" s="13" t="s">
        <v>677</v>
      </c>
      <c r="J40" s="13" t="s">
        <v>2494</v>
      </c>
    </row>
    <row r="41" spans="1:10" ht="51">
      <c r="A41" s="13" t="s">
        <v>2480</v>
      </c>
      <c r="B41" s="13" t="s">
        <v>677</v>
      </c>
      <c r="C41" s="13" t="s">
        <v>677</v>
      </c>
      <c r="D41" s="13" t="s">
        <v>677</v>
      </c>
      <c r="E41" s="13" t="s">
        <v>677</v>
      </c>
      <c r="F41" s="13" t="s">
        <v>677</v>
      </c>
      <c r="G41" s="13" t="s">
        <v>677</v>
      </c>
      <c r="H41" s="13" t="s">
        <v>677</v>
      </c>
      <c r="I41" s="13" t="s">
        <v>677</v>
      </c>
      <c r="J41" s="13" t="s">
        <v>2495</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2496</v>
      </c>
      <c r="B45" s="13" t="s">
        <v>575</v>
      </c>
      <c r="C45" s="13" t="s">
        <v>2497</v>
      </c>
      <c r="D45" s="13" t="s">
        <v>391</v>
      </c>
      <c r="E45" s="13" t="s">
        <v>488</v>
      </c>
      <c r="F45" s="13">
        <v>6</v>
      </c>
      <c r="G45" s="13" t="s">
        <v>1381</v>
      </c>
      <c r="H45" s="13" t="s">
        <v>1023</v>
      </c>
      <c r="I45" s="13" t="s">
        <v>502</v>
      </c>
      <c r="J45" s="13" t="s">
        <v>2498</v>
      </c>
    </row>
    <row r="46" spans="1:10" ht="76.5">
      <c r="A46" s="13" t="s">
        <v>2499</v>
      </c>
      <c r="B46" s="13" t="s">
        <v>2480</v>
      </c>
      <c r="C46" s="13" t="s">
        <v>2418</v>
      </c>
      <c r="D46" s="13" t="s">
        <v>492</v>
      </c>
      <c r="E46" s="13" t="s">
        <v>488</v>
      </c>
      <c r="F46" s="13">
        <v>8</v>
      </c>
      <c r="G46" s="13" t="s">
        <v>2236</v>
      </c>
      <c r="H46" s="13" t="s">
        <v>584</v>
      </c>
      <c r="I46" s="13" t="s">
        <v>502</v>
      </c>
      <c r="J46" s="13" t="s">
        <v>2500</v>
      </c>
    </row>
    <row r="47" spans="1:10" ht="102">
      <c r="A47" s="13" t="s">
        <v>2501</v>
      </c>
      <c r="B47" s="13" t="s">
        <v>2476</v>
      </c>
      <c r="C47" s="13" t="s">
        <v>2502</v>
      </c>
      <c r="D47" s="13" t="s">
        <v>391</v>
      </c>
      <c r="E47" s="13" t="s">
        <v>488</v>
      </c>
      <c r="F47" s="13">
        <v>6</v>
      </c>
      <c r="G47" s="13" t="s">
        <v>2503</v>
      </c>
      <c r="H47" s="13" t="s">
        <v>2504</v>
      </c>
      <c r="I47" s="13" t="s">
        <v>502</v>
      </c>
      <c r="J47" s="13" t="s">
        <v>2505</v>
      </c>
    </row>
    <row r="48" spans="1:10" ht="76.5">
      <c r="A48" s="13" t="s">
        <v>2506</v>
      </c>
      <c r="B48" s="13" t="s">
        <v>2476</v>
      </c>
      <c r="C48" s="13" t="s">
        <v>593</v>
      </c>
      <c r="D48" s="13" t="s">
        <v>492</v>
      </c>
      <c r="E48" s="13" t="s">
        <v>488</v>
      </c>
      <c r="F48" s="13">
        <v>8</v>
      </c>
      <c r="G48" s="13" t="s">
        <v>2239</v>
      </c>
      <c r="H48" s="13" t="s">
        <v>592</v>
      </c>
      <c r="I48" s="13" t="s">
        <v>502</v>
      </c>
      <c r="J48" s="13" t="s">
        <v>1028</v>
      </c>
    </row>
    <row r="49" spans="1:10" ht="89.25">
      <c r="A49" s="13" t="s">
        <v>2507</v>
      </c>
      <c r="B49" s="13" t="s">
        <v>2476</v>
      </c>
      <c r="C49" s="13" t="s">
        <v>2241</v>
      </c>
      <c r="D49" s="13" t="s">
        <v>391</v>
      </c>
      <c r="E49" s="13" t="s">
        <v>488</v>
      </c>
      <c r="F49" s="13">
        <v>6</v>
      </c>
      <c r="G49" s="13" t="s">
        <v>2508</v>
      </c>
      <c r="H49" s="13" t="s">
        <v>1032</v>
      </c>
      <c r="I49" s="13" t="s">
        <v>502</v>
      </c>
      <c r="J49" s="13" t="s">
        <v>2509</v>
      </c>
    </row>
    <row r="50" spans="1:10" ht="102">
      <c r="A50" s="13" t="s">
        <v>2510</v>
      </c>
      <c r="B50" s="13" t="s">
        <v>2476</v>
      </c>
      <c r="C50" s="13" t="s">
        <v>2245</v>
      </c>
      <c r="D50" s="13" t="s">
        <v>391</v>
      </c>
      <c r="E50" s="13" t="s">
        <v>488</v>
      </c>
      <c r="F50" s="13">
        <v>6</v>
      </c>
      <c r="G50" s="13" t="s">
        <v>2246</v>
      </c>
      <c r="H50" s="13" t="s">
        <v>1403</v>
      </c>
      <c r="I50" s="13" t="s">
        <v>502</v>
      </c>
      <c r="J50" s="13" t="s">
        <v>2247</v>
      </c>
    </row>
    <row r="51" spans="1:10" ht="76.5">
      <c r="A51" s="13" t="s">
        <v>2511</v>
      </c>
      <c r="B51" s="13" t="s">
        <v>575</v>
      </c>
      <c r="C51" s="13" t="s">
        <v>2512</v>
      </c>
      <c r="D51" s="13" t="s">
        <v>492</v>
      </c>
      <c r="E51" s="13" t="s">
        <v>488</v>
      </c>
      <c r="F51" s="13">
        <v>8</v>
      </c>
      <c r="G51" s="13" t="s">
        <v>1039</v>
      </c>
      <c r="H51" s="13" t="s">
        <v>584</v>
      </c>
      <c r="I51" s="13" t="s">
        <v>502</v>
      </c>
      <c r="J51" s="13" t="s">
        <v>2513</v>
      </c>
    </row>
    <row r="52" spans="1:10" ht="89.25">
      <c r="A52" s="13" t="s">
        <v>2514</v>
      </c>
      <c r="B52" s="13" t="s">
        <v>575</v>
      </c>
      <c r="C52" s="13" t="s">
        <v>1047</v>
      </c>
      <c r="D52" s="13" t="s">
        <v>391</v>
      </c>
      <c r="E52" s="13" t="s">
        <v>488</v>
      </c>
      <c r="F52" s="13">
        <v>6</v>
      </c>
      <c r="G52" s="13" t="s">
        <v>2252</v>
      </c>
      <c r="H52" s="13" t="s">
        <v>1049</v>
      </c>
      <c r="I52" s="13" t="s">
        <v>502</v>
      </c>
      <c r="J52" s="13" t="s">
        <v>1737</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2515</v>
      </c>
      <c r="B56" s="13" t="s">
        <v>2516</v>
      </c>
      <c r="C56" s="13" t="s">
        <v>579</v>
      </c>
      <c r="D56" s="13" t="s">
        <v>502</v>
      </c>
      <c r="E56" s="13"/>
      <c r="F56" s="13"/>
      <c r="G56" s="13" t="s">
        <v>580</v>
      </c>
      <c r="H56" s="13"/>
      <c r="I56" s="13"/>
      <c r="J56" s="13"/>
    </row>
    <row r="57" spans="1:10" ht="51">
      <c r="A57" s="13" t="s">
        <v>2517</v>
      </c>
      <c r="B57" s="13" t="s">
        <v>2518</v>
      </c>
      <c r="C57" s="13" t="s">
        <v>587</v>
      </c>
      <c r="D57" s="13" t="s">
        <v>502</v>
      </c>
      <c r="E57" s="13"/>
      <c r="F57" s="13"/>
      <c r="G57" s="13" t="s">
        <v>588</v>
      </c>
      <c r="H57" s="13"/>
      <c r="I57" s="13"/>
      <c r="J57" s="13"/>
    </row>
    <row r="58" spans="1:10" ht="76.5">
      <c r="A58" s="13" t="s">
        <v>2519</v>
      </c>
      <c r="B58" s="13" t="s">
        <v>2520</v>
      </c>
      <c r="C58" s="13" t="s">
        <v>601</v>
      </c>
      <c r="D58" s="13" t="s">
        <v>502</v>
      </c>
      <c r="E58" s="13"/>
      <c r="F58" s="13"/>
      <c r="G58" s="13" t="s">
        <v>602</v>
      </c>
      <c r="H58" s="13"/>
      <c r="I58" s="13"/>
      <c r="J58" s="13"/>
    </row>
    <row r="59" spans="1:10" ht="63.75">
      <c r="A59" s="13" t="s">
        <v>2521</v>
      </c>
      <c r="B59" s="13" t="s">
        <v>2522</v>
      </c>
      <c r="C59" s="13" t="s">
        <v>609</v>
      </c>
      <c r="D59" s="13" t="s">
        <v>502</v>
      </c>
      <c r="E59" s="13"/>
      <c r="F59" s="13"/>
      <c r="G59" s="13" t="s">
        <v>610</v>
      </c>
      <c r="H59" s="13"/>
      <c r="I59" s="13"/>
      <c r="J59" s="13"/>
    </row>
    <row r="60" spans="1:10" ht="76.5">
      <c r="A60" s="13" t="s">
        <v>2523</v>
      </c>
      <c r="B60" s="13" t="s">
        <v>2524</v>
      </c>
      <c r="C60" s="13" t="s">
        <v>616</v>
      </c>
      <c r="D60" s="13" t="s">
        <v>502</v>
      </c>
      <c r="E60" s="13"/>
      <c r="F60" s="13"/>
      <c r="G60" s="13" t="s">
        <v>617</v>
      </c>
      <c r="H60" s="13"/>
      <c r="I60" s="13"/>
      <c r="J60" s="13"/>
    </row>
    <row r="61" spans="1:10" ht="89.25">
      <c r="A61" s="13" t="s">
        <v>2525</v>
      </c>
      <c r="B61" s="13" t="s">
        <v>2526</v>
      </c>
      <c r="C61" s="13" t="s">
        <v>1032</v>
      </c>
      <c r="D61" s="13" t="s">
        <v>502</v>
      </c>
      <c r="E61" s="13"/>
      <c r="F61" s="13"/>
      <c r="G61" s="13" t="s">
        <v>2527</v>
      </c>
      <c r="H61" s="13"/>
      <c r="I61" s="13"/>
      <c r="J61" s="13"/>
    </row>
    <row r="62" spans="1:10" ht="89.25">
      <c r="A62" s="13" t="s">
        <v>2528</v>
      </c>
      <c r="B62" s="13" t="s">
        <v>624</v>
      </c>
      <c r="C62" s="13" t="s">
        <v>622</v>
      </c>
      <c r="D62" s="13" t="s">
        <v>502</v>
      </c>
      <c r="E62" s="13"/>
      <c r="F62" s="13"/>
      <c r="G62" s="13" t="s">
        <v>623</v>
      </c>
      <c r="H62" s="13"/>
      <c r="I62" s="13"/>
      <c r="J62" s="13"/>
    </row>
    <row r="63" spans="1:10" ht="76.5">
      <c r="A63" s="13" t="s">
        <v>2529</v>
      </c>
      <c r="B63" s="13" t="s">
        <v>1753</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14.75">
      <c r="A67" s="13" t="s">
        <v>2530</v>
      </c>
      <c r="B67" s="13" t="s">
        <v>2476</v>
      </c>
      <c r="C67" s="13" t="s">
        <v>269</v>
      </c>
      <c r="D67" s="13" t="s">
        <v>2531</v>
      </c>
      <c r="E67" s="13"/>
      <c r="F67" s="13" t="s">
        <v>229</v>
      </c>
      <c r="G67" s="13"/>
      <c r="H67" s="13" t="s">
        <v>2532</v>
      </c>
      <c r="I67" s="13" t="s">
        <v>502</v>
      </c>
      <c r="J67" s="13"/>
    </row>
    <row r="68" spans="1:10" ht="102">
      <c r="A68" s="13" t="s">
        <v>2533</v>
      </c>
      <c r="B68" s="13" t="s">
        <v>2480</v>
      </c>
      <c r="C68" s="13" t="s">
        <v>269</v>
      </c>
      <c r="D68" s="13" t="s">
        <v>2534</v>
      </c>
      <c r="E68" s="13"/>
      <c r="F68" s="13" t="s">
        <v>229</v>
      </c>
      <c r="G68" s="13"/>
      <c r="H68" s="13" t="s">
        <v>2535</v>
      </c>
      <c r="I68" s="13" t="s">
        <v>502</v>
      </c>
      <c r="J68" s="13"/>
    </row>
    <row r="69" spans="1:10" ht="63.75">
      <c r="A69" s="13" t="s">
        <v>2536</v>
      </c>
      <c r="B69" s="13" t="s">
        <v>2476</v>
      </c>
      <c r="C69" s="13" t="s">
        <v>957</v>
      </c>
      <c r="D69" s="13" t="s">
        <v>1659</v>
      </c>
      <c r="E69" s="13"/>
      <c r="F69" s="13" t="s">
        <v>229</v>
      </c>
      <c r="G69" s="13"/>
      <c r="H69" s="13" t="s">
        <v>2510</v>
      </c>
      <c r="I69" s="13" t="s">
        <v>502</v>
      </c>
      <c r="J69" s="13"/>
    </row>
    <row r="70" spans="1:10" ht="89.25">
      <c r="A70" s="13" t="s">
        <v>2537</v>
      </c>
      <c r="B70" s="13" t="s">
        <v>2476</v>
      </c>
      <c r="C70" s="13" t="s">
        <v>148</v>
      </c>
      <c r="D70" s="13" t="s">
        <v>2081</v>
      </c>
      <c r="E70" s="13"/>
      <c r="F70" s="13" t="s">
        <v>229</v>
      </c>
      <c r="G70" s="13"/>
      <c r="H70" s="13" t="s">
        <v>2506</v>
      </c>
      <c r="I70" s="13" t="s">
        <v>502</v>
      </c>
      <c r="J70" s="13"/>
    </row>
    <row r="71" spans="1:10" ht="89.25">
      <c r="A71" s="13" t="s">
        <v>2538</v>
      </c>
      <c r="B71" s="13" t="s">
        <v>2476</v>
      </c>
      <c r="C71" s="13" t="s">
        <v>153</v>
      </c>
      <c r="D71" s="13" t="s">
        <v>2539</v>
      </c>
      <c r="E71" s="13"/>
      <c r="F71" s="13" t="s">
        <v>229</v>
      </c>
      <c r="G71" s="13"/>
      <c r="H71" s="13" t="s">
        <v>2507</v>
      </c>
      <c r="I71" s="13" t="s">
        <v>502</v>
      </c>
      <c r="J71" s="13"/>
    </row>
    <row r="72" spans="1:10" ht="89.25">
      <c r="A72" s="13" t="s">
        <v>2540</v>
      </c>
      <c r="B72" s="13" t="s">
        <v>2541</v>
      </c>
      <c r="C72" s="13" t="s">
        <v>155</v>
      </c>
      <c r="D72" s="13" t="s">
        <v>2542</v>
      </c>
      <c r="E72" s="13"/>
      <c r="F72" s="13" t="s">
        <v>229</v>
      </c>
      <c r="G72" s="13"/>
      <c r="H72" s="13" t="s">
        <v>2511</v>
      </c>
      <c r="I72" s="13" t="s">
        <v>502</v>
      </c>
      <c r="J72" s="13"/>
    </row>
    <row r="73" spans="1:10" ht="102">
      <c r="A73" s="13" t="s">
        <v>2543</v>
      </c>
      <c r="B73" s="13" t="s">
        <v>2541</v>
      </c>
      <c r="C73" s="13" t="s">
        <v>556</v>
      </c>
      <c r="D73" s="13" t="s">
        <v>2544</v>
      </c>
      <c r="E73" s="13"/>
      <c r="F73" s="13" t="s">
        <v>229</v>
      </c>
      <c r="G73" s="13"/>
      <c r="H73" s="13" t="s">
        <v>2514</v>
      </c>
      <c r="I73" s="13" t="s">
        <v>502</v>
      </c>
      <c r="J73" s="13"/>
    </row>
    <row r="74" spans="1:10" ht="76.5">
      <c r="A74" s="13" t="s">
        <v>2545</v>
      </c>
      <c r="B74" s="13" t="s">
        <v>575</v>
      </c>
      <c r="C74" s="13" t="s">
        <v>2546</v>
      </c>
      <c r="D74" s="13" t="s">
        <v>2547</v>
      </c>
      <c r="E74" s="13"/>
      <c r="F74" s="13" t="s">
        <v>229</v>
      </c>
      <c r="G74" s="13"/>
      <c r="H74" s="13" t="s">
        <v>2548</v>
      </c>
      <c r="I74" s="13" t="s">
        <v>502</v>
      </c>
      <c r="J74" s="13"/>
    </row>
    <row r="75" spans="1:10">
      <c r="A75" s="13"/>
      <c r="B75" s="13"/>
      <c r="C75" s="13"/>
      <c r="D75" s="13"/>
      <c r="E75" s="13"/>
      <c r="F75" s="13"/>
      <c r="G75" s="13"/>
      <c r="H75" s="13"/>
      <c r="I75" s="13"/>
      <c r="J75" s="13"/>
    </row>
    <row r="76" spans="1:10" ht="45">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2476</v>
      </c>
      <c r="B78" s="13">
        <v>0.5</v>
      </c>
      <c r="C78" s="13">
        <v>0.5</v>
      </c>
      <c r="D78" s="13">
        <v>0.5</v>
      </c>
      <c r="E78" s="13">
        <v>0.5</v>
      </c>
      <c r="F78" s="13">
        <v>0.5</v>
      </c>
      <c r="G78" s="13" t="s">
        <v>677</v>
      </c>
      <c r="H78" s="13">
        <v>0.5</v>
      </c>
      <c r="I78" s="13" t="s">
        <v>1201</v>
      </c>
      <c r="J78" s="13" t="s">
        <v>2549</v>
      </c>
    </row>
    <row r="79" spans="1:10" ht="38.25">
      <c r="A79" s="13" t="s">
        <v>2480</v>
      </c>
      <c r="B79" s="13">
        <v>0.5</v>
      </c>
      <c r="C79" s="13">
        <v>0.5</v>
      </c>
      <c r="D79" s="13">
        <v>0.5</v>
      </c>
      <c r="E79" s="13">
        <v>0.5</v>
      </c>
      <c r="F79" s="13">
        <v>0.5</v>
      </c>
      <c r="G79" s="13" t="s">
        <v>677</v>
      </c>
      <c r="H79" s="13">
        <v>0.5</v>
      </c>
      <c r="I79" s="13" t="s">
        <v>1201</v>
      </c>
      <c r="J79" s="13" t="s">
        <v>2550</v>
      </c>
    </row>
    <row r="80" spans="1:10">
      <c r="A80" s="13"/>
      <c r="B80" s="13"/>
      <c r="C80" s="13"/>
      <c r="D80" s="13"/>
      <c r="E80" s="13"/>
      <c r="F80" s="13"/>
      <c r="G80" s="13"/>
      <c r="H80" s="13"/>
      <c r="I80" s="13"/>
      <c r="J80" s="13"/>
    </row>
    <row r="81" spans="1:10" ht="45">
      <c r="A81" s="85" t="s">
        <v>1085</v>
      </c>
      <c r="B81" s="85"/>
      <c r="C81" s="85"/>
      <c r="D81" s="85"/>
      <c r="E81" s="85"/>
      <c r="F81" s="85"/>
      <c r="G81" s="85"/>
      <c r="H81" s="85"/>
      <c r="I81" s="85"/>
      <c r="J81" s="85"/>
    </row>
    <row r="82" spans="1:10" ht="38.25">
      <c r="A82" s="50" t="s">
        <v>905</v>
      </c>
      <c r="B82" s="50" t="s">
        <v>809</v>
      </c>
      <c r="C82" s="50"/>
      <c r="D82" s="50"/>
      <c r="E82" s="50"/>
      <c r="F82" s="50"/>
      <c r="G82" s="50"/>
      <c r="H82" s="50"/>
      <c r="I82" s="50"/>
      <c r="J82" s="50"/>
    </row>
    <row r="83" spans="1:10" ht="165.75">
      <c r="A83" s="13" t="s">
        <v>1086</v>
      </c>
      <c r="B83" s="13" t="s">
        <v>2551</v>
      </c>
      <c r="C83" s="13"/>
      <c r="D83" s="13"/>
      <c r="E83" s="13"/>
      <c r="F83" s="13"/>
      <c r="G83" s="13"/>
      <c r="H83" s="13"/>
      <c r="I83" s="13"/>
      <c r="J83" s="13"/>
    </row>
    <row r="84" spans="1:10" ht="140.25">
      <c r="A84" s="13" t="s">
        <v>1455</v>
      </c>
      <c r="B84" s="13" t="s">
        <v>2552</v>
      </c>
      <c r="C84" s="13"/>
      <c r="D84" s="13"/>
      <c r="E84" s="13"/>
      <c r="F84" s="13"/>
      <c r="G84" s="13"/>
      <c r="H84" s="13"/>
      <c r="I84" s="13"/>
      <c r="J84" s="13"/>
    </row>
    <row r="85" spans="1:10" ht="229.5">
      <c r="A85" s="13" t="s">
        <v>1088</v>
      </c>
      <c r="B85" s="13" t="s">
        <v>2553</v>
      </c>
      <c r="C85" s="13"/>
      <c r="D85" s="13"/>
      <c r="E85" s="13"/>
      <c r="F85" s="13"/>
      <c r="G85" s="13"/>
      <c r="H85" s="13"/>
      <c r="I85" s="13"/>
      <c r="J85" s="13"/>
    </row>
    <row r="86" spans="1:10" ht="153">
      <c r="A86" s="13" t="s">
        <v>1089</v>
      </c>
      <c r="B86" s="13" t="s">
        <v>2554</v>
      </c>
      <c r="C86" s="13"/>
      <c r="D86" s="13"/>
      <c r="E86" s="13"/>
      <c r="F86" s="13"/>
      <c r="G86" s="13"/>
      <c r="H86" s="13"/>
      <c r="I86" s="13"/>
      <c r="J86" s="13"/>
    </row>
    <row r="87" spans="1:10" ht="191.25">
      <c r="A87" s="13" t="s">
        <v>1090</v>
      </c>
      <c r="B87" s="13" t="s">
        <v>2555</v>
      </c>
      <c r="C87" s="13"/>
      <c r="D87" s="13"/>
      <c r="E87" s="13"/>
      <c r="F87" s="13"/>
      <c r="G87" s="13"/>
      <c r="H87" s="13"/>
      <c r="I87" s="13"/>
      <c r="J87" s="13"/>
    </row>
    <row r="88" spans="1:10" ht="191.25">
      <c r="A88" s="13" t="s">
        <v>1563</v>
      </c>
      <c r="B88" s="13" t="s">
        <v>1776</v>
      </c>
      <c r="C88" s="13"/>
      <c r="D88" s="13"/>
      <c r="E88" s="13"/>
      <c r="F88" s="13"/>
      <c r="G88" s="13"/>
      <c r="H88" s="13"/>
      <c r="I88" s="13"/>
      <c r="J88" s="13"/>
    </row>
    <row r="90" spans="1:10" ht="15.75" thickBot="1"/>
    <row r="91" spans="1:10">
      <c r="A91" s="605" t="s">
        <v>5668</v>
      </c>
      <c r="B91" s="602"/>
      <c r="C91" s="602"/>
      <c r="D91" s="606"/>
      <c r="E91" s="602"/>
      <c r="F91" s="602"/>
      <c r="G91" s="606"/>
      <c r="H91" s="606"/>
      <c r="I91" s="606"/>
      <c r="J91" s="607"/>
    </row>
    <row r="92" spans="1:10">
      <c r="A92" s="321" t="s">
        <v>5610</v>
      </c>
      <c r="B92" s="322" t="s">
        <v>77</v>
      </c>
      <c r="C92" s="322" t="s">
        <v>5611</v>
      </c>
      <c r="D92" s="322" t="s">
        <v>5612</v>
      </c>
      <c r="E92" s="322" t="s">
        <v>5634</v>
      </c>
      <c r="F92" s="322" t="s">
        <v>5601</v>
      </c>
      <c r="G92" s="578" t="s">
        <v>5635</v>
      </c>
      <c r="H92" s="578"/>
      <c r="I92" s="578"/>
      <c r="J92" s="579"/>
    </row>
    <row r="93" spans="1:10" ht="25.5">
      <c r="A93" s="323" t="s">
        <v>5613</v>
      </c>
      <c r="B93" s="333" t="s">
        <v>484</v>
      </c>
      <c r="C93" s="325">
        <v>0</v>
      </c>
      <c r="D93" s="325">
        <v>0</v>
      </c>
      <c r="E93" s="192" t="s">
        <v>5674</v>
      </c>
      <c r="F93" s="325">
        <f>IF(AND(C93&lt;&gt;"",D93&lt;&gt;""),D93-C93,"")</f>
        <v>0</v>
      </c>
      <c r="G93" s="608"/>
      <c r="H93" s="608"/>
      <c r="I93" s="608"/>
      <c r="J93" s="609"/>
    </row>
    <row r="94" spans="1:10" ht="25.5">
      <c r="A94" s="326" t="s">
        <v>5614</v>
      </c>
      <c r="B94" s="333" t="s">
        <v>484</v>
      </c>
      <c r="C94" s="327">
        <v>1</v>
      </c>
      <c r="D94" s="327">
        <v>0</v>
      </c>
      <c r="E94" s="310" t="s">
        <v>5675</v>
      </c>
      <c r="F94" s="327">
        <f>IF(AND(C94&lt;&gt;"",D94&lt;&gt;""),D94-C94,"")</f>
        <v>-1</v>
      </c>
      <c r="G94" s="610"/>
      <c r="H94" s="610"/>
      <c r="I94" s="610"/>
      <c r="J94" s="611"/>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610"/>
      <c r="H96" s="610"/>
      <c r="I96" s="610"/>
      <c r="J96" s="611"/>
    </row>
    <row r="97" spans="1:10">
      <c r="A97" s="323" t="s">
        <v>5168</v>
      </c>
      <c r="B97" s="333" t="s">
        <v>484</v>
      </c>
      <c r="C97" s="327">
        <v>1</v>
      </c>
      <c r="D97" s="327">
        <v>0</v>
      </c>
      <c r="E97" s="310" t="s">
        <v>5675</v>
      </c>
      <c r="F97" s="325">
        <f>IF(AND(C97&lt;&gt;"",D97&lt;&gt;""),D97-C97,"")</f>
        <v>-1</v>
      </c>
      <c r="G97" s="328"/>
      <c r="H97" s="227"/>
      <c r="I97" s="227"/>
      <c r="J97" s="329"/>
    </row>
    <row r="98" spans="1:10" ht="15.75">
      <c r="A98" s="585" t="s">
        <v>5636</v>
      </c>
      <c r="B98" s="586"/>
      <c r="C98" s="330">
        <f>IFERROR(AVERAGE(C93:C97),"")</f>
        <v>0.8</v>
      </c>
      <c r="D98" s="330">
        <f>IFERROR(AVERAGE(D93:D97),"")</f>
        <v>0</v>
      </c>
      <c r="E98" s="589" t="s">
        <v>5637</v>
      </c>
      <c r="F98" s="589"/>
      <c r="G98" s="589"/>
      <c r="H98" s="589"/>
      <c r="I98" s="589"/>
      <c r="J98" s="590"/>
    </row>
    <row r="99" spans="1:10">
      <c r="A99" s="331"/>
      <c r="B99" s="316"/>
      <c r="C99" s="316"/>
      <c r="D99" s="316"/>
      <c r="E99" s="316"/>
      <c r="F99" s="316"/>
      <c r="G99" s="316"/>
      <c r="H99" s="227"/>
      <c r="I99" s="227"/>
      <c r="J99" s="329"/>
    </row>
    <row r="100" spans="1:10">
      <c r="A100" s="574" t="s">
        <v>5669</v>
      </c>
      <c r="B100" s="582"/>
      <c r="C100" s="582"/>
      <c r="D100" s="575"/>
      <c r="E100" s="582"/>
      <c r="F100" s="582"/>
      <c r="G100" s="575"/>
      <c r="H100" s="575"/>
      <c r="I100" s="575"/>
      <c r="J100" s="576"/>
    </row>
    <row r="101" spans="1:10">
      <c r="A101" s="321" t="s">
        <v>4946</v>
      </c>
      <c r="B101" s="322" t="s">
        <v>77</v>
      </c>
      <c r="C101" s="322" t="s">
        <v>5676</v>
      </c>
      <c r="D101" s="322" t="s">
        <v>482</v>
      </c>
      <c r="E101" s="322" t="s">
        <v>572</v>
      </c>
      <c r="F101" s="322" t="s">
        <v>5639</v>
      </c>
      <c r="G101" s="578" t="s">
        <v>5640</v>
      </c>
      <c r="H101" s="578"/>
      <c r="I101" s="578"/>
      <c r="J101" s="579"/>
    </row>
    <row r="102" spans="1:10" ht="25.5">
      <c r="A102" s="326" t="s">
        <v>5602</v>
      </c>
      <c r="B102" s="333" t="s">
        <v>484</v>
      </c>
      <c r="C102" s="332" t="s">
        <v>679</v>
      </c>
      <c r="D102" s="324" t="s">
        <v>679</v>
      </c>
      <c r="E102" s="332">
        <f>IF(D102="Yes",1,0)</f>
        <v>0</v>
      </c>
      <c r="F102" s="580"/>
      <c r="G102" s="580"/>
      <c r="H102" s="580"/>
      <c r="I102" s="580"/>
      <c r="J102" s="581"/>
    </row>
    <row r="103" spans="1:10">
      <c r="A103" s="323" t="s">
        <v>995</v>
      </c>
      <c r="B103" s="333" t="s">
        <v>484</v>
      </c>
      <c r="C103" s="332" t="s">
        <v>679</v>
      </c>
      <c r="D103" s="324" t="s">
        <v>679</v>
      </c>
      <c r="E103" s="324">
        <f t="shared" ref="E103:E109" si="0">IF(D103="Yes",1,0)</f>
        <v>0</v>
      </c>
      <c r="F103" s="580"/>
      <c r="G103" s="580"/>
      <c r="H103" s="580"/>
      <c r="I103" s="580"/>
      <c r="J103" s="581"/>
    </row>
    <row r="104" spans="1:10">
      <c r="A104" s="326" t="s">
        <v>5603</v>
      </c>
      <c r="B104" s="333" t="s">
        <v>484</v>
      </c>
      <c r="C104" s="332" t="s">
        <v>679</v>
      </c>
      <c r="D104" s="324" t="s">
        <v>679</v>
      </c>
      <c r="E104" s="332">
        <f t="shared" si="0"/>
        <v>0</v>
      </c>
      <c r="F104" s="580"/>
      <c r="G104" s="580"/>
      <c r="H104" s="580"/>
      <c r="I104" s="580"/>
      <c r="J104" s="581"/>
    </row>
    <row r="105" spans="1:10">
      <c r="A105" s="323" t="s">
        <v>5617</v>
      </c>
      <c r="B105" s="333" t="s">
        <v>484</v>
      </c>
      <c r="C105" s="332" t="s">
        <v>679</v>
      </c>
      <c r="D105" s="324" t="s">
        <v>679</v>
      </c>
      <c r="E105" s="324">
        <f t="shared" si="0"/>
        <v>0</v>
      </c>
      <c r="F105" s="580"/>
      <c r="G105" s="580"/>
      <c r="H105" s="580"/>
      <c r="I105" s="580"/>
      <c r="J105" s="581"/>
    </row>
    <row r="106" spans="1:10" ht="38.25">
      <c r="A106" s="326" t="s">
        <v>5618</v>
      </c>
      <c r="B106" s="333" t="s">
        <v>484</v>
      </c>
      <c r="C106" s="332" t="s">
        <v>679</v>
      </c>
      <c r="D106" s="324" t="s">
        <v>679</v>
      </c>
      <c r="E106" s="332">
        <f t="shared" si="0"/>
        <v>0</v>
      </c>
      <c r="F106" s="580"/>
      <c r="G106" s="580"/>
      <c r="H106" s="580"/>
      <c r="I106" s="580"/>
      <c r="J106" s="581"/>
    </row>
    <row r="107" spans="1:10" ht="25.5">
      <c r="A107" s="323" t="s">
        <v>5619</v>
      </c>
      <c r="B107" s="333" t="s">
        <v>484</v>
      </c>
      <c r="C107" s="332" t="s">
        <v>679</v>
      </c>
      <c r="D107" s="324" t="s">
        <v>679</v>
      </c>
      <c r="E107" s="324">
        <f t="shared" si="0"/>
        <v>0</v>
      </c>
      <c r="F107" s="580"/>
      <c r="G107" s="580"/>
      <c r="H107" s="580"/>
      <c r="I107" s="580"/>
      <c r="J107" s="581"/>
    </row>
    <row r="108" spans="1:10">
      <c r="A108" s="326" t="s">
        <v>5604</v>
      </c>
      <c r="B108" s="333" t="s">
        <v>484</v>
      </c>
      <c r="C108" s="332" t="s">
        <v>679</v>
      </c>
      <c r="D108" s="324" t="s">
        <v>679</v>
      </c>
      <c r="E108" s="332">
        <f t="shared" si="0"/>
        <v>0</v>
      </c>
      <c r="F108" s="580"/>
      <c r="G108" s="580"/>
      <c r="H108" s="580"/>
      <c r="I108" s="580"/>
      <c r="J108" s="581"/>
    </row>
    <row r="109" spans="1:10" ht="25.5">
      <c r="A109" s="323" t="s">
        <v>5605</v>
      </c>
      <c r="B109" s="333" t="s">
        <v>484</v>
      </c>
      <c r="C109" s="332" t="s">
        <v>679</v>
      </c>
      <c r="D109" s="324" t="s">
        <v>679</v>
      </c>
      <c r="E109" s="324">
        <f t="shared" si="0"/>
        <v>0</v>
      </c>
      <c r="F109" s="580"/>
      <c r="G109" s="580"/>
      <c r="H109" s="580"/>
      <c r="I109" s="580"/>
      <c r="J109" s="581"/>
    </row>
    <row r="110" spans="1:10" ht="15.75">
      <c r="A110" s="585" t="s">
        <v>5641</v>
      </c>
      <c r="B110" s="586"/>
      <c r="C110" s="587" t="str">
        <f>IFERROR(SUM(E102:E109)/COUNTIF(C102:C109,"Yes"),"")</f>
        <v/>
      </c>
      <c r="D110" s="588"/>
      <c r="E110" s="589" t="s">
        <v>5642</v>
      </c>
      <c r="F110" s="589"/>
      <c r="G110" s="589"/>
      <c r="H110" s="589"/>
      <c r="I110" s="589"/>
      <c r="J110" s="590"/>
    </row>
    <row r="111" spans="1:10">
      <c r="A111" s="331"/>
      <c r="B111" s="316"/>
      <c r="C111" s="316"/>
      <c r="D111" s="316"/>
      <c r="E111" s="316"/>
      <c r="F111" s="316"/>
      <c r="G111" s="316"/>
      <c r="H111" s="227"/>
      <c r="I111" s="227"/>
      <c r="J111" s="329"/>
    </row>
    <row r="112" spans="1:10">
      <c r="A112" s="574" t="s">
        <v>5670</v>
      </c>
      <c r="B112" s="582"/>
      <c r="C112" s="582"/>
      <c r="D112" s="575"/>
      <c r="E112" s="582"/>
      <c r="F112" s="582"/>
      <c r="G112" s="575"/>
      <c r="H112" s="575"/>
      <c r="I112" s="575"/>
      <c r="J112" s="576"/>
    </row>
    <row r="113" spans="1:10">
      <c r="A113" s="321" t="s">
        <v>5643</v>
      </c>
      <c r="B113" s="322" t="s">
        <v>77</v>
      </c>
      <c r="C113" s="322" t="s">
        <v>5620</v>
      </c>
      <c r="D113" s="322" t="s">
        <v>5621</v>
      </c>
      <c r="E113" s="322" t="s">
        <v>5622</v>
      </c>
      <c r="F113" s="322" t="s">
        <v>5644</v>
      </c>
      <c r="G113" s="578" t="s">
        <v>5645</v>
      </c>
      <c r="H113" s="578"/>
      <c r="I113" s="578"/>
      <c r="J113" s="579"/>
    </row>
    <row r="114" spans="1:10" ht="25.5">
      <c r="A114" s="326" t="s">
        <v>5623</v>
      </c>
      <c r="B114" s="332" t="s">
        <v>484</v>
      </c>
      <c r="C114" s="332" t="s">
        <v>1096</v>
      </c>
      <c r="D114" s="332" t="s">
        <v>1096</v>
      </c>
      <c r="E114" s="332" t="s">
        <v>1096</v>
      </c>
      <c r="F114" s="332" t="s">
        <v>348</v>
      </c>
      <c r="G114" s="583"/>
      <c r="H114" s="583"/>
      <c r="I114" s="583"/>
      <c r="J114" s="584"/>
    </row>
    <row r="115" spans="1:10">
      <c r="A115" s="323" t="s">
        <v>5624</v>
      </c>
      <c r="B115" s="332" t="s">
        <v>484</v>
      </c>
      <c r="C115" s="332" t="s">
        <v>1096</v>
      </c>
      <c r="D115" s="332" t="s">
        <v>1096</v>
      </c>
      <c r="E115" s="332" t="s">
        <v>1096</v>
      </c>
      <c r="F115" s="332" t="s">
        <v>348</v>
      </c>
      <c r="G115" s="583"/>
      <c r="H115" s="583"/>
      <c r="I115" s="583"/>
      <c r="J115" s="584"/>
    </row>
    <row r="116" spans="1:10">
      <c r="A116" s="326" t="s">
        <v>5646</v>
      </c>
      <c r="B116" s="332" t="s">
        <v>484</v>
      </c>
      <c r="C116" s="332" t="s">
        <v>1096</v>
      </c>
      <c r="D116" s="332" t="s">
        <v>1096</v>
      </c>
      <c r="E116" s="332" t="s">
        <v>1096</v>
      </c>
      <c r="F116" s="332" t="s">
        <v>348</v>
      </c>
      <c r="G116" s="583"/>
      <c r="H116" s="583"/>
      <c r="I116" s="583"/>
      <c r="J116" s="584"/>
    </row>
    <row r="117" spans="1:10">
      <c r="A117" s="323" t="s">
        <v>5625</v>
      </c>
      <c r="B117" s="332" t="s">
        <v>484</v>
      </c>
      <c r="C117" s="332" t="s">
        <v>1096</v>
      </c>
      <c r="D117" s="332" t="s">
        <v>1096</v>
      </c>
      <c r="E117" s="332" t="s">
        <v>1096</v>
      </c>
      <c r="F117" s="332" t="s">
        <v>348</v>
      </c>
      <c r="G117" s="583"/>
      <c r="H117" s="583"/>
      <c r="I117" s="583"/>
      <c r="J117" s="584"/>
    </row>
    <row r="118" spans="1:10" ht="25.5">
      <c r="A118" s="326" t="s">
        <v>5626</v>
      </c>
      <c r="B118" s="332" t="s">
        <v>484</v>
      </c>
      <c r="C118" s="332" t="s">
        <v>1096</v>
      </c>
      <c r="D118" s="332" t="s">
        <v>1096</v>
      </c>
      <c r="E118" s="332" t="s">
        <v>1096</v>
      </c>
      <c r="F118" s="332" t="s">
        <v>348</v>
      </c>
      <c r="G118" s="583"/>
      <c r="H118" s="583"/>
      <c r="I118" s="583"/>
      <c r="J118" s="584"/>
    </row>
    <row r="119" spans="1:10" ht="15.75">
      <c r="A119" s="585" t="s">
        <v>5677</v>
      </c>
      <c r="B119" s="586"/>
      <c r="C119" s="587">
        <f>IFERROR(COUNTIF(E114:E118,"Yes")/COUNTA(A114:A118),"")</f>
        <v>0</v>
      </c>
      <c r="D119" s="588"/>
      <c r="E119" s="589" t="s">
        <v>5648</v>
      </c>
      <c r="F119" s="589"/>
      <c r="G119" s="589"/>
      <c r="H119" s="589"/>
      <c r="I119" s="589"/>
      <c r="J119" s="590"/>
    </row>
    <row r="120" spans="1:10">
      <c r="A120" s="331"/>
      <c r="B120" s="316"/>
      <c r="C120" s="316"/>
      <c r="D120" s="316"/>
      <c r="E120" s="316"/>
      <c r="F120" s="316"/>
      <c r="G120" s="599"/>
      <c r="H120" s="599"/>
      <c r="I120" s="599"/>
      <c r="J120" s="600"/>
    </row>
    <row r="121" spans="1:10">
      <c r="A121" s="574" t="s">
        <v>5671</v>
      </c>
      <c r="B121" s="582"/>
      <c r="C121" s="582"/>
      <c r="D121" s="575"/>
      <c r="E121" s="582"/>
      <c r="F121" s="582"/>
      <c r="G121" s="575"/>
      <c r="H121" s="575"/>
      <c r="I121" s="575"/>
      <c r="J121" s="576"/>
    </row>
    <row r="122" spans="1:10">
      <c r="A122" s="322" t="s">
        <v>5606</v>
      </c>
      <c r="B122" s="322" t="s">
        <v>77</v>
      </c>
      <c r="C122" s="322" t="s">
        <v>5627</v>
      </c>
      <c r="D122" s="322" t="s">
        <v>5628</v>
      </c>
      <c r="E122" s="322" t="s">
        <v>5629</v>
      </c>
      <c r="F122" s="322" t="s">
        <v>5630</v>
      </c>
      <c r="G122" s="578" t="s">
        <v>5678</v>
      </c>
      <c r="H122" s="578"/>
      <c r="I122" s="578"/>
      <c r="J122" s="578"/>
    </row>
    <row r="123" spans="1:10">
      <c r="A123" s="328" t="s">
        <v>153</v>
      </c>
      <c r="B123" s="324" t="s">
        <v>484</v>
      </c>
      <c r="C123" s="324"/>
      <c r="D123" s="324"/>
      <c r="E123" s="324"/>
      <c r="F123" s="325" t="str">
        <f>IFERROR(D123/C123,"")</f>
        <v/>
      </c>
      <c r="G123" s="572"/>
      <c r="H123" s="572"/>
      <c r="I123" s="572"/>
      <c r="J123" s="572"/>
    </row>
    <row r="124" spans="1:10">
      <c r="A124" s="335" t="s">
        <v>155</v>
      </c>
      <c r="B124" s="332" t="s">
        <v>484</v>
      </c>
      <c r="C124" s="332"/>
      <c r="D124" s="332"/>
      <c r="E124" s="332"/>
      <c r="F124" s="327" t="str">
        <f>IFERROR(D124/C124,"")</f>
        <v/>
      </c>
      <c r="G124" s="572"/>
      <c r="H124" s="572"/>
      <c r="I124" s="572"/>
      <c r="J124" s="572"/>
    </row>
    <row r="125" spans="1:10">
      <c r="A125" s="328" t="s">
        <v>4821</v>
      </c>
      <c r="B125" s="324" t="s">
        <v>484</v>
      </c>
      <c r="C125" s="324"/>
      <c r="D125" s="324"/>
      <c r="E125" s="324"/>
      <c r="F125" s="325" t="str">
        <f>IFERROR(D125/C125,"")</f>
        <v/>
      </c>
      <c r="G125" s="572"/>
      <c r="H125" s="572"/>
      <c r="I125" s="572"/>
      <c r="J125" s="572"/>
    </row>
    <row r="126" spans="1:10">
      <c r="A126" s="335" t="s">
        <v>957</v>
      </c>
      <c r="B126" s="332" t="s">
        <v>484</v>
      </c>
      <c r="C126" s="332"/>
      <c r="D126" s="332"/>
      <c r="E126" s="332"/>
      <c r="F126" s="327" t="str">
        <f>IFERROR(D126/C126,"")</f>
        <v/>
      </c>
      <c r="G126" s="572"/>
      <c r="H126" s="572"/>
      <c r="I126" s="572"/>
      <c r="J126" s="572"/>
    </row>
    <row r="127" spans="1:10">
      <c r="A127" s="597" t="s">
        <v>5649</v>
      </c>
      <c r="B127" s="597"/>
      <c r="C127" s="597"/>
      <c r="D127" s="597"/>
      <c r="E127" s="589" t="s">
        <v>5650</v>
      </c>
      <c r="F127" s="589"/>
      <c r="G127" s="589"/>
      <c r="H127" s="589"/>
      <c r="I127" s="589"/>
      <c r="J127" s="589"/>
    </row>
    <row r="128" spans="1:10">
      <c r="A128" s="597"/>
      <c r="B128" s="597"/>
      <c r="C128" s="597"/>
      <c r="D128" s="597"/>
      <c r="E128" s="589"/>
      <c r="F128" s="589"/>
      <c r="G128" s="589"/>
      <c r="H128" s="589"/>
      <c r="I128" s="589"/>
      <c r="J128" s="589"/>
    </row>
    <row r="129" spans="1:10">
      <c r="A129" s="575" t="s">
        <v>5672</v>
      </c>
      <c r="B129" s="575"/>
      <c r="C129" s="575"/>
      <c r="D129" s="575"/>
      <c r="E129" s="575"/>
      <c r="F129" s="575"/>
      <c r="G129" s="575"/>
      <c r="H129" s="575"/>
      <c r="I129" s="575"/>
      <c r="J129" s="575"/>
    </row>
    <row r="130" spans="1:10">
      <c r="A130" s="322" t="s">
        <v>4946</v>
      </c>
      <c r="B130" s="322" t="s">
        <v>77</v>
      </c>
      <c r="C130" s="322" t="s">
        <v>5638</v>
      </c>
      <c r="D130" s="322" t="s">
        <v>482</v>
      </c>
      <c r="E130" s="322" t="s">
        <v>572</v>
      </c>
      <c r="F130" s="322" t="s">
        <v>944</v>
      </c>
      <c r="G130" s="578" t="s">
        <v>5640</v>
      </c>
      <c r="H130" s="578"/>
      <c r="I130" s="578"/>
      <c r="J130" s="578"/>
    </row>
    <row r="131" spans="1:10" ht="25.5">
      <c r="A131" s="328" t="s">
        <v>5607</v>
      </c>
      <c r="B131" s="324" t="s">
        <v>484</v>
      </c>
      <c r="C131" s="324" t="s">
        <v>392</v>
      </c>
      <c r="D131" s="324" t="s">
        <v>1096</v>
      </c>
      <c r="E131" s="324">
        <f t="shared" ref="E131:E136" si="1">IF(D131="Yes",1,0)</f>
        <v>0</v>
      </c>
      <c r="F131" s="324"/>
      <c r="G131" s="572"/>
      <c r="H131" s="572"/>
      <c r="I131" s="572"/>
      <c r="J131" s="572"/>
    </row>
    <row r="132" spans="1:10">
      <c r="A132" s="335" t="s">
        <v>5608</v>
      </c>
      <c r="B132" s="324" t="s">
        <v>484</v>
      </c>
      <c r="C132" s="332" t="s">
        <v>392</v>
      </c>
      <c r="D132" s="324" t="s">
        <v>1096</v>
      </c>
      <c r="E132" s="332">
        <f t="shared" si="1"/>
        <v>0</v>
      </c>
      <c r="F132" s="332"/>
      <c r="G132" s="572"/>
      <c r="H132" s="572"/>
      <c r="I132" s="572"/>
      <c r="J132" s="572"/>
    </row>
    <row r="133" spans="1:10" ht="25.5">
      <c r="A133" s="328" t="s">
        <v>5609</v>
      </c>
      <c r="B133" s="324" t="s">
        <v>484</v>
      </c>
      <c r="C133" s="324" t="s">
        <v>392</v>
      </c>
      <c r="D133" s="324" t="s">
        <v>1096</v>
      </c>
      <c r="E133" s="324">
        <f t="shared" si="1"/>
        <v>0</v>
      </c>
      <c r="F133" s="324"/>
      <c r="G133" s="572"/>
      <c r="H133" s="572"/>
      <c r="I133" s="572"/>
      <c r="J133" s="572"/>
    </row>
    <row r="134" spans="1:10">
      <c r="A134" s="335" t="s">
        <v>5631</v>
      </c>
      <c r="B134" s="324" t="s">
        <v>484</v>
      </c>
      <c r="C134" s="332" t="s">
        <v>392</v>
      </c>
      <c r="D134" s="324" t="s">
        <v>1096</v>
      </c>
      <c r="E134" s="332">
        <f t="shared" si="1"/>
        <v>0</v>
      </c>
      <c r="F134" s="332"/>
      <c r="G134" s="572"/>
      <c r="H134" s="572"/>
      <c r="I134" s="572"/>
      <c r="J134" s="572"/>
    </row>
    <row r="135" spans="1:10" ht="25.5">
      <c r="A135" s="328" t="s">
        <v>5632</v>
      </c>
      <c r="B135" s="324" t="s">
        <v>484</v>
      </c>
      <c r="C135" s="324" t="s">
        <v>392</v>
      </c>
      <c r="D135" s="324" t="s">
        <v>1096</v>
      </c>
      <c r="E135" s="324">
        <f t="shared" si="1"/>
        <v>0</v>
      </c>
      <c r="F135" s="324"/>
      <c r="G135" s="572"/>
      <c r="H135" s="572"/>
      <c r="I135" s="572"/>
      <c r="J135" s="572"/>
    </row>
    <row r="136" spans="1:10" ht="25.5">
      <c r="A136" s="335" t="s">
        <v>5633</v>
      </c>
      <c r="B136" s="324" t="s">
        <v>484</v>
      </c>
      <c r="C136" s="332" t="s">
        <v>392</v>
      </c>
      <c r="D136" s="332" t="s">
        <v>1096</v>
      </c>
      <c r="E136" s="332">
        <f t="shared" si="1"/>
        <v>0</v>
      </c>
      <c r="F136" s="332"/>
      <c r="G136" s="572"/>
      <c r="H136" s="572"/>
      <c r="I136" s="572"/>
      <c r="J136" s="572"/>
    </row>
    <row r="137" spans="1:10" ht="15.75">
      <c r="A137" s="930" t="s">
        <v>5651</v>
      </c>
      <c r="B137" s="586"/>
      <c r="C137" s="587">
        <f>IFERROR(SUM(E131:E136)/COUNTIF(C131:C136,"Yes"),"")</f>
        <v>0</v>
      </c>
      <c r="D137" s="588"/>
      <c r="E137" s="589" t="s">
        <v>5652</v>
      </c>
      <c r="F137" s="589"/>
      <c r="G137" s="589"/>
      <c r="H137" s="589"/>
      <c r="I137" s="589"/>
      <c r="J137" s="589"/>
    </row>
    <row r="138" spans="1:10">
      <c r="A138" s="192"/>
      <c r="B138" s="192"/>
      <c r="C138" s="192"/>
      <c r="D138" s="192"/>
      <c r="E138" s="192"/>
      <c r="F138" s="192"/>
      <c r="G138" s="192"/>
      <c r="H138" s="192"/>
      <c r="I138" s="192"/>
      <c r="J138" s="192"/>
    </row>
    <row r="139" spans="1:10">
      <c r="A139" s="575" t="s">
        <v>5673</v>
      </c>
      <c r="B139" s="582"/>
      <c r="C139" s="582"/>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594" t="s">
        <v>3292</v>
      </c>
      <c r="C141" s="582"/>
      <c r="D141" s="582"/>
      <c r="E141" s="582"/>
      <c r="F141" s="582"/>
      <c r="G141" s="582"/>
      <c r="H141" s="582"/>
      <c r="I141" s="582"/>
      <c r="J141" s="582"/>
    </row>
    <row r="142" spans="1:10" ht="25.5">
      <c r="A142" s="315" t="s">
        <v>2090</v>
      </c>
      <c r="B142" s="594" t="s">
        <v>3293</v>
      </c>
      <c r="C142" s="582"/>
      <c r="D142" s="582"/>
      <c r="E142" s="582"/>
      <c r="F142" s="582"/>
      <c r="G142" s="582"/>
      <c r="H142" s="582"/>
      <c r="I142" s="582"/>
      <c r="J142" s="582"/>
    </row>
    <row r="143" spans="1:10">
      <c r="A143" s="315" t="s">
        <v>1089</v>
      </c>
      <c r="B143" s="594" t="s">
        <v>3294</v>
      </c>
      <c r="C143" s="582"/>
      <c r="D143" s="582"/>
      <c r="E143" s="582"/>
      <c r="F143" s="582"/>
      <c r="G143" s="582"/>
      <c r="H143" s="582"/>
      <c r="I143" s="582"/>
      <c r="J143" s="582"/>
    </row>
    <row r="144" spans="1:10">
      <c r="A144" s="315" t="s">
        <v>1090</v>
      </c>
      <c r="B144" s="594" t="s">
        <v>3295</v>
      </c>
      <c r="C144" s="582"/>
      <c r="D144" s="582"/>
      <c r="E144" s="582"/>
      <c r="F144" s="582"/>
      <c r="G144" s="582"/>
      <c r="H144" s="582"/>
      <c r="I144" s="582"/>
      <c r="J144" s="582"/>
    </row>
    <row r="145" spans="1:10">
      <c r="A145" s="315" t="s">
        <v>1088</v>
      </c>
      <c r="B145" s="594" t="s">
        <v>3296</v>
      </c>
      <c r="C145" s="582"/>
      <c r="D145" s="582"/>
      <c r="E145" s="582"/>
      <c r="F145" s="582"/>
      <c r="G145" s="582"/>
      <c r="H145" s="582"/>
      <c r="I145" s="582"/>
      <c r="J145" s="582"/>
    </row>
    <row r="146" spans="1:10" ht="25.5">
      <c r="A146" s="315" t="s">
        <v>3297</v>
      </c>
      <c r="B146" s="594" t="s">
        <v>3298</v>
      </c>
      <c r="C146" s="582"/>
      <c r="D146" s="582"/>
      <c r="E146" s="582"/>
      <c r="F146" s="582"/>
      <c r="G146" s="582"/>
      <c r="H146" s="582"/>
      <c r="I146" s="582"/>
      <c r="J146" s="582"/>
    </row>
    <row r="147" spans="1:10">
      <c r="A147" s="315" t="s">
        <v>1563</v>
      </c>
      <c r="B147" s="594" t="s">
        <v>1776</v>
      </c>
      <c r="C147" s="582"/>
      <c r="D147" s="582"/>
      <c r="E147" s="582"/>
      <c r="F147" s="582"/>
      <c r="G147" s="582"/>
      <c r="H147" s="582"/>
      <c r="I147" s="582"/>
      <c r="J147" s="582"/>
    </row>
    <row r="148" spans="1:10">
      <c r="A148" s="227"/>
      <c r="B148" s="227"/>
      <c r="C148" s="227"/>
      <c r="D148" s="227"/>
      <c r="E148" s="227"/>
      <c r="F148" s="227"/>
      <c r="G148" s="227"/>
      <c r="H148" s="227"/>
      <c r="I148" s="227"/>
      <c r="J148" s="227"/>
    </row>
    <row r="149" spans="1:10" ht="18">
      <c r="A149" s="598" t="s">
        <v>5562</v>
      </c>
      <c r="B149" s="598"/>
      <c r="C149" s="598"/>
      <c r="D149" s="598"/>
      <c r="E149" s="598"/>
      <c r="F149" s="598"/>
      <c r="G149" s="598"/>
      <c r="H149" s="598"/>
      <c r="I149" s="227"/>
      <c r="J149" s="227"/>
    </row>
    <row r="150" spans="1:10">
      <c r="A150" s="272" t="s">
        <v>2</v>
      </c>
      <c r="B150" s="591" t="s">
        <v>5563</v>
      </c>
      <c r="C150" s="591"/>
      <c r="D150" s="591"/>
      <c r="E150" s="591"/>
      <c r="F150" s="591"/>
      <c r="G150" s="591"/>
      <c r="H150" s="591"/>
      <c r="I150" s="227"/>
      <c r="J150" s="227"/>
    </row>
    <row r="151" spans="1:10">
      <c r="A151" s="272" t="s">
        <v>5564</v>
      </c>
      <c r="B151" s="591" t="s">
        <v>5565</v>
      </c>
      <c r="C151" s="591"/>
      <c r="D151" s="591"/>
      <c r="E151" s="591"/>
      <c r="F151" s="591"/>
      <c r="G151" s="591"/>
      <c r="H151" s="591"/>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577" t="s">
        <v>5585</v>
      </c>
      <c r="C163" s="577"/>
      <c r="D163" s="577"/>
      <c r="E163" s="577" t="s">
        <v>5586</v>
      </c>
      <c r="F163" s="577"/>
      <c r="G163" s="577"/>
      <c r="H163" s="192"/>
      <c r="I163" s="227"/>
      <c r="J163" s="227"/>
    </row>
    <row r="164" spans="1:10">
      <c r="A164" s="287" t="s">
        <v>5571</v>
      </c>
      <c r="B164" s="577" t="s">
        <v>5587</v>
      </c>
      <c r="C164" s="577"/>
      <c r="D164" s="577"/>
      <c r="E164" s="577" t="s">
        <v>5588</v>
      </c>
      <c r="F164" s="577"/>
      <c r="G164" s="577"/>
      <c r="H164" s="192"/>
      <c r="I164" s="227"/>
      <c r="J164" s="227"/>
    </row>
    <row r="165" spans="1:10">
      <c r="A165" s="287" t="s">
        <v>5572</v>
      </c>
      <c r="B165" s="577" t="s">
        <v>5589</v>
      </c>
      <c r="C165" s="577"/>
      <c r="D165" s="577"/>
      <c r="E165" s="577" t="s">
        <v>5590</v>
      </c>
      <c r="F165" s="577"/>
      <c r="G165" s="577"/>
      <c r="H165" s="192"/>
      <c r="I165" s="227"/>
      <c r="J165" s="227"/>
    </row>
    <row r="166" spans="1:10">
      <c r="A166" s="287" t="s">
        <v>5168</v>
      </c>
      <c r="B166" s="577" t="s">
        <v>5591</v>
      </c>
      <c r="C166" s="577"/>
      <c r="D166" s="577"/>
      <c r="E166" s="577" t="s">
        <v>5592</v>
      </c>
      <c r="F166" s="577"/>
      <c r="G166" s="577"/>
      <c r="H166" s="192"/>
      <c r="I166" s="227"/>
      <c r="J166" s="227"/>
    </row>
    <row r="167" spans="1:10">
      <c r="A167" s="287" t="s">
        <v>5573</v>
      </c>
      <c r="B167" s="577" t="s">
        <v>5593</v>
      </c>
      <c r="C167" s="577"/>
      <c r="D167" s="577"/>
      <c r="E167" s="577" t="s">
        <v>5594</v>
      </c>
      <c r="F167" s="577"/>
      <c r="G167" s="577"/>
      <c r="H167" s="192"/>
      <c r="I167" s="227"/>
      <c r="J167" s="227"/>
    </row>
    <row r="168" spans="1:10">
      <c r="A168" s="287" t="s">
        <v>5574</v>
      </c>
      <c r="B168" s="577" t="s">
        <v>5595</v>
      </c>
      <c r="C168" s="577"/>
      <c r="D168" s="577"/>
      <c r="E168" s="577" t="s">
        <v>5596</v>
      </c>
      <c r="F168" s="577"/>
      <c r="G168" s="577"/>
      <c r="H168" s="192"/>
      <c r="I168" s="227"/>
      <c r="J168" s="227"/>
    </row>
    <row r="169" spans="1:10">
      <c r="A169" s="287" t="s">
        <v>178</v>
      </c>
      <c r="B169" s="577" t="s">
        <v>5597</v>
      </c>
      <c r="C169" s="577"/>
      <c r="D169" s="577"/>
      <c r="E169" s="577" t="s">
        <v>5598</v>
      </c>
      <c r="F169" s="577"/>
      <c r="G169" s="577"/>
      <c r="H169" s="192"/>
      <c r="I169" s="227"/>
      <c r="J169" s="227"/>
    </row>
    <row r="170" spans="1:10" ht="25.5">
      <c r="A170" s="287" t="s">
        <v>5575</v>
      </c>
      <c r="B170" s="577" t="s">
        <v>5599</v>
      </c>
      <c r="C170" s="577"/>
      <c r="D170" s="577"/>
      <c r="E170" s="577" t="s">
        <v>5600</v>
      </c>
      <c r="F170" s="577"/>
      <c r="G170" s="577"/>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575" t="s">
        <v>5694</v>
      </c>
      <c r="B177" s="575"/>
      <c r="C177" s="575"/>
      <c r="D177" s="575"/>
      <c r="E177" s="575"/>
      <c r="F177" s="575"/>
      <c r="G177" s="575"/>
      <c r="H177" s="575"/>
      <c r="I177" s="575"/>
      <c r="J177" s="575"/>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5" t="s">
        <v>5695</v>
      </c>
      <c r="B188" s="575"/>
      <c r="C188" s="575"/>
      <c r="D188" s="575"/>
      <c r="E188" s="575"/>
      <c r="F188" s="575"/>
      <c r="G188" s="575"/>
      <c r="H188" s="575"/>
      <c r="I188" s="575"/>
      <c r="J188" s="575"/>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5" t="s">
        <v>5696</v>
      </c>
      <c r="B198" s="575"/>
      <c r="C198" s="575"/>
      <c r="D198" s="575"/>
      <c r="E198" s="575"/>
      <c r="F198" s="575"/>
      <c r="G198" s="575"/>
      <c r="H198" s="575"/>
      <c r="I198" s="575"/>
      <c r="J198" s="575"/>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5" t="s">
        <v>5697</v>
      </c>
      <c r="B210" s="575"/>
      <c r="C210" s="575"/>
      <c r="D210" s="575"/>
      <c r="E210" s="575"/>
      <c r="F210" s="575"/>
      <c r="G210" s="575"/>
      <c r="H210" s="575"/>
      <c r="I210" s="575"/>
      <c r="J210" s="575"/>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599"/>
      <c r="H232" s="599"/>
      <c r="I232" s="599"/>
      <c r="J232" s="599"/>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763" priority="21">
      <formula>B93="Complete"</formula>
    </cfRule>
    <cfRule type="expression" dxfId="762" priority="22">
      <formula>B93="In Progress"</formula>
    </cfRule>
    <cfRule type="expression" dxfId="761" priority="23">
      <formula>B93="At Risk"</formula>
    </cfRule>
    <cfRule type="expression" dxfId="760" priority="24">
      <formula>B93="Blocked"</formula>
    </cfRule>
    <cfRule type="expression" dxfId="759" priority="25">
      <formula>B93="Not Started"</formula>
    </cfRule>
  </conditionalFormatting>
  <conditionalFormatting sqref="B102:B109">
    <cfRule type="expression" dxfId="758" priority="1">
      <formula>B102="Complete"</formula>
    </cfRule>
    <cfRule type="expression" dxfId="757" priority="2">
      <formula>B102="In Progress"</formula>
    </cfRule>
    <cfRule type="expression" dxfId="756" priority="3">
      <formula>B102="At Risk"</formula>
    </cfRule>
    <cfRule type="expression" dxfId="755" priority="4">
      <formula>B102="Blocked"</formula>
    </cfRule>
    <cfRule type="expression" dxfId="754" priority="5">
      <formula>B102="Not Started"</formula>
    </cfRule>
  </conditionalFormatting>
  <conditionalFormatting sqref="B114:B118">
    <cfRule type="expression" dxfId="753" priority="30">
      <formula>B114="Not Started"</formula>
    </cfRule>
    <cfRule type="expression" dxfId="752" priority="29">
      <formula>B114="Blocked"</formula>
    </cfRule>
    <cfRule type="expression" dxfId="751" priority="28">
      <formula>B114="At Risk"</formula>
    </cfRule>
    <cfRule type="expression" dxfId="750" priority="27">
      <formula>B114="In Progress"</formula>
    </cfRule>
    <cfRule type="expression" dxfId="749" priority="26">
      <formula>B114="Complete"</formula>
    </cfRule>
  </conditionalFormatting>
  <conditionalFormatting sqref="B123:B126">
    <cfRule type="expression" dxfId="748" priority="6">
      <formula>B123="Complete"</formula>
    </cfRule>
    <cfRule type="expression" dxfId="747" priority="7">
      <formula>B123="In Progress"</formula>
    </cfRule>
    <cfRule type="expression" dxfId="746" priority="8">
      <formula>B123="At Risk"</formula>
    </cfRule>
    <cfRule type="expression" dxfId="745" priority="9">
      <formula>B123="Blocked"</formula>
    </cfRule>
    <cfRule type="expression" dxfId="744" priority="10">
      <formula>B123="Not Started"</formula>
    </cfRule>
  </conditionalFormatting>
  <conditionalFormatting sqref="B131:B136">
    <cfRule type="expression" dxfId="743" priority="11">
      <formula>B131="Complete"</formula>
    </cfRule>
    <cfRule type="expression" dxfId="742" priority="12">
      <formula>B131="In Progress"</formula>
    </cfRule>
    <cfRule type="expression" dxfId="741" priority="13">
      <formula>B131="At Risk"</formula>
    </cfRule>
    <cfRule type="expression" dxfId="740" priority="14">
      <formula>B131="Blocked"</formula>
    </cfRule>
    <cfRule type="expression" dxfId="739" priority="15">
      <formula>B131="Not Started"</formula>
    </cfRule>
  </conditionalFormatting>
  <conditionalFormatting sqref="B154:B161">
    <cfRule type="expression" dxfId="738" priority="82">
      <formula>B154="Yes"</formula>
    </cfRule>
    <cfRule type="expression" dxfId="737" priority="83">
      <formula>B154="N/A"</formula>
    </cfRule>
    <cfRule type="expression" dxfId="736" priority="84">
      <formula>B154="No"</formula>
    </cfRule>
  </conditionalFormatting>
  <conditionalFormatting sqref="B171:H171">
    <cfRule type="expression" dxfId="735" priority="86">
      <formula>COUNTIF($B$6:$B$13,"No")&gt;0</formula>
    </cfRule>
    <cfRule type="expression" dxfId="734"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733" priority="32">
      <formula>C102="No"</formula>
    </cfRule>
    <cfRule type="expression" dxfId="732" priority="31">
      <formula>C102="Yes"</formula>
    </cfRule>
    <cfRule type="expression" dxfId="731"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30" priority="17">
      <formula>C131="No"</formula>
    </cfRule>
    <cfRule type="expression" dxfId="729" priority="16">
      <formula>C131="Yes"</formula>
    </cfRule>
    <cfRule type="expression" dxfId="728"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27" priority="87">
      <formula>E5="Pass"</formula>
    </cfRule>
    <cfRule type="expression" dxfId="726" priority="88">
      <formula>E5="Verify"</formula>
    </cfRule>
    <cfRule type="expression" dxfId="725" priority="89">
      <formula>E5="Fail"</formula>
    </cfRule>
    <cfRule type="expression" dxfId="724" priority="90">
      <formula>E5="Not Started"</formula>
    </cfRule>
  </conditionalFormatting>
  <conditionalFormatting sqref="F3">
    <cfRule type="expression" dxfId="723" priority="91">
      <formula>F3="Yes"</formula>
    </cfRule>
    <cfRule type="expression" dxfId="722" priority="92">
      <formula>F3="No"</formula>
    </cfRule>
  </conditionalFormatting>
  <conditionalFormatting sqref="F114:F118">
    <cfRule type="expression" dxfId="721" priority="35">
      <formula>F114="Fail"</formula>
    </cfRule>
    <cfRule type="expression" dxfId="720" priority="36">
      <formula>F114="Pending"</formula>
    </cfRule>
    <cfRule type="expression" dxfId="719"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Lookup_Lists!$L$37:$L$39</xm:f>
          </x14:formula1>
          <xm:sqref>C114:E118 J2</xm:sqref>
        </x14:dataValidation>
        <x14:dataValidation type="list" allowBlank="1" showInputMessage="1" showErrorMessage="1" xr:uid="{0FC676B1-F386-46AF-B481-5253B4945F53}">
          <x14:formula1>
            <xm:f>Lookup_Lists!$A$36:$A$42</xm:f>
          </x14:formula1>
          <xm:sqref>B93:B97 B102:B109 B131:B136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7.35" customHeight="1">
      <c r="A1" s="929" t="s">
        <v>2556</v>
      </c>
      <c r="B1" s="896"/>
      <c r="C1" s="896"/>
      <c r="D1" s="896"/>
      <c r="E1" s="896"/>
      <c r="F1" s="896"/>
      <c r="G1" s="896"/>
      <c r="H1" s="896"/>
      <c r="I1" s="896"/>
      <c r="J1" s="896"/>
    </row>
    <row r="2" spans="1:10" s="223" customFormat="1" ht="16.899999999999999" customHeight="1">
      <c r="A2" s="219" t="s">
        <v>142</v>
      </c>
      <c r="B2" s="220" t="s">
        <v>2557</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46198.660769768518</v>
      </c>
      <c r="C3" s="225" t="s">
        <v>904</v>
      </c>
      <c r="D3" s="226" t="s">
        <v>721</v>
      </c>
      <c r="E3" s="219" t="s">
        <v>905</v>
      </c>
      <c r="F3" s="226" t="s">
        <v>2558</v>
      </c>
      <c r="G3" s="219" t="s">
        <v>907</v>
      </c>
      <c r="H3" s="226" t="s">
        <v>908</v>
      </c>
      <c r="I3" s="219" t="s">
        <v>551</v>
      </c>
      <c r="J3" s="226" t="s">
        <v>2559</v>
      </c>
    </row>
    <row r="4" spans="1:10" s="227" customFormat="1" ht="266.45" customHeight="1">
      <c r="A4" s="219" t="s">
        <v>161</v>
      </c>
      <c r="B4" s="226">
        <v>0</v>
      </c>
      <c r="C4" s="219" t="s">
        <v>199</v>
      </c>
      <c r="D4" s="226">
        <v>0</v>
      </c>
      <c r="E4" s="219" t="s">
        <v>179</v>
      </c>
      <c r="F4" s="226">
        <v>0</v>
      </c>
      <c r="G4" s="219" t="s">
        <v>870</v>
      </c>
      <c r="H4" s="228" t="s">
        <v>2560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6.75" customHeight="1">
      <c r="A6" s="234" t="s">
        <v>916</v>
      </c>
      <c r="B6" s="221" t="s">
        <v>677</v>
      </c>
      <c r="C6" s="235" t="s">
        <v>869</v>
      </c>
      <c r="D6" s="604" t="s">
        <v>2561</v>
      </c>
      <c r="E6" s="582"/>
      <c r="F6" s="582"/>
      <c r="G6" s="582"/>
      <c r="H6" s="582"/>
      <c r="I6" s="582"/>
      <c r="J6" s="582"/>
    </row>
    <row r="7" spans="1:10" ht="7.35" customHeight="1">
      <c r="A7" s="13"/>
      <c r="B7" s="13"/>
      <c r="C7" s="13"/>
      <c r="D7" s="13"/>
      <c r="E7" s="13"/>
      <c r="F7" s="13"/>
      <c r="G7" s="13"/>
      <c r="H7" s="13"/>
      <c r="I7" s="13"/>
      <c r="J7" s="13"/>
    </row>
    <row r="8" spans="1:10" ht="5.45" customHeight="1">
      <c r="A8" s="575" t="s">
        <v>918</v>
      </c>
      <c r="B8" s="896"/>
      <c r="C8" s="896"/>
      <c r="D8" s="85"/>
      <c r="E8" s="85"/>
      <c r="F8" s="85"/>
      <c r="G8" s="85"/>
      <c r="H8" s="85"/>
      <c r="I8" s="85"/>
      <c r="J8" s="85"/>
    </row>
    <row r="9" spans="1:10" ht="7.35" customHeight="1">
      <c r="A9" s="50" t="s">
        <v>142</v>
      </c>
      <c r="B9" s="50" t="s">
        <v>275</v>
      </c>
      <c r="C9" s="50" t="s">
        <v>884</v>
      </c>
      <c r="D9" s="50" t="s">
        <v>885</v>
      </c>
      <c r="E9" s="50" t="s">
        <v>886</v>
      </c>
      <c r="F9" s="50" t="s">
        <v>887</v>
      </c>
      <c r="G9" s="50" t="s">
        <v>888</v>
      </c>
      <c r="H9" s="50" t="s">
        <v>77</v>
      </c>
      <c r="I9" s="50" t="s">
        <v>889</v>
      </c>
      <c r="J9" s="50" t="s">
        <v>11</v>
      </c>
    </row>
    <row r="10" spans="1:10" ht="47.25" customHeight="1">
      <c r="A10" s="13" t="s">
        <v>2557</v>
      </c>
      <c r="B10" s="13" t="s">
        <v>704</v>
      </c>
      <c r="C10" s="13" t="s">
        <v>919</v>
      </c>
      <c r="D10" s="13" t="s">
        <v>2562</v>
      </c>
      <c r="E10" s="13" t="s">
        <v>356</v>
      </c>
      <c r="F10" s="13">
        <v>1</v>
      </c>
      <c r="G10" s="13">
        <v>1</v>
      </c>
      <c r="H10" s="13" t="s">
        <v>677</v>
      </c>
      <c r="I10" s="13" t="s">
        <v>2563</v>
      </c>
      <c r="J10" s="13" t="s">
        <v>2564</v>
      </c>
    </row>
    <row r="11" spans="1:10" ht="53.65" customHeight="1">
      <c r="A11" s="13" t="s">
        <v>2557</v>
      </c>
      <c r="B11" s="13" t="s">
        <v>2565</v>
      </c>
      <c r="C11" s="13" t="s">
        <v>923</v>
      </c>
      <c r="D11" s="13" t="s">
        <v>2566</v>
      </c>
      <c r="E11" s="13" t="s">
        <v>925</v>
      </c>
      <c r="F11" s="13">
        <v>1</v>
      </c>
      <c r="G11" s="13">
        <v>0</v>
      </c>
      <c r="H11" s="13" t="s">
        <v>677</v>
      </c>
      <c r="I11" s="13" t="s">
        <v>2567</v>
      </c>
      <c r="J11" s="13" t="s">
        <v>2568</v>
      </c>
    </row>
    <row r="12" spans="1:10" ht="40.35" customHeight="1">
      <c r="A12" s="13" t="s">
        <v>2569</v>
      </c>
      <c r="B12" s="13" t="s">
        <v>2570</v>
      </c>
      <c r="C12" s="13" t="s">
        <v>2571</v>
      </c>
      <c r="D12" s="13" t="s">
        <v>2572</v>
      </c>
      <c r="E12" s="13" t="s">
        <v>2573</v>
      </c>
      <c r="F12" s="13">
        <v>0</v>
      </c>
      <c r="G12" s="13">
        <v>0</v>
      </c>
      <c r="H12" s="13" t="s">
        <v>677</v>
      </c>
      <c r="I12" s="13" t="s">
        <v>2574</v>
      </c>
      <c r="J12" s="13" t="s">
        <v>2575</v>
      </c>
    </row>
    <row r="13" spans="1:10" ht="7.35" customHeight="1">
      <c r="A13" s="13"/>
      <c r="B13" s="13"/>
      <c r="C13" s="13"/>
      <c r="D13" s="13"/>
      <c r="E13" s="13"/>
      <c r="F13" s="13"/>
      <c r="G13" s="13"/>
      <c r="H13" s="13"/>
      <c r="I13" s="13"/>
      <c r="J13" s="13"/>
    </row>
    <row r="14" spans="1:10" ht="5.45" customHeight="1">
      <c r="A14" s="575" t="s">
        <v>936</v>
      </c>
      <c r="B14" s="896"/>
      <c r="C14" s="896"/>
      <c r="D14" s="85"/>
      <c r="E14" s="85"/>
      <c r="F14" s="85"/>
      <c r="G14" s="85"/>
      <c r="H14" s="85"/>
      <c r="I14" s="85"/>
      <c r="J14" s="85"/>
    </row>
    <row r="15" spans="1:10" ht="7.35" customHeight="1">
      <c r="A15" s="50" t="s">
        <v>275</v>
      </c>
      <c r="B15" s="50" t="s">
        <v>937</v>
      </c>
      <c r="C15" s="50" t="s">
        <v>938</v>
      </c>
      <c r="D15" s="50" t="s">
        <v>939</v>
      </c>
      <c r="E15" s="50" t="s">
        <v>940</v>
      </c>
      <c r="F15" s="50" t="s">
        <v>941</v>
      </c>
      <c r="G15" s="50" t="s">
        <v>942</v>
      </c>
      <c r="H15" s="50" t="s">
        <v>943</v>
      </c>
      <c r="I15" s="50" t="s">
        <v>899</v>
      </c>
      <c r="J15" s="50" t="s">
        <v>944</v>
      </c>
    </row>
    <row r="16" spans="1:10" ht="40.35" customHeight="1">
      <c r="A16" s="13" t="s">
        <v>704</v>
      </c>
      <c r="B16" s="13" t="s">
        <v>677</v>
      </c>
      <c r="C16" s="13" t="s">
        <v>677</v>
      </c>
      <c r="D16" s="13" t="s">
        <v>677</v>
      </c>
      <c r="E16" s="13" t="s">
        <v>677</v>
      </c>
      <c r="F16" s="13" t="s">
        <v>677</v>
      </c>
      <c r="G16" s="13" t="s">
        <v>677</v>
      </c>
      <c r="H16" s="13" t="s">
        <v>677</v>
      </c>
      <c r="I16" s="13" t="s">
        <v>677</v>
      </c>
      <c r="J16" s="13" t="s">
        <v>2576</v>
      </c>
    </row>
    <row r="17" spans="1:10" ht="26.85" customHeight="1">
      <c r="A17" s="13" t="s">
        <v>2565</v>
      </c>
      <c r="B17" s="13" t="s">
        <v>946</v>
      </c>
      <c r="C17" s="13" t="s">
        <v>946</v>
      </c>
      <c r="D17" s="13" t="s">
        <v>946</v>
      </c>
      <c r="E17" s="13" t="s">
        <v>677</v>
      </c>
      <c r="F17" s="13" t="s">
        <v>677</v>
      </c>
      <c r="G17" s="13" t="s">
        <v>677</v>
      </c>
      <c r="H17" s="13" t="s">
        <v>677</v>
      </c>
      <c r="I17" s="13" t="s">
        <v>677</v>
      </c>
      <c r="J17" s="13" t="s">
        <v>2577</v>
      </c>
    </row>
    <row r="18" spans="1:10" ht="19.899999999999999" customHeight="1">
      <c r="A18" s="13" t="s">
        <v>2578</v>
      </c>
      <c r="B18" s="13" t="s">
        <v>677</v>
      </c>
      <c r="C18" s="13" t="s">
        <v>677</v>
      </c>
      <c r="D18" s="13" t="s">
        <v>677</v>
      </c>
      <c r="E18" s="13" t="s">
        <v>677</v>
      </c>
      <c r="F18" s="13" t="s">
        <v>677</v>
      </c>
      <c r="G18" s="13" t="s">
        <v>677</v>
      </c>
      <c r="H18" s="13" t="s">
        <v>677</v>
      </c>
      <c r="I18" s="13" t="s">
        <v>677</v>
      </c>
      <c r="J18" s="13" t="s">
        <v>2579</v>
      </c>
    </row>
    <row r="19" spans="1:10" ht="7.35" customHeight="1">
      <c r="A19" s="13"/>
      <c r="B19" s="13"/>
      <c r="C19" s="13"/>
      <c r="D19" s="13"/>
      <c r="E19" s="13"/>
      <c r="F19" s="13"/>
      <c r="G19" s="13"/>
      <c r="H19" s="13"/>
      <c r="I19" s="13"/>
      <c r="J19" s="13"/>
    </row>
    <row r="20" spans="1:10" ht="5.45" customHeight="1">
      <c r="A20" s="575" t="s">
        <v>951</v>
      </c>
      <c r="B20" s="896"/>
      <c r="C20" s="896"/>
      <c r="D20" s="85"/>
      <c r="E20" s="85"/>
      <c r="F20" s="85"/>
      <c r="G20" s="85"/>
      <c r="H20" s="85"/>
      <c r="I20" s="85"/>
      <c r="J20" s="85"/>
    </row>
    <row r="21" spans="1:10" ht="7.35" customHeight="1">
      <c r="A21" s="50" t="s">
        <v>275</v>
      </c>
      <c r="B21" s="50" t="s">
        <v>952</v>
      </c>
      <c r="C21" s="50" t="s">
        <v>953</v>
      </c>
      <c r="D21" s="50" t="s">
        <v>954</v>
      </c>
      <c r="E21" s="50" t="s">
        <v>955</v>
      </c>
      <c r="F21" s="50" t="s">
        <v>956</v>
      </c>
      <c r="G21" s="50" t="s">
        <v>957</v>
      </c>
      <c r="H21" s="50" t="s">
        <v>958</v>
      </c>
      <c r="I21" s="50" t="s">
        <v>899</v>
      </c>
      <c r="J21" s="50" t="s">
        <v>959</v>
      </c>
    </row>
    <row r="22" spans="1:10" ht="33.75" customHeight="1">
      <c r="A22" s="13" t="s">
        <v>704</v>
      </c>
      <c r="B22" s="13" t="s">
        <v>677</v>
      </c>
      <c r="C22" s="13" t="s">
        <v>677</v>
      </c>
      <c r="D22" s="13" t="s">
        <v>677</v>
      </c>
      <c r="E22" s="13" t="s">
        <v>677</v>
      </c>
      <c r="F22" s="13" t="s">
        <v>677</v>
      </c>
      <c r="G22" s="13" t="s">
        <v>677</v>
      </c>
      <c r="H22" s="13" t="s">
        <v>677</v>
      </c>
      <c r="I22" s="13" t="s">
        <v>677</v>
      </c>
      <c r="J22" s="13" t="s">
        <v>2486</v>
      </c>
    </row>
    <row r="23" spans="1:10" ht="26.85" customHeight="1">
      <c r="A23" s="13" t="s">
        <v>2565</v>
      </c>
      <c r="B23" s="13" t="s">
        <v>677</v>
      </c>
      <c r="C23" s="13" t="s">
        <v>679</v>
      </c>
      <c r="D23" s="13" t="s">
        <v>677</v>
      </c>
      <c r="E23" s="13" t="s">
        <v>677</v>
      </c>
      <c r="F23" s="13" t="s">
        <v>677</v>
      </c>
      <c r="G23" s="13" t="s">
        <v>677</v>
      </c>
      <c r="H23" s="13" t="s">
        <v>677</v>
      </c>
      <c r="I23" s="13" t="s">
        <v>677</v>
      </c>
      <c r="J23" s="13" t="s">
        <v>2580</v>
      </c>
    </row>
    <row r="24" spans="1:10" ht="19.899999999999999" customHeight="1">
      <c r="A24" s="13" t="s">
        <v>2578</v>
      </c>
      <c r="B24" s="13" t="s">
        <v>677</v>
      </c>
      <c r="C24" s="13" t="s">
        <v>679</v>
      </c>
      <c r="D24" s="13" t="s">
        <v>677</v>
      </c>
      <c r="E24" s="13" t="s">
        <v>677</v>
      </c>
      <c r="F24" s="13" t="s">
        <v>677</v>
      </c>
      <c r="G24" s="13" t="s">
        <v>677</v>
      </c>
      <c r="H24" s="13" t="s">
        <v>677</v>
      </c>
      <c r="I24" s="13" t="s">
        <v>677</v>
      </c>
      <c r="J24" s="13" t="s">
        <v>2581</v>
      </c>
    </row>
    <row r="25" spans="1:10" ht="7.35" customHeight="1">
      <c r="A25" s="13"/>
      <c r="B25" s="13"/>
      <c r="C25" s="13"/>
      <c r="D25" s="13"/>
      <c r="E25" s="13"/>
      <c r="F25" s="13"/>
      <c r="G25" s="13"/>
      <c r="H25" s="13"/>
      <c r="I25" s="13"/>
      <c r="J25" s="13"/>
    </row>
    <row r="26" spans="1:10" ht="5.45" customHeight="1">
      <c r="A26" s="575" t="s">
        <v>964</v>
      </c>
      <c r="B26" s="896"/>
      <c r="C26" s="896"/>
      <c r="D26" s="85"/>
      <c r="E26" s="85"/>
      <c r="F26" s="85"/>
      <c r="G26" s="85"/>
      <c r="H26" s="85"/>
      <c r="I26" s="85"/>
      <c r="J26" s="85"/>
    </row>
    <row r="27" spans="1:10" ht="7.35" customHeight="1">
      <c r="A27" s="50" t="s">
        <v>275</v>
      </c>
      <c r="B27" s="50" t="s">
        <v>965</v>
      </c>
      <c r="C27" s="50" t="s">
        <v>966</v>
      </c>
      <c r="D27" s="50" t="s">
        <v>967</v>
      </c>
      <c r="E27" s="50" t="s">
        <v>968</v>
      </c>
      <c r="F27" s="50" t="s">
        <v>969</v>
      </c>
      <c r="G27" s="50" t="s">
        <v>970</v>
      </c>
      <c r="H27" s="50" t="s">
        <v>971</v>
      </c>
      <c r="I27" s="50" t="s">
        <v>899</v>
      </c>
      <c r="J27" s="50" t="s">
        <v>959</v>
      </c>
    </row>
    <row r="28" spans="1:10" ht="47.25" customHeight="1">
      <c r="A28" s="13" t="s">
        <v>704</v>
      </c>
      <c r="B28" s="13" t="s">
        <v>972</v>
      </c>
      <c r="C28" s="13" t="s">
        <v>677</v>
      </c>
      <c r="D28" s="13" t="s">
        <v>677</v>
      </c>
      <c r="E28" s="13" t="s">
        <v>677</v>
      </c>
      <c r="F28" s="13" t="s">
        <v>677</v>
      </c>
      <c r="G28" s="13" t="s">
        <v>677</v>
      </c>
      <c r="H28" s="13" t="s">
        <v>677</v>
      </c>
      <c r="I28" s="13" t="s">
        <v>677</v>
      </c>
      <c r="J28" s="13" t="s">
        <v>2582</v>
      </c>
    </row>
    <row r="29" spans="1:10" ht="26.85" customHeight="1">
      <c r="A29" s="13" t="s">
        <v>2565</v>
      </c>
      <c r="B29" s="13" t="s">
        <v>2217</v>
      </c>
      <c r="C29" s="13" t="s">
        <v>677</v>
      </c>
      <c r="D29" s="13" t="s">
        <v>677</v>
      </c>
      <c r="E29" s="13" t="s">
        <v>677</v>
      </c>
      <c r="F29" s="13" t="s">
        <v>677</v>
      </c>
      <c r="G29" s="13" t="s">
        <v>677</v>
      </c>
      <c r="H29" s="13" t="s">
        <v>677</v>
      </c>
      <c r="I29" s="13" t="s">
        <v>677</v>
      </c>
      <c r="J29" s="13" t="s">
        <v>2583</v>
      </c>
    </row>
    <row r="30" spans="1:10" ht="19.899999999999999" customHeight="1">
      <c r="A30" s="13" t="s">
        <v>2578</v>
      </c>
      <c r="B30" s="13" t="s">
        <v>679</v>
      </c>
      <c r="C30" s="13" t="s">
        <v>679</v>
      </c>
      <c r="D30" s="13" t="s">
        <v>679</v>
      </c>
      <c r="E30" s="13" t="s">
        <v>679</v>
      </c>
      <c r="F30" s="13" t="s">
        <v>679</v>
      </c>
      <c r="G30" s="13" t="s">
        <v>679</v>
      </c>
      <c r="H30" s="13" t="s">
        <v>679</v>
      </c>
      <c r="I30" s="13" t="s">
        <v>679</v>
      </c>
      <c r="J30" s="13" t="s">
        <v>2584</v>
      </c>
    </row>
    <row r="31" spans="1:10" ht="7.35" customHeight="1">
      <c r="A31" s="13"/>
      <c r="B31" s="13"/>
      <c r="C31" s="13"/>
      <c r="D31" s="13"/>
      <c r="E31" s="13"/>
      <c r="F31" s="13"/>
      <c r="G31" s="13"/>
      <c r="H31" s="13"/>
      <c r="I31" s="13"/>
      <c r="J31" s="13"/>
    </row>
    <row r="32" spans="1:10" ht="5.45" customHeight="1">
      <c r="A32" s="575" t="s">
        <v>977</v>
      </c>
      <c r="B32" s="896"/>
      <c r="C32" s="896"/>
      <c r="D32" s="85"/>
      <c r="E32" s="85"/>
      <c r="F32" s="85"/>
      <c r="G32" s="85"/>
      <c r="H32" s="85"/>
      <c r="I32" s="85"/>
      <c r="J32" s="85"/>
    </row>
    <row r="33" spans="1:10" ht="7.35" customHeight="1">
      <c r="A33" s="50" t="s">
        <v>275</v>
      </c>
      <c r="B33" s="50" t="s">
        <v>978</v>
      </c>
      <c r="C33" s="50" t="s">
        <v>979</v>
      </c>
      <c r="D33" s="50" t="s">
        <v>980</v>
      </c>
      <c r="E33" s="50" t="s">
        <v>981</v>
      </c>
      <c r="F33" s="50" t="s">
        <v>982</v>
      </c>
      <c r="G33" s="50" t="s">
        <v>983</v>
      </c>
      <c r="H33" s="50" t="s">
        <v>984</v>
      </c>
      <c r="I33" s="50" t="s">
        <v>899</v>
      </c>
      <c r="J33" s="50" t="s">
        <v>11</v>
      </c>
    </row>
    <row r="34" spans="1:10" ht="47.25" customHeight="1">
      <c r="A34" s="13" t="s">
        <v>704</v>
      </c>
      <c r="B34" s="13" t="s">
        <v>677</v>
      </c>
      <c r="C34" s="13" t="s">
        <v>985</v>
      </c>
      <c r="D34" s="13" t="s">
        <v>677</v>
      </c>
      <c r="E34" s="13" t="s">
        <v>677</v>
      </c>
      <c r="F34" s="13" t="s">
        <v>2585</v>
      </c>
      <c r="G34" s="13" t="s">
        <v>677</v>
      </c>
      <c r="H34" s="13" t="s">
        <v>677</v>
      </c>
      <c r="I34" s="13" t="s">
        <v>677</v>
      </c>
      <c r="J34" s="13" t="s">
        <v>2586</v>
      </c>
    </row>
    <row r="35" spans="1:10" ht="26.85" customHeight="1">
      <c r="A35" s="13" t="s">
        <v>2565</v>
      </c>
      <c r="B35" s="13" t="s">
        <v>988</v>
      </c>
      <c r="C35" s="13" t="s">
        <v>1485</v>
      </c>
      <c r="D35" s="13" t="s">
        <v>988</v>
      </c>
      <c r="E35" s="13" t="s">
        <v>677</v>
      </c>
      <c r="F35" s="13" t="s">
        <v>946</v>
      </c>
      <c r="G35" s="13" t="s">
        <v>677</v>
      </c>
      <c r="H35" s="13" t="s">
        <v>677</v>
      </c>
      <c r="I35" s="13" t="s">
        <v>677</v>
      </c>
      <c r="J35" s="13" t="s">
        <v>2587</v>
      </c>
    </row>
    <row r="36" spans="1:10" ht="26.85" customHeight="1">
      <c r="A36" s="13" t="s">
        <v>2578</v>
      </c>
      <c r="B36" s="13" t="s">
        <v>679</v>
      </c>
      <c r="C36" s="13" t="s">
        <v>679</v>
      </c>
      <c r="D36" s="13" t="s">
        <v>679</v>
      </c>
      <c r="E36" s="13" t="s">
        <v>679</v>
      </c>
      <c r="F36" s="13" t="s">
        <v>2588</v>
      </c>
      <c r="G36" s="13" t="s">
        <v>677</v>
      </c>
      <c r="H36" s="13" t="s">
        <v>677</v>
      </c>
      <c r="I36" s="13" t="s">
        <v>677</v>
      </c>
      <c r="J36" s="13" t="s">
        <v>2589</v>
      </c>
    </row>
    <row r="37" spans="1:10" ht="7.35" customHeight="1">
      <c r="A37" s="13"/>
      <c r="B37" s="13"/>
      <c r="C37" s="13"/>
      <c r="D37" s="13"/>
      <c r="E37" s="13"/>
      <c r="F37" s="13"/>
      <c r="G37" s="13"/>
      <c r="H37" s="13"/>
      <c r="I37" s="13"/>
      <c r="J37" s="13"/>
    </row>
    <row r="38" spans="1:10" ht="5.45" customHeight="1">
      <c r="A38" s="575" t="s">
        <v>994</v>
      </c>
      <c r="B38" s="896"/>
      <c r="C38" s="896"/>
      <c r="D38" s="85"/>
      <c r="E38" s="85"/>
      <c r="F38" s="85"/>
      <c r="G38" s="85"/>
      <c r="H38" s="85"/>
      <c r="I38" s="85"/>
      <c r="J38" s="85"/>
    </row>
    <row r="39" spans="1:10" ht="7.35" customHeight="1">
      <c r="A39" s="50" t="s">
        <v>275</v>
      </c>
      <c r="B39" s="50" t="s">
        <v>995</v>
      </c>
      <c r="C39" s="50" t="s">
        <v>996</v>
      </c>
      <c r="D39" s="50" t="s">
        <v>997</v>
      </c>
      <c r="E39" s="50" t="s">
        <v>998</v>
      </c>
      <c r="F39" s="50" t="s">
        <v>999</v>
      </c>
      <c r="G39" s="50" t="s">
        <v>1000</v>
      </c>
      <c r="H39" s="50" t="s">
        <v>1001</v>
      </c>
      <c r="I39" s="50" t="s">
        <v>899</v>
      </c>
      <c r="J39" s="50" t="s">
        <v>11</v>
      </c>
    </row>
    <row r="40" spans="1:10" ht="40.35" customHeight="1">
      <c r="A40" s="13" t="s">
        <v>704</v>
      </c>
      <c r="B40" s="13" t="s">
        <v>677</v>
      </c>
      <c r="C40" s="13" t="s">
        <v>677</v>
      </c>
      <c r="D40" s="13" t="s">
        <v>677</v>
      </c>
      <c r="E40" s="13" t="s">
        <v>677</v>
      </c>
      <c r="F40" s="13" t="s">
        <v>677</v>
      </c>
      <c r="G40" s="13" t="s">
        <v>677</v>
      </c>
      <c r="H40" s="13" t="s">
        <v>677</v>
      </c>
      <c r="I40" s="13" t="s">
        <v>677</v>
      </c>
      <c r="J40" s="13" t="s">
        <v>2590</v>
      </c>
    </row>
    <row r="41" spans="1:10" ht="47.25" customHeight="1">
      <c r="A41" s="13" t="s">
        <v>2565</v>
      </c>
      <c r="B41" s="13" t="s">
        <v>988</v>
      </c>
      <c r="C41" s="13" t="s">
        <v>988</v>
      </c>
      <c r="D41" s="13" t="s">
        <v>988</v>
      </c>
      <c r="E41" s="13" t="s">
        <v>677</v>
      </c>
      <c r="F41" s="13" t="s">
        <v>677</v>
      </c>
      <c r="G41" s="13" t="s">
        <v>677</v>
      </c>
      <c r="H41" s="13" t="s">
        <v>677</v>
      </c>
      <c r="I41" s="13" t="s">
        <v>677</v>
      </c>
      <c r="J41" s="13" t="s">
        <v>2591</v>
      </c>
    </row>
    <row r="42" spans="1:10" ht="26.85" customHeight="1">
      <c r="A42" s="13" t="s">
        <v>2578</v>
      </c>
      <c r="B42" s="13" t="s">
        <v>677</v>
      </c>
      <c r="C42" s="13" t="s">
        <v>677</v>
      </c>
      <c r="D42" s="13" t="s">
        <v>677</v>
      </c>
      <c r="E42" s="13" t="s">
        <v>677</v>
      </c>
      <c r="F42" s="13" t="s">
        <v>677</v>
      </c>
      <c r="G42" s="13" t="s">
        <v>677</v>
      </c>
      <c r="H42" s="13" t="s">
        <v>677</v>
      </c>
      <c r="I42" s="13" t="s">
        <v>677</v>
      </c>
      <c r="J42" s="13" t="s">
        <v>2592</v>
      </c>
    </row>
    <row r="43" spans="1:10" ht="7.35" customHeight="1">
      <c r="A43" s="13"/>
      <c r="B43" s="13"/>
      <c r="C43" s="13"/>
      <c r="D43" s="13"/>
      <c r="E43" s="13"/>
      <c r="F43" s="13"/>
      <c r="G43" s="13"/>
      <c r="H43" s="13"/>
      <c r="I43" s="13"/>
      <c r="J43" s="13"/>
    </row>
    <row r="44" spans="1:10" ht="5.45" customHeight="1">
      <c r="A44" s="575" t="s">
        <v>1007</v>
      </c>
      <c r="B44" s="896"/>
      <c r="C44" s="896"/>
      <c r="D44" s="85"/>
      <c r="E44" s="85"/>
      <c r="F44" s="85"/>
      <c r="G44" s="85"/>
      <c r="H44" s="85"/>
      <c r="I44" s="85"/>
      <c r="J44" s="85"/>
    </row>
    <row r="45" spans="1:10" ht="7.35" customHeight="1">
      <c r="A45" s="50" t="s">
        <v>275</v>
      </c>
      <c r="B45" s="50" t="s">
        <v>1008</v>
      </c>
      <c r="C45" s="50" t="s">
        <v>1009</v>
      </c>
      <c r="D45" s="50" t="s">
        <v>1010</v>
      </c>
      <c r="E45" s="50" t="s">
        <v>1011</v>
      </c>
      <c r="F45" s="50" t="s">
        <v>1012</v>
      </c>
      <c r="G45" s="50" t="s">
        <v>1013</v>
      </c>
      <c r="H45" s="50" t="s">
        <v>1014</v>
      </c>
      <c r="I45" s="50" t="s">
        <v>899</v>
      </c>
      <c r="J45" s="50" t="s">
        <v>11</v>
      </c>
    </row>
    <row r="46" spans="1:10" ht="40.35" customHeight="1">
      <c r="A46" s="13" t="s">
        <v>704</v>
      </c>
      <c r="B46" s="13" t="s">
        <v>677</v>
      </c>
      <c r="C46" s="13" t="s">
        <v>677</v>
      </c>
      <c r="D46" s="13" t="s">
        <v>677</v>
      </c>
      <c r="E46" s="13" t="s">
        <v>677</v>
      </c>
      <c r="F46" s="13" t="s">
        <v>677</v>
      </c>
      <c r="G46" s="13" t="s">
        <v>677</v>
      </c>
      <c r="H46" s="13" t="s">
        <v>677</v>
      </c>
      <c r="I46" s="13" t="s">
        <v>677</v>
      </c>
      <c r="J46" s="13" t="s">
        <v>2593</v>
      </c>
    </row>
    <row r="47" spans="1:10" ht="26.85" customHeight="1">
      <c r="A47" s="13" t="s">
        <v>2565</v>
      </c>
      <c r="B47" s="13" t="s">
        <v>677</v>
      </c>
      <c r="C47" s="13" t="s">
        <v>677</v>
      </c>
      <c r="D47" s="13" t="s">
        <v>677</v>
      </c>
      <c r="E47" s="13" t="s">
        <v>677</v>
      </c>
      <c r="F47" s="13" t="s">
        <v>677</v>
      </c>
      <c r="G47" s="13" t="s">
        <v>677</v>
      </c>
      <c r="H47" s="13" t="s">
        <v>677</v>
      </c>
      <c r="I47" s="13" t="s">
        <v>677</v>
      </c>
      <c r="J47" s="13" t="s">
        <v>2594</v>
      </c>
    </row>
    <row r="48" spans="1:10" ht="13.35" customHeight="1">
      <c r="A48" s="13" t="s">
        <v>2578</v>
      </c>
      <c r="B48" s="13" t="s">
        <v>677</v>
      </c>
      <c r="C48" s="13" t="s">
        <v>677</v>
      </c>
      <c r="D48" s="13" t="s">
        <v>677</v>
      </c>
      <c r="E48" s="13" t="s">
        <v>677</v>
      </c>
      <c r="F48" s="13" t="s">
        <v>677</v>
      </c>
      <c r="G48" s="13" t="s">
        <v>677</v>
      </c>
      <c r="H48" s="13" t="s">
        <v>677</v>
      </c>
      <c r="I48" s="13" t="s">
        <v>677</v>
      </c>
      <c r="J48" s="13" t="s">
        <v>2595</v>
      </c>
    </row>
    <row r="49" spans="1:10" ht="7.35" customHeight="1">
      <c r="A49" s="13"/>
      <c r="B49" s="13"/>
      <c r="C49" s="13"/>
      <c r="D49" s="13"/>
      <c r="E49" s="13"/>
      <c r="F49" s="13"/>
      <c r="G49" s="13"/>
      <c r="H49" s="13"/>
      <c r="I49" s="13"/>
      <c r="J49" s="13"/>
    </row>
    <row r="50" spans="1:10" ht="5.45" customHeight="1">
      <c r="A50" s="575" t="s">
        <v>1019</v>
      </c>
      <c r="B50" s="896"/>
      <c r="C50" s="896"/>
      <c r="D50" s="85"/>
      <c r="E50" s="85"/>
      <c r="F50" s="85"/>
      <c r="G50" s="85"/>
      <c r="H50" s="85"/>
      <c r="I50" s="85"/>
      <c r="J50" s="85"/>
    </row>
    <row r="51" spans="1:10" ht="7.35" customHeight="1">
      <c r="A51" s="50" t="s">
        <v>213</v>
      </c>
      <c r="B51" s="50" t="s">
        <v>275</v>
      </c>
      <c r="C51" s="50" t="s">
        <v>573</v>
      </c>
      <c r="D51" s="50" t="s">
        <v>215</v>
      </c>
      <c r="E51" s="50" t="s">
        <v>257</v>
      </c>
      <c r="F51" s="50" t="s">
        <v>572</v>
      </c>
      <c r="G51" s="50" t="s">
        <v>259</v>
      </c>
      <c r="H51" s="50" t="s">
        <v>216</v>
      </c>
      <c r="I51" s="50" t="s">
        <v>77</v>
      </c>
      <c r="J51" s="50" t="s">
        <v>11</v>
      </c>
    </row>
    <row r="52" spans="1:10" ht="26.85" customHeight="1">
      <c r="A52" s="13" t="s">
        <v>2596</v>
      </c>
      <c r="B52" s="13" t="s">
        <v>575</v>
      </c>
      <c r="C52" s="13" t="s">
        <v>2597</v>
      </c>
      <c r="D52" s="13" t="s">
        <v>391</v>
      </c>
      <c r="E52" s="13" t="s">
        <v>488</v>
      </c>
      <c r="F52" s="13">
        <v>6</v>
      </c>
      <c r="G52" s="13" t="s">
        <v>1381</v>
      </c>
      <c r="H52" s="13" t="s">
        <v>1023</v>
      </c>
      <c r="I52" s="13" t="s">
        <v>502</v>
      </c>
      <c r="J52" s="13" t="s">
        <v>2598</v>
      </c>
    </row>
    <row r="53" spans="1:10" ht="26.85" customHeight="1">
      <c r="A53" s="13" t="s">
        <v>2599</v>
      </c>
      <c r="B53" s="13" t="s">
        <v>704</v>
      </c>
      <c r="C53" s="13" t="s">
        <v>2231</v>
      </c>
      <c r="D53" s="13" t="s">
        <v>391</v>
      </c>
      <c r="E53" s="13" t="s">
        <v>488</v>
      </c>
      <c r="F53" s="13">
        <v>6</v>
      </c>
      <c r="G53" s="13" t="s">
        <v>2232</v>
      </c>
      <c r="H53" s="13" t="s">
        <v>1858</v>
      </c>
      <c r="I53" s="13" t="s">
        <v>502</v>
      </c>
      <c r="J53" s="13" t="s">
        <v>2600</v>
      </c>
    </row>
    <row r="54" spans="1:10" ht="33.75" customHeight="1">
      <c r="A54" s="13" t="s">
        <v>2601</v>
      </c>
      <c r="B54" s="13" t="s">
        <v>2565</v>
      </c>
      <c r="C54" s="13" t="s">
        <v>2418</v>
      </c>
      <c r="D54" s="13" t="s">
        <v>492</v>
      </c>
      <c r="E54" s="13" t="s">
        <v>488</v>
      </c>
      <c r="F54" s="13">
        <v>8</v>
      </c>
      <c r="G54" s="13" t="s">
        <v>2236</v>
      </c>
      <c r="H54" s="13" t="s">
        <v>584</v>
      </c>
      <c r="I54" s="13" t="s">
        <v>502</v>
      </c>
      <c r="J54" s="13" t="s">
        <v>2602</v>
      </c>
    </row>
    <row r="55" spans="1:10" ht="40.35" customHeight="1">
      <c r="A55" s="13" t="s">
        <v>2603</v>
      </c>
      <c r="B55" s="13" t="s">
        <v>704</v>
      </c>
      <c r="C55" s="13" t="s">
        <v>593</v>
      </c>
      <c r="D55" s="13" t="s">
        <v>492</v>
      </c>
      <c r="E55" s="13" t="s">
        <v>488</v>
      </c>
      <c r="F55" s="13">
        <v>8</v>
      </c>
      <c r="G55" s="13" t="s">
        <v>2239</v>
      </c>
      <c r="H55" s="13" t="s">
        <v>592</v>
      </c>
      <c r="I55" s="13" t="s">
        <v>502</v>
      </c>
      <c r="J55" s="13" t="s">
        <v>1028</v>
      </c>
    </row>
    <row r="56" spans="1:10" ht="47.25" customHeight="1">
      <c r="A56" s="13" t="s">
        <v>2604</v>
      </c>
      <c r="B56" s="13" t="s">
        <v>704</v>
      </c>
      <c r="C56" s="13" t="s">
        <v>2605</v>
      </c>
      <c r="D56" s="13" t="s">
        <v>391</v>
      </c>
      <c r="E56" s="13" t="s">
        <v>488</v>
      </c>
      <c r="F56" s="13">
        <v>6</v>
      </c>
      <c r="G56" s="13" t="s">
        <v>2606</v>
      </c>
      <c r="H56" s="13" t="s">
        <v>1032</v>
      </c>
      <c r="I56" s="13" t="s">
        <v>502</v>
      </c>
      <c r="J56" s="13" t="s">
        <v>2607</v>
      </c>
    </row>
    <row r="57" spans="1:10" ht="40.35" customHeight="1">
      <c r="A57" s="13" t="s">
        <v>2608</v>
      </c>
      <c r="B57" s="13" t="s">
        <v>2609</v>
      </c>
      <c r="C57" s="13" t="s">
        <v>2610</v>
      </c>
      <c r="D57" s="13" t="s">
        <v>391</v>
      </c>
      <c r="E57" s="13" t="s">
        <v>488</v>
      </c>
      <c r="F57" s="13">
        <v>6</v>
      </c>
      <c r="G57" s="13" t="s">
        <v>2611</v>
      </c>
      <c r="H57" s="13" t="s">
        <v>1037</v>
      </c>
      <c r="I57" s="13" t="s">
        <v>502</v>
      </c>
      <c r="J57" s="13" t="s">
        <v>2612</v>
      </c>
    </row>
    <row r="58" spans="1:10" ht="33.75" customHeight="1">
      <c r="A58" s="13" t="s">
        <v>2613</v>
      </c>
      <c r="B58" s="13" t="s">
        <v>575</v>
      </c>
      <c r="C58" s="13" t="s">
        <v>2614</v>
      </c>
      <c r="D58" s="13" t="s">
        <v>492</v>
      </c>
      <c r="E58" s="13" t="s">
        <v>488</v>
      </c>
      <c r="F58" s="13">
        <v>8</v>
      </c>
      <c r="G58" s="13" t="s">
        <v>1039</v>
      </c>
      <c r="H58" s="13" t="s">
        <v>584</v>
      </c>
      <c r="I58" s="13" t="s">
        <v>502</v>
      </c>
      <c r="J58" s="13" t="s">
        <v>2615</v>
      </c>
    </row>
    <row r="59" spans="1:10" ht="47.25" customHeight="1">
      <c r="A59" s="13" t="s">
        <v>2616</v>
      </c>
      <c r="B59" s="13" t="s">
        <v>575</v>
      </c>
      <c r="C59" s="13" t="s">
        <v>1047</v>
      </c>
      <c r="D59" s="13" t="s">
        <v>391</v>
      </c>
      <c r="E59" s="13" t="s">
        <v>488</v>
      </c>
      <c r="F59" s="13">
        <v>6</v>
      </c>
      <c r="G59" s="13" t="s">
        <v>2252</v>
      </c>
      <c r="H59" s="13" t="s">
        <v>1049</v>
      </c>
      <c r="I59" s="13" t="s">
        <v>502</v>
      </c>
      <c r="J59" s="13" t="s">
        <v>1737</v>
      </c>
    </row>
    <row r="60" spans="1:10" ht="7.35" customHeight="1">
      <c r="A60" s="13"/>
      <c r="B60" s="13"/>
      <c r="C60" s="13"/>
      <c r="D60" s="13"/>
      <c r="E60" s="13"/>
      <c r="F60" s="13"/>
      <c r="G60" s="13"/>
      <c r="H60" s="13"/>
      <c r="I60" s="13"/>
      <c r="J60" s="13"/>
    </row>
    <row r="61" spans="1:10" ht="5.45" customHeight="1">
      <c r="A61" s="575" t="s">
        <v>1051</v>
      </c>
      <c r="B61" s="896"/>
      <c r="C61" s="896"/>
      <c r="D61" s="85"/>
      <c r="E61" s="85"/>
      <c r="F61" s="85"/>
      <c r="G61" s="85"/>
      <c r="H61" s="85"/>
      <c r="I61" s="85"/>
      <c r="J61" s="85"/>
    </row>
    <row r="62" spans="1:10" ht="7.35" customHeight="1">
      <c r="A62" s="50" t="s">
        <v>221</v>
      </c>
      <c r="B62" s="50" t="s">
        <v>222</v>
      </c>
      <c r="C62" s="50" t="s">
        <v>265</v>
      </c>
      <c r="D62" s="50" t="s">
        <v>77</v>
      </c>
      <c r="E62" s="50" t="s">
        <v>878</v>
      </c>
      <c r="F62" s="50" t="s">
        <v>879</v>
      </c>
      <c r="G62" s="50" t="s">
        <v>880</v>
      </c>
      <c r="H62" s="50" t="s">
        <v>494</v>
      </c>
      <c r="I62" s="50" t="s">
        <v>881</v>
      </c>
      <c r="J62" s="50" t="s">
        <v>11</v>
      </c>
    </row>
    <row r="63" spans="1:10" ht="33.75" customHeight="1">
      <c r="A63" s="13" t="s">
        <v>2617</v>
      </c>
      <c r="B63" s="13" t="s">
        <v>2618</v>
      </c>
      <c r="C63" s="13" t="s">
        <v>579</v>
      </c>
      <c r="D63" s="13" t="s">
        <v>502</v>
      </c>
      <c r="E63" s="13"/>
      <c r="F63" s="13"/>
      <c r="G63" s="13" t="s">
        <v>2619</v>
      </c>
      <c r="H63" s="13"/>
      <c r="I63" s="13"/>
      <c r="J63" s="13"/>
    </row>
    <row r="64" spans="1:10" ht="26.85" customHeight="1">
      <c r="A64" s="13" t="s">
        <v>2620</v>
      </c>
      <c r="B64" s="13" t="s">
        <v>2621</v>
      </c>
      <c r="C64" s="13" t="s">
        <v>587</v>
      </c>
      <c r="D64" s="13" t="s">
        <v>502</v>
      </c>
      <c r="E64" s="13"/>
      <c r="F64" s="13"/>
      <c r="G64" s="13" t="s">
        <v>588</v>
      </c>
      <c r="H64" s="13"/>
      <c r="I64" s="13"/>
      <c r="J64" s="13"/>
    </row>
    <row r="65" spans="1:10" ht="26.85" customHeight="1">
      <c r="A65" s="13" t="s">
        <v>2622</v>
      </c>
      <c r="B65" s="13" t="s">
        <v>2623</v>
      </c>
      <c r="C65" s="13" t="s">
        <v>579</v>
      </c>
      <c r="D65" s="13" t="s">
        <v>502</v>
      </c>
      <c r="E65" s="13"/>
      <c r="F65" s="13"/>
      <c r="G65" s="13" t="s">
        <v>2624</v>
      </c>
      <c r="H65" s="13"/>
      <c r="I65" s="13"/>
      <c r="J65" s="13"/>
    </row>
    <row r="66" spans="1:10" ht="26.85" customHeight="1">
      <c r="A66" s="13" t="s">
        <v>2625</v>
      </c>
      <c r="B66" s="13" t="s">
        <v>2626</v>
      </c>
      <c r="C66" s="13" t="s">
        <v>601</v>
      </c>
      <c r="D66" s="13" t="s">
        <v>502</v>
      </c>
      <c r="E66" s="13"/>
      <c r="F66" s="13"/>
      <c r="G66" s="13" t="s">
        <v>602</v>
      </c>
      <c r="H66" s="13"/>
      <c r="I66" s="13"/>
      <c r="J66" s="13"/>
    </row>
    <row r="67" spans="1:10" ht="33.75" customHeight="1">
      <c r="A67" s="13" t="s">
        <v>2627</v>
      </c>
      <c r="B67" s="13" t="s">
        <v>2628</v>
      </c>
      <c r="C67" s="13" t="s">
        <v>609</v>
      </c>
      <c r="D67" s="13" t="s">
        <v>502</v>
      </c>
      <c r="E67" s="13"/>
      <c r="F67" s="13"/>
      <c r="G67" s="13" t="s">
        <v>610</v>
      </c>
      <c r="H67" s="13"/>
      <c r="I67" s="13"/>
      <c r="J67" s="13"/>
    </row>
    <row r="68" spans="1:10" ht="40.35" customHeight="1">
      <c r="A68" s="13" t="s">
        <v>2629</v>
      </c>
      <c r="B68" s="13" t="s">
        <v>2630</v>
      </c>
      <c r="C68" s="13" t="s">
        <v>616</v>
      </c>
      <c r="D68" s="13" t="s">
        <v>502</v>
      </c>
      <c r="E68" s="13"/>
      <c r="F68" s="13"/>
      <c r="G68" s="13" t="s">
        <v>617</v>
      </c>
      <c r="H68" s="13"/>
      <c r="I68" s="13"/>
      <c r="J68" s="13"/>
    </row>
    <row r="69" spans="1:10" ht="33.75" customHeight="1">
      <c r="A69" s="13" t="s">
        <v>2631</v>
      </c>
      <c r="B69" s="13" t="s">
        <v>624</v>
      </c>
      <c r="C69" s="13" t="s">
        <v>622</v>
      </c>
      <c r="D69" s="13" t="s">
        <v>502</v>
      </c>
      <c r="E69" s="13"/>
      <c r="F69" s="13"/>
      <c r="G69" s="13" t="s">
        <v>623</v>
      </c>
      <c r="H69" s="13"/>
      <c r="I69" s="13"/>
      <c r="J69" s="13"/>
    </row>
    <row r="70" spans="1:10" ht="33.75" customHeight="1">
      <c r="A70" s="13" t="s">
        <v>2632</v>
      </c>
      <c r="B70" s="13" t="s">
        <v>1753</v>
      </c>
      <c r="C70" s="13" t="s">
        <v>1049</v>
      </c>
      <c r="D70" s="13" t="s">
        <v>502</v>
      </c>
      <c r="E70" s="13"/>
      <c r="F70" s="13"/>
      <c r="G70" s="13" t="s">
        <v>631</v>
      </c>
      <c r="H70" s="13"/>
      <c r="I70" s="13"/>
      <c r="J70" s="13"/>
    </row>
    <row r="71" spans="1:10" ht="7.35" customHeight="1">
      <c r="A71" s="13"/>
      <c r="B71" s="13"/>
      <c r="C71" s="13"/>
      <c r="D71" s="13"/>
      <c r="E71" s="13"/>
      <c r="F71" s="13"/>
      <c r="G71" s="13"/>
      <c r="H71" s="13"/>
      <c r="I71" s="13"/>
      <c r="J71" s="13"/>
    </row>
    <row r="72" spans="1:10" ht="5.45" customHeight="1">
      <c r="A72" s="575" t="s">
        <v>1052</v>
      </c>
      <c r="B72" s="896"/>
      <c r="C72" s="896"/>
      <c r="D72" s="85"/>
      <c r="E72" s="85"/>
      <c r="F72" s="85"/>
      <c r="G72" s="85"/>
      <c r="H72" s="85"/>
      <c r="I72" s="85"/>
      <c r="J72" s="85"/>
    </row>
    <row r="73" spans="1:10" ht="7.35" customHeight="1">
      <c r="A73" s="50" t="s">
        <v>291</v>
      </c>
      <c r="B73" s="50" t="s">
        <v>275</v>
      </c>
      <c r="C73" s="50" t="s">
        <v>493</v>
      </c>
      <c r="D73" s="50" t="s">
        <v>214</v>
      </c>
      <c r="E73" s="50" t="s">
        <v>263</v>
      </c>
      <c r="F73" s="50" t="s">
        <v>891</v>
      </c>
      <c r="G73" s="50" t="s">
        <v>892</v>
      </c>
      <c r="H73" s="50" t="s">
        <v>893</v>
      </c>
      <c r="I73" s="50" t="s">
        <v>77</v>
      </c>
      <c r="J73" s="50" t="s">
        <v>11</v>
      </c>
    </row>
    <row r="74" spans="1:10" ht="47.25" customHeight="1">
      <c r="A74" s="13" t="s">
        <v>2633</v>
      </c>
      <c r="B74" s="13" t="s">
        <v>704</v>
      </c>
      <c r="C74" s="13" t="s">
        <v>269</v>
      </c>
      <c r="D74" s="13" t="s">
        <v>2634</v>
      </c>
      <c r="E74" s="13"/>
      <c r="F74" s="13" t="s">
        <v>229</v>
      </c>
      <c r="G74" s="13"/>
      <c r="H74" s="13" t="s">
        <v>2635</v>
      </c>
      <c r="I74" s="13" t="s">
        <v>502</v>
      </c>
      <c r="J74" s="13"/>
    </row>
    <row r="75" spans="1:10" ht="60.75" customHeight="1">
      <c r="A75" s="13" t="s">
        <v>2636</v>
      </c>
      <c r="B75" s="13" t="s">
        <v>2565</v>
      </c>
      <c r="C75" s="13" t="s">
        <v>269</v>
      </c>
      <c r="D75" s="13" t="s">
        <v>2637</v>
      </c>
      <c r="E75" s="13"/>
      <c r="F75" s="13" t="s">
        <v>229</v>
      </c>
      <c r="G75" s="13"/>
      <c r="H75" s="13" t="s">
        <v>2638</v>
      </c>
      <c r="I75" s="13" t="s">
        <v>502</v>
      </c>
      <c r="J75" s="13"/>
    </row>
    <row r="76" spans="1:10" ht="26.85" customHeight="1">
      <c r="A76" s="13" t="s">
        <v>2639</v>
      </c>
      <c r="B76" s="13" t="s">
        <v>2578</v>
      </c>
      <c r="C76" s="13" t="s">
        <v>2640</v>
      </c>
      <c r="D76" s="13" t="s">
        <v>2641</v>
      </c>
      <c r="E76" s="13"/>
      <c r="F76" s="13" t="s">
        <v>229</v>
      </c>
      <c r="G76" s="13"/>
      <c r="H76" s="13" t="s">
        <v>2642</v>
      </c>
      <c r="I76" s="13" t="s">
        <v>502</v>
      </c>
      <c r="J76" s="13"/>
    </row>
    <row r="77" spans="1:10" ht="33.75" customHeight="1">
      <c r="A77" s="13" t="s">
        <v>2643</v>
      </c>
      <c r="B77" s="13" t="s">
        <v>704</v>
      </c>
      <c r="C77" s="13" t="s">
        <v>749</v>
      </c>
      <c r="D77" s="13" t="s">
        <v>2274</v>
      </c>
      <c r="E77" s="13"/>
      <c r="F77" s="13" t="s">
        <v>229</v>
      </c>
      <c r="G77" s="13"/>
      <c r="H77" s="13" t="s">
        <v>2599</v>
      </c>
      <c r="I77" s="13" t="s">
        <v>502</v>
      </c>
      <c r="J77" s="13"/>
    </row>
    <row r="78" spans="1:10" ht="26.85" customHeight="1">
      <c r="A78" s="13" t="s">
        <v>2644</v>
      </c>
      <c r="B78" s="13" t="s">
        <v>2645</v>
      </c>
      <c r="C78" s="13" t="s">
        <v>957</v>
      </c>
      <c r="D78" s="13" t="s">
        <v>2646</v>
      </c>
      <c r="E78" s="13"/>
      <c r="F78" s="13" t="s">
        <v>229</v>
      </c>
      <c r="G78" s="13"/>
      <c r="H78" s="13" t="s">
        <v>2608</v>
      </c>
      <c r="I78" s="13" t="s">
        <v>502</v>
      </c>
      <c r="J78" s="13"/>
    </row>
    <row r="79" spans="1:10" ht="40.35" customHeight="1">
      <c r="A79" s="13" t="s">
        <v>2647</v>
      </c>
      <c r="B79" s="13" t="s">
        <v>704</v>
      </c>
      <c r="C79" s="13" t="s">
        <v>148</v>
      </c>
      <c r="D79" s="13" t="s">
        <v>2081</v>
      </c>
      <c r="E79" s="13"/>
      <c r="F79" s="13" t="s">
        <v>229</v>
      </c>
      <c r="G79" s="13"/>
      <c r="H79" s="13" t="s">
        <v>2603</v>
      </c>
      <c r="I79" s="13" t="s">
        <v>502</v>
      </c>
      <c r="J79" s="13"/>
    </row>
    <row r="80" spans="1:10" ht="47.25" customHeight="1">
      <c r="A80" s="13" t="s">
        <v>2648</v>
      </c>
      <c r="B80" s="13" t="s">
        <v>704</v>
      </c>
      <c r="C80" s="13" t="s">
        <v>153</v>
      </c>
      <c r="D80" s="13" t="s">
        <v>2649</v>
      </c>
      <c r="E80" s="13"/>
      <c r="F80" s="13" t="s">
        <v>229</v>
      </c>
      <c r="G80" s="13"/>
      <c r="H80" s="13" t="s">
        <v>2604</v>
      </c>
      <c r="I80" s="13" t="s">
        <v>502</v>
      </c>
      <c r="J80" s="13"/>
    </row>
    <row r="81" spans="1:10" ht="47.25" customHeight="1">
      <c r="A81" s="13" t="s">
        <v>2650</v>
      </c>
      <c r="B81" s="13" t="s">
        <v>2651</v>
      </c>
      <c r="C81" s="13" t="s">
        <v>1975</v>
      </c>
      <c r="D81" s="13" t="s">
        <v>2652</v>
      </c>
      <c r="E81" s="13"/>
      <c r="F81" s="13" t="s">
        <v>229</v>
      </c>
      <c r="G81" s="13"/>
      <c r="H81" s="13" t="s">
        <v>2653</v>
      </c>
      <c r="I81" s="13" t="s">
        <v>502</v>
      </c>
      <c r="J81" s="13"/>
    </row>
    <row r="82" spans="1:10" ht="7.35" customHeight="1">
      <c r="A82" s="13"/>
      <c r="B82" s="13"/>
      <c r="C82" s="13"/>
      <c r="D82" s="13"/>
      <c r="E82" s="13"/>
      <c r="F82" s="13"/>
      <c r="G82" s="13"/>
      <c r="H82" s="13"/>
      <c r="I82" s="13"/>
      <c r="J82" s="13"/>
    </row>
    <row r="83" spans="1:10" ht="5.45" customHeight="1">
      <c r="A83" s="85" t="s">
        <v>1079</v>
      </c>
      <c r="B83" s="85"/>
      <c r="C83" s="85"/>
      <c r="D83" s="85"/>
      <c r="E83" s="85"/>
      <c r="F83" s="85"/>
      <c r="G83" s="85"/>
      <c r="H83" s="85"/>
      <c r="I83" s="85"/>
      <c r="J83" s="85"/>
    </row>
    <row r="84" spans="1:10" ht="7.35" customHeight="1">
      <c r="A84" s="50" t="s">
        <v>275</v>
      </c>
      <c r="B84" s="50" t="s">
        <v>895</v>
      </c>
      <c r="C84" s="50" t="s">
        <v>896</v>
      </c>
      <c r="D84" s="50" t="s">
        <v>148</v>
      </c>
      <c r="E84" s="50" t="s">
        <v>153</v>
      </c>
      <c r="F84" s="50" t="s">
        <v>155</v>
      </c>
      <c r="G84" s="50" t="s">
        <v>491</v>
      </c>
      <c r="H84" s="50" t="s">
        <v>897</v>
      </c>
      <c r="I84" s="50" t="s">
        <v>174</v>
      </c>
      <c r="J84" s="50" t="s">
        <v>11</v>
      </c>
    </row>
    <row r="85" spans="1:10" ht="26.85" customHeight="1">
      <c r="A85" s="13" t="s">
        <v>704</v>
      </c>
      <c r="B85" s="13">
        <v>0.5</v>
      </c>
      <c r="C85" s="13">
        <v>0.5</v>
      </c>
      <c r="D85" s="13">
        <v>0.5</v>
      </c>
      <c r="E85" s="13">
        <v>0.5</v>
      </c>
      <c r="F85" s="13">
        <v>0.5</v>
      </c>
      <c r="G85" s="13" t="s">
        <v>677</v>
      </c>
      <c r="H85" s="13">
        <v>0.5</v>
      </c>
      <c r="I85" s="13" t="s">
        <v>1201</v>
      </c>
      <c r="J85" s="13" t="s">
        <v>2654</v>
      </c>
    </row>
    <row r="86" spans="1:10" ht="19.899999999999999" customHeight="1">
      <c r="A86" s="13" t="s">
        <v>2565</v>
      </c>
      <c r="B86" s="13">
        <v>0.5</v>
      </c>
      <c r="C86" s="13">
        <v>0.5</v>
      </c>
      <c r="D86" s="13">
        <v>0.5</v>
      </c>
      <c r="E86" s="13">
        <v>0.5</v>
      </c>
      <c r="F86" s="13">
        <v>0.5</v>
      </c>
      <c r="G86" s="13" t="s">
        <v>677</v>
      </c>
      <c r="H86" s="13">
        <v>0.5</v>
      </c>
      <c r="I86" s="13" t="s">
        <v>1201</v>
      </c>
      <c r="J86" s="13" t="s">
        <v>2655</v>
      </c>
    </row>
    <row r="87" spans="1:10" ht="19.899999999999999" customHeight="1">
      <c r="A87" s="13" t="s">
        <v>2578</v>
      </c>
      <c r="B87" s="13">
        <v>0.5</v>
      </c>
      <c r="C87" s="13">
        <v>0.5</v>
      </c>
      <c r="D87" s="13" t="s">
        <v>679</v>
      </c>
      <c r="E87" s="13">
        <v>0.5</v>
      </c>
      <c r="F87" s="13">
        <v>0.5</v>
      </c>
      <c r="G87" s="13" t="s">
        <v>677</v>
      </c>
      <c r="H87" s="13">
        <v>0.5</v>
      </c>
      <c r="I87" s="13" t="s">
        <v>1201</v>
      </c>
      <c r="J87" s="13" t="s">
        <v>2656</v>
      </c>
    </row>
    <row r="88" spans="1:10" ht="7.35" customHeight="1">
      <c r="A88" s="13"/>
      <c r="B88" s="13"/>
      <c r="C88" s="13"/>
      <c r="D88" s="13"/>
      <c r="E88" s="13"/>
      <c r="F88" s="13"/>
      <c r="G88" s="13"/>
      <c r="H88" s="13"/>
      <c r="I88" s="13"/>
      <c r="J88" s="13"/>
    </row>
    <row r="89" spans="1:10" ht="5.45" customHeight="1">
      <c r="A89" s="85" t="s">
        <v>1085</v>
      </c>
      <c r="B89" s="85"/>
      <c r="C89" s="85"/>
      <c r="D89" s="85"/>
      <c r="E89" s="85"/>
      <c r="F89" s="85"/>
      <c r="G89" s="85"/>
      <c r="H89" s="85"/>
      <c r="I89" s="85"/>
      <c r="J89" s="85"/>
    </row>
    <row r="90" spans="1:10" ht="26.85" customHeight="1">
      <c r="A90" s="50" t="s">
        <v>905</v>
      </c>
      <c r="B90" s="50" t="s">
        <v>2657</v>
      </c>
      <c r="C90" s="50"/>
      <c r="D90" s="50"/>
      <c r="E90" s="50"/>
      <c r="F90" s="50"/>
      <c r="G90" s="50"/>
      <c r="H90" s="50"/>
      <c r="I90" s="50"/>
      <c r="J90" s="50"/>
    </row>
    <row r="91" spans="1:10" ht="81" customHeight="1">
      <c r="A91" s="13" t="s">
        <v>1086</v>
      </c>
      <c r="B91" s="13" t="s">
        <v>2658</v>
      </c>
      <c r="C91" s="13"/>
      <c r="D91" s="13"/>
      <c r="E91" s="13"/>
      <c r="F91" s="13"/>
      <c r="G91" s="13"/>
      <c r="H91" s="13"/>
      <c r="I91" s="13"/>
      <c r="J91" s="13"/>
    </row>
    <row r="92" spans="1:10" ht="74.099999999999994" customHeight="1">
      <c r="A92" s="13" t="s">
        <v>2090</v>
      </c>
      <c r="B92" s="13" t="s">
        <v>2659</v>
      </c>
      <c r="C92" s="13"/>
      <c r="D92" s="13"/>
      <c r="E92" s="13"/>
      <c r="F92" s="13"/>
      <c r="G92" s="13"/>
      <c r="H92" s="13"/>
      <c r="I92" s="13"/>
      <c r="J92" s="13"/>
    </row>
    <row r="93" spans="1:10" ht="128.25" customHeight="1">
      <c r="A93" s="13" t="s">
        <v>1088</v>
      </c>
      <c r="B93" s="13" t="s">
        <v>2660</v>
      </c>
      <c r="C93" s="13"/>
      <c r="D93" s="13"/>
      <c r="E93" s="13"/>
      <c r="F93" s="13"/>
      <c r="G93" s="13"/>
      <c r="H93" s="13"/>
      <c r="I93" s="13"/>
      <c r="J93" s="13"/>
    </row>
    <row r="94" spans="1:10" ht="74.099999999999994" customHeight="1">
      <c r="A94" s="13" t="s">
        <v>1089</v>
      </c>
      <c r="B94" s="13" t="s">
        <v>2661</v>
      </c>
      <c r="C94" s="13"/>
      <c r="D94" s="13"/>
      <c r="E94" s="13"/>
      <c r="F94" s="13"/>
      <c r="G94" s="13"/>
      <c r="H94" s="13"/>
      <c r="I94" s="13"/>
      <c r="J94" s="13"/>
    </row>
    <row r="95" spans="1:10" ht="94.5" customHeight="1">
      <c r="A95" s="13" t="s">
        <v>1090</v>
      </c>
      <c r="B95" s="13" t="s">
        <v>2662</v>
      </c>
      <c r="C95" s="13"/>
      <c r="D95" s="13"/>
      <c r="E95" s="13"/>
      <c r="F95" s="13"/>
      <c r="G95" s="13"/>
      <c r="H95" s="13"/>
      <c r="I95" s="13"/>
      <c r="J95" s="13"/>
    </row>
    <row r="96" spans="1:10" ht="94.5" customHeight="1">
      <c r="A96" s="13" t="s">
        <v>1563</v>
      </c>
      <c r="B96" s="13" t="s">
        <v>1776</v>
      </c>
      <c r="C96" s="13"/>
      <c r="D96" s="13"/>
      <c r="E96" s="13"/>
      <c r="F96" s="13"/>
      <c r="G96" s="13"/>
      <c r="H96" s="13"/>
      <c r="I96" s="13"/>
      <c r="J96" s="13"/>
    </row>
    <row r="98" spans="1:10" ht="15.75" thickBot="1"/>
    <row r="99" spans="1:10" ht="15" customHeight="1">
      <c r="A99" s="605" t="s">
        <v>5668</v>
      </c>
      <c r="B99" s="602"/>
      <c r="C99" s="602"/>
      <c r="D99" s="606"/>
      <c r="E99" s="602"/>
      <c r="F99" s="602"/>
      <c r="G99" s="606"/>
      <c r="H99" s="606"/>
      <c r="I99" s="606"/>
      <c r="J99" s="607"/>
    </row>
    <row r="100" spans="1:10" ht="30" customHeight="1">
      <c r="A100" s="321" t="s">
        <v>5610</v>
      </c>
      <c r="B100" s="322" t="s">
        <v>77</v>
      </c>
      <c r="C100" s="322" t="s">
        <v>5611</v>
      </c>
      <c r="D100" s="322" t="s">
        <v>5612</v>
      </c>
      <c r="E100" s="322" t="s">
        <v>5634</v>
      </c>
      <c r="F100" s="322" t="s">
        <v>5601</v>
      </c>
      <c r="G100" s="578" t="s">
        <v>5635</v>
      </c>
      <c r="H100" s="578"/>
      <c r="I100" s="578"/>
      <c r="J100" s="579"/>
    </row>
    <row r="101" spans="1:10" ht="25.5" customHeight="1">
      <c r="A101" s="323" t="s">
        <v>5613</v>
      </c>
      <c r="B101" s="333" t="s">
        <v>484</v>
      </c>
      <c r="C101" s="325">
        <v>0</v>
      </c>
      <c r="D101" s="325">
        <v>0</v>
      </c>
      <c r="E101" s="192" t="s">
        <v>5674</v>
      </c>
      <c r="F101" s="325">
        <f>IF(AND(C101&lt;&gt;"",D101&lt;&gt;""),D101-C101,"")</f>
        <v>0</v>
      </c>
      <c r="G101" s="608"/>
      <c r="H101" s="608"/>
      <c r="I101" s="608"/>
      <c r="J101" s="609"/>
    </row>
    <row r="102" spans="1:10" ht="25.5" customHeight="1">
      <c r="A102" s="326" t="s">
        <v>5614</v>
      </c>
      <c r="B102" s="333" t="s">
        <v>484</v>
      </c>
      <c r="C102" s="327">
        <v>1</v>
      </c>
      <c r="D102" s="327">
        <v>0</v>
      </c>
      <c r="E102" s="310" t="s">
        <v>5675</v>
      </c>
      <c r="F102" s="327">
        <f>IF(AND(C102&lt;&gt;"",D102&lt;&gt;""),D102-C102,"")</f>
        <v>-1</v>
      </c>
      <c r="G102" s="610"/>
      <c r="H102" s="610"/>
      <c r="I102" s="610"/>
      <c r="J102" s="611"/>
    </row>
    <row r="103" spans="1:10" ht="15" customHeight="1">
      <c r="A103" s="323" t="s">
        <v>5615</v>
      </c>
      <c r="B103" s="333" t="s">
        <v>484</v>
      </c>
      <c r="C103" s="327">
        <v>1</v>
      </c>
      <c r="D103" s="327">
        <v>0</v>
      </c>
      <c r="E103" s="310" t="s">
        <v>5675</v>
      </c>
      <c r="F103" s="325">
        <f>IF(AND(C103&lt;&gt;"",D103&lt;&gt;""),D103-C103,"")</f>
        <v>-1</v>
      </c>
      <c r="G103" s="328"/>
      <c r="H103" s="227"/>
      <c r="I103" s="227"/>
      <c r="J103" s="329"/>
    </row>
    <row r="104" spans="1:10" ht="15" customHeight="1">
      <c r="A104" s="326" t="s">
        <v>5616</v>
      </c>
      <c r="B104" s="333" t="s">
        <v>484</v>
      </c>
      <c r="C104" s="327">
        <v>1</v>
      </c>
      <c r="D104" s="327">
        <v>0</v>
      </c>
      <c r="E104" s="310" t="s">
        <v>5675</v>
      </c>
      <c r="F104" s="327">
        <f>IF(AND(C104&lt;&gt;"",D104&lt;&gt;""),D104-C104,"")</f>
        <v>-1</v>
      </c>
      <c r="G104" s="610"/>
      <c r="H104" s="610"/>
      <c r="I104" s="610"/>
      <c r="J104" s="611"/>
    </row>
    <row r="105" spans="1:10" ht="15" customHeight="1">
      <c r="A105" s="323" t="s">
        <v>5168</v>
      </c>
      <c r="B105" s="333" t="s">
        <v>484</v>
      </c>
      <c r="C105" s="327">
        <v>1</v>
      </c>
      <c r="D105" s="327">
        <v>0</v>
      </c>
      <c r="E105" s="310" t="s">
        <v>5675</v>
      </c>
      <c r="F105" s="325">
        <f>IF(AND(C105&lt;&gt;"",D105&lt;&gt;""),D105-C105,"")</f>
        <v>-1</v>
      </c>
      <c r="G105" s="328"/>
      <c r="H105" s="227"/>
      <c r="I105" s="227"/>
      <c r="J105" s="329"/>
    </row>
    <row r="106" spans="1:10" ht="15.75" customHeight="1">
      <c r="A106" s="585" t="s">
        <v>5636</v>
      </c>
      <c r="B106" s="586"/>
      <c r="C106" s="330">
        <f>IFERROR(AVERAGE(C101:C105),"")</f>
        <v>0.8</v>
      </c>
      <c r="D106" s="330">
        <f>IFERROR(AVERAGE(D101:D105),"")</f>
        <v>0</v>
      </c>
      <c r="E106" s="589" t="s">
        <v>5637</v>
      </c>
      <c r="F106" s="589"/>
      <c r="G106" s="589"/>
      <c r="H106" s="589"/>
      <c r="I106" s="589"/>
      <c r="J106" s="590"/>
    </row>
    <row r="107" spans="1:10" ht="20.25" customHeight="1">
      <c r="A107" s="331"/>
      <c r="B107" s="316"/>
      <c r="C107" s="316"/>
      <c r="D107" s="316"/>
      <c r="E107" s="316"/>
      <c r="F107" s="316"/>
      <c r="G107" s="316"/>
      <c r="H107" s="227"/>
      <c r="I107" s="227"/>
      <c r="J107" s="329"/>
    </row>
    <row r="108" spans="1:10">
      <c r="A108" s="574" t="s">
        <v>5669</v>
      </c>
      <c r="B108" s="582"/>
      <c r="C108" s="582"/>
      <c r="D108" s="575"/>
      <c r="E108" s="582"/>
      <c r="F108" s="582"/>
      <c r="G108" s="575"/>
      <c r="H108" s="575"/>
      <c r="I108" s="575"/>
      <c r="J108" s="576"/>
    </row>
    <row r="109" spans="1:10">
      <c r="A109" s="321" t="s">
        <v>4946</v>
      </c>
      <c r="B109" s="322" t="s">
        <v>77</v>
      </c>
      <c r="C109" s="322" t="s">
        <v>5676</v>
      </c>
      <c r="D109" s="322" t="s">
        <v>482</v>
      </c>
      <c r="E109" s="322" t="s">
        <v>572</v>
      </c>
      <c r="F109" s="322" t="s">
        <v>5639</v>
      </c>
      <c r="G109" s="578" t="s">
        <v>5640</v>
      </c>
      <c r="H109" s="578"/>
      <c r="I109" s="578"/>
      <c r="J109" s="579"/>
    </row>
    <row r="110" spans="1:10" ht="31.5" customHeight="1">
      <c r="A110" s="326" t="s">
        <v>5602</v>
      </c>
      <c r="B110" s="333" t="s">
        <v>484</v>
      </c>
      <c r="C110" s="332" t="s">
        <v>679</v>
      </c>
      <c r="D110" s="324" t="s">
        <v>679</v>
      </c>
      <c r="E110" s="332">
        <f>IF(D110="Yes",1,0)</f>
        <v>0</v>
      </c>
      <c r="F110" s="580"/>
      <c r="G110" s="580"/>
      <c r="H110" s="580"/>
      <c r="I110" s="580"/>
      <c r="J110" s="581"/>
    </row>
    <row r="111" spans="1:10" ht="20.25" customHeight="1">
      <c r="A111" s="323" t="s">
        <v>995</v>
      </c>
      <c r="B111" s="333" t="s">
        <v>484</v>
      </c>
      <c r="C111" s="332" t="s">
        <v>679</v>
      </c>
      <c r="D111" s="324" t="s">
        <v>679</v>
      </c>
      <c r="E111" s="324">
        <f t="shared" ref="E111:E117" si="0">IF(D111="Yes",1,0)</f>
        <v>0</v>
      </c>
      <c r="F111" s="580"/>
      <c r="G111" s="580"/>
      <c r="H111" s="580"/>
      <c r="I111" s="580"/>
      <c r="J111" s="581"/>
    </row>
    <row r="112" spans="1:10" ht="24.75" customHeight="1">
      <c r="A112" s="326" t="s">
        <v>5603</v>
      </c>
      <c r="B112" s="333" t="s">
        <v>484</v>
      </c>
      <c r="C112" s="332" t="s">
        <v>679</v>
      </c>
      <c r="D112" s="324" t="s">
        <v>679</v>
      </c>
      <c r="E112" s="332">
        <f t="shared" si="0"/>
        <v>0</v>
      </c>
      <c r="F112" s="580"/>
      <c r="G112" s="580"/>
      <c r="H112" s="580"/>
      <c r="I112" s="580"/>
      <c r="J112" s="581"/>
    </row>
    <row r="113" spans="1:10">
      <c r="A113" s="323" t="s">
        <v>5617</v>
      </c>
      <c r="B113" s="333" t="s">
        <v>484</v>
      </c>
      <c r="C113" s="332" t="s">
        <v>679</v>
      </c>
      <c r="D113" s="324" t="s">
        <v>679</v>
      </c>
      <c r="E113" s="324">
        <f t="shared" si="0"/>
        <v>0</v>
      </c>
      <c r="F113" s="580"/>
      <c r="G113" s="580"/>
      <c r="H113" s="580"/>
      <c r="I113" s="580"/>
      <c r="J113" s="581"/>
    </row>
    <row r="114" spans="1:10" ht="38.25">
      <c r="A114" s="326" t="s">
        <v>5618</v>
      </c>
      <c r="B114" s="333" t="s">
        <v>484</v>
      </c>
      <c r="C114" s="332" t="s">
        <v>679</v>
      </c>
      <c r="D114" s="324" t="s">
        <v>679</v>
      </c>
      <c r="E114" s="332">
        <f t="shared" si="0"/>
        <v>0</v>
      </c>
      <c r="F114" s="580"/>
      <c r="G114" s="580"/>
      <c r="H114" s="580"/>
      <c r="I114" s="580"/>
      <c r="J114" s="581"/>
    </row>
    <row r="115" spans="1:10" ht="25.5">
      <c r="A115" s="323" t="s">
        <v>5619</v>
      </c>
      <c r="B115" s="333" t="s">
        <v>484</v>
      </c>
      <c r="C115" s="332" t="s">
        <v>679</v>
      </c>
      <c r="D115" s="324" t="s">
        <v>679</v>
      </c>
      <c r="E115" s="324">
        <f t="shared" si="0"/>
        <v>0</v>
      </c>
      <c r="F115" s="580"/>
      <c r="G115" s="580"/>
      <c r="H115" s="580"/>
      <c r="I115" s="580"/>
      <c r="J115" s="581"/>
    </row>
    <row r="116" spans="1:10" ht="18.75" customHeight="1">
      <c r="A116" s="326" t="s">
        <v>5604</v>
      </c>
      <c r="B116" s="333" t="s">
        <v>484</v>
      </c>
      <c r="C116" s="332" t="s">
        <v>679</v>
      </c>
      <c r="D116" s="324" t="s">
        <v>679</v>
      </c>
      <c r="E116" s="332">
        <f t="shared" si="0"/>
        <v>0</v>
      </c>
      <c r="F116" s="580"/>
      <c r="G116" s="580"/>
      <c r="H116" s="580"/>
      <c r="I116" s="580"/>
      <c r="J116" s="581"/>
    </row>
    <row r="117" spans="1:10" ht="25.5">
      <c r="A117" s="323" t="s">
        <v>5605</v>
      </c>
      <c r="B117" s="333" t="s">
        <v>484</v>
      </c>
      <c r="C117" s="332" t="s">
        <v>679</v>
      </c>
      <c r="D117" s="324" t="s">
        <v>679</v>
      </c>
      <c r="E117" s="324">
        <f t="shared" si="0"/>
        <v>0</v>
      </c>
      <c r="F117" s="580"/>
      <c r="G117" s="580"/>
      <c r="H117" s="580"/>
      <c r="I117" s="580"/>
      <c r="J117" s="581"/>
    </row>
    <row r="118" spans="1:10" ht="28.5" customHeight="1">
      <c r="A118" s="585" t="s">
        <v>5641</v>
      </c>
      <c r="B118" s="586"/>
      <c r="C118" s="587" t="str">
        <f>IFERROR(SUM(E110:E117)/COUNTIF(C110:C117,"Yes"),"")</f>
        <v/>
      </c>
      <c r="D118" s="588"/>
      <c r="E118" s="589" t="s">
        <v>5642</v>
      </c>
      <c r="F118" s="589"/>
      <c r="G118" s="589"/>
      <c r="H118" s="589"/>
      <c r="I118" s="589"/>
      <c r="J118" s="590"/>
    </row>
    <row r="119" spans="1:10" ht="20.25" customHeight="1">
      <c r="A119" s="331"/>
      <c r="B119" s="316"/>
      <c r="C119" s="316"/>
      <c r="D119" s="316"/>
      <c r="E119" s="316"/>
      <c r="F119" s="316"/>
      <c r="G119" s="316"/>
      <c r="H119" s="227"/>
      <c r="I119" s="227"/>
      <c r="J119" s="329"/>
    </row>
    <row r="120" spans="1:10">
      <c r="A120" s="574" t="s">
        <v>5670</v>
      </c>
      <c r="B120" s="582"/>
      <c r="C120" s="582"/>
      <c r="D120" s="575"/>
      <c r="E120" s="582"/>
      <c r="F120" s="582"/>
      <c r="G120" s="575"/>
      <c r="H120" s="575"/>
      <c r="I120" s="575"/>
      <c r="J120" s="576"/>
    </row>
    <row r="121" spans="1:10" ht="30" customHeight="1">
      <c r="A121" s="321" t="s">
        <v>5643</v>
      </c>
      <c r="B121" s="322" t="s">
        <v>77</v>
      </c>
      <c r="C121" s="322" t="s">
        <v>5620</v>
      </c>
      <c r="D121" s="322" t="s">
        <v>5621</v>
      </c>
      <c r="E121" s="322" t="s">
        <v>5622</v>
      </c>
      <c r="F121" s="322" t="s">
        <v>5644</v>
      </c>
      <c r="G121" s="578" t="s">
        <v>5645</v>
      </c>
      <c r="H121" s="578"/>
      <c r="I121" s="578"/>
      <c r="J121" s="579"/>
    </row>
    <row r="122" spans="1:10" ht="25.5">
      <c r="A122" s="326" t="s">
        <v>5623</v>
      </c>
      <c r="B122" s="332" t="s">
        <v>484</v>
      </c>
      <c r="C122" s="332" t="s">
        <v>1096</v>
      </c>
      <c r="D122" s="332" t="s">
        <v>1096</v>
      </c>
      <c r="E122" s="332" t="s">
        <v>1096</v>
      </c>
      <c r="F122" s="332" t="s">
        <v>348</v>
      </c>
      <c r="G122" s="583"/>
      <c r="H122" s="583"/>
      <c r="I122" s="583"/>
      <c r="J122" s="584"/>
    </row>
    <row r="123" spans="1:10" ht="53.45" customHeight="1">
      <c r="A123" s="323" t="s">
        <v>5624</v>
      </c>
      <c r="B123" s="332" t="s">
        <v>484</v>
      </c>
      <c r="C123" s="332" t="s">
        <v>1096</v>
      </c>
      <c r="D123" s="332" t="s">
        <v>1096</v>
      </c>
      <c r="E123" s="332" t="s">
        <v>1096</v>
      </c>
      <c r="F123" s="332" t="s">
        <v>348</v>
      </c>
      <c r="G123" s="583"/>
      <c r="H123" s="583"/>
      <c r="I123" s="583"/>
      <c r="J123" s="584"/>
    </row>
    <row r="124" spans="1:10" ht="53.45" customHeight="1">
      <c r="A124" s="326" t="s">
        <v>5646</v>
      </c>
      <c r="B124" s="332" t="s">
        <v>484</v>
      </c>
      <c r="C124" s="332" t="s">
        <v>1096</v>
      </c>
      <c r="D124" s="332" t="s">
        <v>1096</v>
      </c>
      <c r="E124" s="332" t="s">
        <v>1096</v>
      </c>
      <c r="F124" s="332" t="s">
        <v>348</v>
      </c>
      <c r="G124" s="583"/>
      <c r="H124" s="583"/>
      <c r="I124" s="583"/>
      <c r="J124" s="584"/>
    </row>
    <row r="125" spans="1:10" ht="53.45" customHeight="1">
      <c r="A125" s="323" t="s">
        <v>5625</v>
      </c>
      <c r="B125" s="332" t="s">
        <v>484</v>
      </c>
      <c r="C125" s="332" t="s">
        <v>1096</v>
      </c>
      <c r="D125" s="332" t="s">
        <v>1096</v>
      </c>
      <c r="E125" s="332" t="s">
        <v>1096</v>
      </c>
      <c r="F125" s="332" t="s">
        <v>348</v>
      </c>
      <c r="G125" s="583"/>
      <c r="H125" s="583"/>
      <c r="I125" s="583"/>
      <c r="J125" s="584"/>
    </row>
    <row r="126" spans="1:10" ht="53.45" customHeight="1">
      <c r="A126" s="326" t="s">
        <v>5626</v>
      </c>
      <c r="B126" s="332" t="s">
        <v>484</v>
      </c>
      <c r="C126" s="332" t="s">
        <v>1096</v>
      </c>
      <c r="D126" s="332" t="s">
        <v>1096</v>
      </c>
      <c r="E126" s="332" t="s">
        <v>1096</v>
      </c>
      <c r="F126" s="332" t="s">
        <v>348</v>
      </c>
      <c r="G126" s="583"/>
      <c r="H126" s="583"/>
      <c r="I126" s="583"/>
      <c r="J126" s="584"/>
    </row>
    <row r="127" spans="1:10" ht="53.45" customHeight="1">
      <c r="A127" s="585" t="s">
        <v>5677</v>
      </c>
      <c r="B127" s="586"/>
      <c r="C127" s="587">
        <f>IFERROR(COUNTIF(E122:E126,"Yes")/COUNTA(A122:A126),"")</f>
        <v>0</v>
      </c>
      <c r="D127" s="588"/>
      <c r="E127" s="589" t="s">
        <v>5648</v>
      </c>
      <c r="F127" s="589"/>
      <c r="G127" s="589"/>
      <c r="H127" s="589"/>
      <c r="I127" s="589"/>
      <c r="J127" s="590"/>
    </row>
    <row r="128" spans="1:10" ht="20.25" customHeight="1">
      <c r="A128" s="331"/>
      <c r="B128" s="316"/>
      <c r="C128" s="316"/>
      <c r="D128" s="316"/>
      <c r="E128" s="316"/>
      <c r="F128" s="316"/>
      <c r="G128" s="599"/>
      <c r="H128" s="599"/>
      <c r="I128" s="599"/>
      <c r="J128" s="600"/>
    </row>
    <row r="129" spans="1:10" ht="53.45" customHeight="1">
      <c r="A129" s="574" t="s">
        <v>5671</v>
      </c>
      <c r="B129" s="582"/>
      <c r="C129" s="582"/>
      <c r="D129" s="575"/>
      <c r="E129" s="582"/>
      <c r="F129" s="582"/>
      <c r="G129" s="575"/>
      <c r="H129" s="575"/>
      <c r="I129" s="575"/>
      <c r="J129" s="576"/>
    </row>
    <row r="130" spans="1:10" ht="53.45" customHeight="1">
      <c r="A130" s="322" t="s">
        <v>5606</v>
      </c>
      <c r="B130" s="322" t="s">
        <v>77</v>
      </c>
      <c r="C130" s="322" t="s">
        <v>5627</v>
      </c>
      <c r="D130" s="322" t="s">
        <v>5628</v>
      </c>
      <c r="E130" s="322" t="s">
        <v>5629</v>
      </c>
      <c r="F130" s="322" t="s">
        <v>5630</v>
      </c>
      <c r="G130" s="578" t="s">
        <v>5678</v>
      </c>
      <c r="H130" s="578"/>
      <c r="I130" s="578"/>
      <c r="J130" s="578"/>
    </row>
    <row r="131" spans="1:10">
      <c r="A131" s="328" t="s">
        <v>153</v>
      </c>
      <c r="B131" s="324" t="s">
        <v>484</v>
      </c>
      <c r="C131" s="324"/>
      <c r="D131" s="324"/>
      <c r="E131" s="324"/>
      <c r="F131" s="325" t="str">
        <f>IFERROR(D131/C131,"")</f>
        <v/>
      </c>
      <c r="G131" s="572"/>
      <c r="H131" s="572"/>
      <c r="I131" s="572"/>
      <c r="J131" s="572"/>
    </row>
    <row r="132" spans="1:10">
      <c r="A132" s="335" t="s">
        <v>155</v>
      </c>
      <c r="B132" s="332" t="s">
        <v>484</v>
      </c>
      <c r="C132" s="332"/>
      <c r="D132" s="332"/>
      <c r="E132" s="332"/>
      <c r="F132" s="327" t="str">
        <f>IFERROR(D132/C132,"")</f>
        <v/>
      </c>
      <c r="G132" s="572"/>
      <c r="H132" s="572"/>
      <c r="I132" s="572"/>
      <c r="J132" s="572"/>
    </row>
    <row r="133" spans="1:10">
      <c r="A133" s="328" t="s">
        <v>4821</v>
      </c>
      <c r="B133" s="324" t="s">
        <v>484</v>
      </c>
      <c r="C133" s="324"/>
      <c r="D133" s="324"/>
      <c r="E133" s="324"/>
      <c r="F133" s="325" t="str">
        <f>IFERROR(D133/C133,"")</f>
        <v/>
      </c>
      <c r="G133" s="572"/>
      <c r="H133" s="572"/>
      <c r="I133" s="572"/>
      <c r="J133" s="572"/>
    </row>
    <row r="134" spans="1:10">
      <c r="A134" s="335" t="s">
        <v>957</v>
      </c>
      <c r="B134" s="332" t="s">
        <v>484</v>
      </c>
      <c r="C134" s="332"/>
      <c r="D134" s="332"/>
      <c r="E134" s="332"/>
      <c r="F134" s="327" t="str">
        <f>IFERROR(D134/C134,"")</f>
        <v/>
      </c>
      <c r="G134" s="572"/>
      <c r="H134" s="572"/>
      <c r="I134" s="572"/>
      <c r="J134" s="572"/>
    </row>
    <row r="135" spans="1:10">
      <c r="A135" s="597" t="s">
        <v>5649</v>
      </c>
      <c r="B135" s="597"/>
      <c r="C135" s="597"/>
      <c r="D135" s="597"/>
      <c r="E135" s="589" t="s">
        <v>5650</v>
      </c>
      <c r="F135" s="589"/>
      <c r="G135" s="589"/>
      <c r="H135" s="589"/>
      <c r="I135" s="589"/>
      <c r="J135" s="589"/>
    </row>
    <row r="136" spans="1:10">
      <c r="A136" s="597"/>
      <c r="B136" s="597"/>
      <c r="C136" s="597"/>
      <c r="D136" s="597"/>
      <c r="E136" s="589"/>
      <c r="F136" s="589"/>
      <c r="G136" s="589"/>
      <c r="H136" s="589"/>
      <c r="I136" s="589"/>
      <c r="J136" s="589"/>
    </row>
    <row r="137" spans="1:10">
      <c r="A137" s="575" t="s">
        <v>5672</v>
      </c>
      <c r="B137" s="575"/>
      <c r="C137" s="575"/>
      <c r="D137" s="575"/>
      <c r="E137" s="575"/>
      <c r="F137" s="575"/>
      <c r="G137" s="575"/>
      <c r="H137" s="575"/>
      <c r="I137" s="575"/>
      <c r="J137" s="575"/>
    </row>
    <row r="138" spans="1:10">
      <c r="A138" s="322" t="s">
        <v>4946</v>
      </c>
      <c r="B138" s="322" t="s">
        <v>77</v>
      </c>
      <c r="C138" s="322" t="s">
        <v>5638</v>
      </c>
      <c r="D138" s="322" t="s">
        <v>482</v>
      </c>
      <c r="E138" s="322" t="s">
        <v>572</v>
      </c>
      <c r="F138" s="322" t="s">
        <v>944</v>
      </c>
      <c r="G138" s="578" t="s">
        <v>5640</v>
      </c>
      <c r="H138" s="578"/>
      <c r="I138" s="578"/>
      <c r="J138" s="578"/>
    </row>
    <row r="139" spans="1:10" ht="25.5">
      <c r="A139" s="328" t="s">
        <v>5607</v>
      </c>
      <c r="B139" s="324" t="s">
        <v>484</v>
      </c>
      <c r="C139" s="324" t="s">
        <v>392</v>
      </c>
      <c r="D139" s="324" t="s">
        <v>1096</v>
      </c>
      <c r="E139" s="324">
        <f t="shared" ref="E139:E144" si="1">IF(D139="Yes",1,0)</f>
        <v>0</v>
      </c>
      <c r="F139" s="324"/>
      <c r="G139" s="572"/>
      <c r="H139" s="572"/>
      <c r="I139" s="572"/>
      <c r="J139" s="572"/>
    </row>
    <row r="140" spans="1:10">
      <c r="A140" s="335" t="s">
        <v>5608</v>
      </c>
      <c r="B140" s="324" t="s">
        <v>484</v>
      </c>
      <c r="C140" s="332" t="s">
        <v>392</v>
      </c>
      <c r="D140" s="324" t="s">
        <v>1096</v>
      </c>
      <c r="E140" s="332">
        <f t="shared" si="1"/>
        <v>0</v>
      </c>
      <c r="F140" s="332"/>
      <c r="G140" s="572"/>
      <c r="H140" s="572"/>
      <c r="I140" s="572"/>
      <c r="J140" s="572"/>
    </row>
    <row r="141" spans="1:10" ht="25.5">
      <c r="A141" s="328" t="s">
        <v>5609</v>
      </c>
      <c r="B141" s="324" t="s">
        <v>484</v>
      </c>
      <c r="C141" s="324" t="s">
        <v>392</v>
      </c>
      <c r="D141" s="324" t="s">
        <v>1096</v>
      </c>
      <c r="E141" s="324">
        <f t="shared" si="1"/>
        <v>0</v>
      </c>
      <c r="F141" s="324"/>
      <c r="G141" s="572"/>
      <c r="H141" s="572"/>
      <c r="I141" s="572"/>
      <c r="J141" s="572"/>
    </row>
    <row r="142" spans="1:10">
      <c r="A142" s="335" t="s">
        <v>5631</v>
      </c>
      <c r="B142" s="324" t="s">
        <v>484</v>
      </c>
      <c r="C142" s="332" t="s">
        <v>392</v>
      </c>
      <c r="D142" s="324" t="s">
        <v>1096</v>
      </c>
      <c r="E142" s="332">
        <f t="shared" si="1"/>
        <v>0</v>
      </c>
      <c r="F142" s="332"/>
      <c r="G142" s="572"/>
      <c r="H142" s="572"/>
      <c r="I142" s="572"/>
      <c r="J142" s="572"/>
    </row>
    <row r="143" spans="1:10" ht="27.75" customHeight="1">
      <c r="A143" s="328" t="s">
        <v>5632</v>
      </c>
      <c r="B143" s="324" t="s">
        <v>484</v>
      </c>
      <c r="C143" s="324" t="s">
        <v>392</v>
      </c>
      <c r="D143" s="324" t="s">
        <v>1096</v>
      </c>
      <c r="E143" s="324">
        <f t="shared" si="1"/>
        <v>0</v>
      </c>
      <c r="F143" s="324"/>
      <c r="G143" s="572"/>
      <c r="H143" s="572"/>
      <c r="I143" s="572"/>
      <c r="J143" s="572"/>
    </row>
    <row r="144" spans="1:10" ht="29.25" customHeight="1">
      <c r="A144" s="335" t="s">
        <v>5633</v>
      </c>
      <c r="B144" s="324" t="s">
        <v>484</v>
      </c>
      <c r="C144" s="332" t="s">
        <v>392</v>
      </c>
      <c r="D144" s="332" t="s">
        <v>1096</v>
      </c>
      <c r="E144" s="332">
        <f t="shared" si="1"/>
        <v>0</v>
      </c>
      <c r="F144" s="332"/>
      <c r="G144" s="572"/>
      <c r="H144" s="572"/>
      <c r="I144" s="572"/>
      <c r="J144" s="572"/>
    </row>
    <row r="145" spans="1:10" ht="15.75">
      <c r="A145" s="930" t="s">
        <v>5651</v>
      </c>
      <c r="B145" s="586"/>
      <c r="C145" s="587">
        <f>IFERROR(SUM(E139:E144)/COUNTIF(C139:C144,"Yes"),"")</f>
        <v>0</v>
      </c>
      <c r="D145" s="588"/>
      <c r="E145" s="589" t="s">
        <v>5652</v>
      </c>
      <c r="F145" s="589"/>
      <c r="G145" s="589"/>
      <c r="H145" s="589"/>
      <c r="I145" s="589"/>
      <c r="J145" s="589"/>
    </row>
    <row r="146" spans="1:10" ht="20.25" customHeight="1">
      <c r="A146" s="192"/>
      <c r="B146" s="192"/>
      <c r="C146" s="192"/>
      <c r="D146" s="192"/>
      <c r="E146" s="192"/>
      <c r="F146" s="192"/>
      <c r="G146" s="192"/>
      <c r="H146" s="192"/>
      <c r="I146" s="192"/>
      <c r="J146" s="192"/>
    </row>
    <row r="147" spans="1:10">
      <c r="A147" s="575" t="s">
        <v>5673</v>
      </c>
      <c r="B147" s="582"/>
      <c r="C147" s="582"/>
      <c r="D147" s="317"/>
      <c r="E147" s="317"/>
      <c r="F147" s="317"/>
      <c r="G147" s="317"/>
      <c r="H147" s="317"/>
      <c r="I147" s="317"/>
      <c r="J147" s="317"/>
    </row>
    <row r="148" spans="1:10" ht="38.25">
      <c r="A148" s="318" t="s">
        <v>905</v>
      </c>
      <c r="B148" s="318" t="s">
        <v>830</v>
      </c>
      <c r="C148" s="318"/>
      <c r="D148" s="318"/>
      <c r="E148" s="318"/>
      <c r="F148" s="318"/>
      <c r="G148" s="318"/>
      <c r="H148" s="318"/>
      <c r="I148" s="318"/>
      <c r="J148" s="318"/>
    </row>
    <row r="149" spans="1:10">
      <c r="A149" s="315" t="s">
        <v>1086</v>
      </c>
      <c r="B149" s="594" t="s">
        <v>3292</v>
      </c>
      <c r="C149" s="582"/>
      <c r="D149" s="582"/>
      <c r="E149" s="582"/>
      <c r="F149" s="582"/>
      <c r="G149" s="582"/>
      <c r="H149" s="582"/>
      <c r="I149" s="582"/>
      <c r="J149" s="582"/>
    </row>
    <row r="150" spans="1:10" ht="25.5">
      <c r="A150" s="315" t="s">
        <v>2090</v>
      </c>
      <c r="B150" s="594" t="s">
        <v>3293</v>
      </c>
      <c r="C150" s="582"/>
      <c r="D150" s="582"/>
      <c r="E150" s="582"/>
      <c r="F150" s="582"/>
      <c r="G150" s="582"/>
      <c r="H150" s="582"/>
      <c r="I150" s="582"/>
      <c r="J150" s="582"/>
    </row>
    <row r="151" spans="1:10">
      <c r="A151" s="315" t="s">
        <v>1089</v>
      </c>
      <c r="B151" s="594" t="s">
        <v>3294</v>
      </c>
      <c r="C151" s="582"/>
      <c r="D151" s="582"/>
      <c r="E151" s="582"/>
      <c r="F151" s="582"/>
      <c r="G151" s="582"/>
      <c r="H151" s="582"/>
      <c r="I151" s="582"/>
      <c r="J151" s="582"/>
    </row>
    <row r="152" spans="1:10">
      <c r="A152" s="315" t="s">
        <v>1090</v>
      </c>
      <c r="B152" s="594" t="s">
        <v>3295</v>
      </c>
      <c r="C152" s="582"/>
      <c r="D152" s="582"/>
      <c r="E152" s="582"/>
      <c r="F152" s="582"/>
      <c r="G152" s="582"/>
      <c r="H152" s="582"/>
      <c r="I152" s="582"/>
      <c r="J152" s="582"/>
    </row>
    <row r="153" spans="1:10">
      <c r="A153" s="315" t="s">
        <v>1088</v>
      </c>
      <c r="B153" s="594" t="s">
        <v>3296</v>
      </c>
      <c r="C153" s="582"/>
      <c r="D153" s="582"/>
      <c r="E153" s="582"/>
      <c r="F153" s="582"/>
      <c r="G153" s="582"/>
      <c r="H153" s="582"/>
      <c r="I153" s="582"/>
      <c r="J153" s="582"/>
    </row>
    <row r="154" spans="1:10" ht="25.5">
      <c r="A154" s="315" t="s">
        <v>3297</v>
      </c>
      <c r="B154" s="594" t="s">
        <v>3298</v>
      </c>
      <c r="C154" s="582"/>
      <c r="D154" s="582"/>
      <c r="E154" s="582"/>
      <c r="F154" s="582"/>
      <c r="G154" s="582"/>
      <c r="H154" s="582"/>
      <c r="I154" s="582"/>
      <c r="J154" s="582"/>
    </row>
    <row r="155" spans="1:10">
      <c r="A155" s="315" t="s">
        <v>1563</v>
      </c>
      <c r="B155" s="594" t="s">
        <v>1776</v>
      </c>
      <c r="C155" s="582"/>
      <c r="D155" s="582"/>
      <c r="E155" s="582"/>
      <c r="F155" s="582"/>
      <c r="G155" s="582"/>
      <c r="H155" s="582"/>
      <c r="I155" s="582"/>
      <c r="J155" s="582"/>
    </row>
    <row r="156" spans="1:10">
      <c r="A156" s="227"/>
      <c r="B156" s="227"/>
      <c r="C156" s="227"/>
      <c r="D156" s="227"/>
      <c r="E156" s="227"/>
      <c r="F156" s="227"/>
      <c r="G156" s="227"/>
      <c r="H156" s="227"/>
      <c r="I156" s="227"/>
      <c r="J156" s="227"/>
    </row>
    <row r="157" spans="1:10" ht="18" hidden="1">
      <c r="A157" s="598" t="s">
        <v>5562</v>
      </c>
      <c r="B157" s="598"/>
      <c r="C157" s="598"/>
      <c r="D157" s="598"/>
      <c r="E157" s="598"/>
      <c r="F157" s="598"/>
      <c r="G157" s="598"/>
      <c r="H157" s="598"/>
      <c r="I157" s="227"/>
      <c r="J157" s="227"/>
    </row>
    <row r="158" spans="1:10" hidden="1">
      <c r="A158" s="272" t="s">
        <v>2</v>
      </c>
      <c r="B158" s="591" t="s">
        <v>5563</v>
      </c>
      <c r="C158" s="591"/>
      <c r="D158" s="591"/>
      <c r="E158" s="591"/>
      <c r="F158" s="591"/>
      <c r="G158" s="591"/>
      <c r="H158" s="591"/>
      <c r="I158" s="227"/>
      <c r="J158" s="227"/>
    </row>
    <row r="159" spans="1:10" hidden="1">
      <c r="A159" s="272" t="s">
        <v>5564</v>
      </c>
      <c r="B159" s="591" t="s">
        <v>5565</v>
      </c>
      <c r="C159" s="591"/>
      <c r="D159" s="591"/>
      <c r="E159" s="591"/>
      <c r="F159" s="591"/>
      <c r="G159" s="591"/>
      <c r="H159" s="591"/>
      <c r="I159" s="227"/>
      <c r="J159" s="227"/>
    </row>
    <row r="160" spans="1:10" hidden="1">
      <c r="A160" s="192"/>
      <c r="B160" s="192"/>
      <c r="C160" s="192"/>
      <c r="D160" s="192"/>
      <c r="E160" s="192"/>
      <c r="F160" s="192"/>
      <c r="G160" s="192"/>
      <c r="H160" s="192"/>
      <c r="I160" s="227"/>
      <c r="J160" s="227"/>
    </row>
    <row r="161" spans="1:10" hidden="1">
      <c r="A161" s="319" t="s">
        <v>4946</v>
      </c>
      <c r="B161" s="319" t="s">
        <v>77</v>
      </c>
      <c r="C161" s="319" t="s">
        <v>5566</v>
      </c>
      <c r="D161" s="319" t="s">
        <v>263</v>
      </c>
      <c r="E161" s="319" t="s">
        <v>216</v>
      </c>
      <c r="F161" s="319" t="s">
        <v>5567</v>
      </c>
      <c r="G161" s="319" t="s">
        <v>5568</v>
      </c>
      <c r="H161" s="319" t="s">
        <v>5569</v>
      </c>
      <c r="I161" s="227"/>
      <c r="J161" s="227"/>
    </row>
    <row r="162" spans="1:10" ht="25.5" hidden="1">
      <c r="A162" s="273" t="s">
        <v>5570</v>
      </c>
      <c r="B162" s="274" t="s">
        <v>1096</v>
      </c>
      <c r="C162" s="273"/>
      <c r="D162" s="273"/>
      <c r="E162" s="273"/>
      <c r="F162" s="273"/>
      <c r="G162" s="275" t="str">
        <f t="shared" ref="G162:G169" si="2">IF(OR(B162="Yes",B162="N/A"),"🟢","🟡")</f>
        <v>🟡</v>
      </c>
      <c r="H162" s="273"/>
      <c r="I162" s="227"/>
      <c r="J162" s="227"/>
    </row>
    <row r="163" spans="1:10" hidden="1">
      <c r="A163" s="273" t="s">
        <v>5571</v>
      </c>
      <c r="B163" s="274" t="s">
        <v>1096</v>
      </c>
      <c r="C163" s="273"/>
      <c r="D163" s="273"/>
      <c r="E163" s="273"/>
      <c r="F163" s="273"/>
      <c r="G163" s="275" t="str">
        <f t="shared" si="2"/>
        <v>🟡</v>
      </c>
      <c r="H163" s="273"/>
      <c r="I163" s="227"/>
      <c r="J163" s="227"/>
    </row>
    <row r="164" spans="1:10" hidden="1">
      <c r="A164" s="273" t="s">
        <v>5572</v>
      </c>
      <c r="B164" s="274" t="s">
        <v>1096</v>
      </c>
      <c r="C164" s="273"/>
      <c r="D164" s="273"/>
      <c r="E164" s="273"/>
      <c r="F164" s="273"/>
      <c r="G164" s="275" t="str">
        <f t="shared" si="2"/>
        <v>🟡</v>
      </c>
      <c r="H164" s="273"/>
      <c r="I164" s="227"/>
      <c r="J164" s="227"/>
    </row>
    <row r="165" spans="1:10" hidden="1">
      <c r="A165" s="273" t="s">
        <v>5168</v>
      </c>
      <c r="B165" s="274" t="s">
        <v>1096</v>
      </c>
      <c r="C165" s="273"/>
      <c r="D165" s="273"/>
      <c r="E165" s="273"/>
      <c r="F165" s="273"/>
      <c r="G165" s="275" t="str">
        <f t="shared" si="2"/>
        <v>🟡</v>
      </c>
      <c r="H165" s="273"/>
      <c r="I165" s="227"/>
      <c r="J165" s="227"/>
    </row>
    <row r="166" spans="1:10" hidden="1">
      <c r="A166" s="273" t="s">
        <v>5573</v>
      </c>
      <c r="B166" s="274" t="s">
        <v>1096</v>
      </c>
      <c r="C166" s="273"/>
      <c r="D166" s="273"/>
      <c r="E166" s="273"/>
      <c r="F166" s="273"/>
      <c r="G166" s="275" t="str">
        <f t="shared" si="2"/>
        <v>🟡</v>
      </c>
      <c r="H166" s="273"/>
      <c r="I166" s="227"/>
      <c r="J166" s="227"/>
    </row>
    <row r="167" spans="1:10" hidden="1">
      <c r="A167" s="273" t="s">
        <v>5574</v>
      </c>
      <c r="B167" s="274" t="s">
        <v>1096</v>
      </c>
      <c r="C167" s="273"/>
      <c r="D167" s="273"/>
      <c r="E167" s="273"/>
      <c r="F167" s="273"/>
      <c r="G167" s="275" t="str">
        <f t="shared" si="2"/>
        <v>🟡</v>
      </c>
      <c r="H167" s="273"/>
      <c r="I167" s="227"/>
      <c r="J167" s="227"/>
    </row>
    <row r="168" spans="1:10" hidden="1">
      <c r="A168" s="273" t="s">
        <v>178</v>
      </c>
      <c r="B168" s="274" t="s">
        <v>1096</v>
      </c>
      <c r="C168" s="273"/>
      <c r="D168" s="273"/>
      <c r="E168" s="273"/>
      <c r="F168" s="273"/>
      <c r="G168" s="275" t="str">
        <f t="shared" si="2"/>
        <v>🟡</v>
      </c>
      <c r="H168" s="273"/>
      <c r="I168" s="227"/>
      <c r="J168" s="227"/>
    </row>
    <row r="169" spans="1:10" ht="25.5" hidden="1">
      <c r="A169" s="273" t="s">
        <v>5575</v>
      </c>
      <c r="B169" s="274" t="s">
        <v>1096</v>
      </c>
      <c r="C169" s="273"/>
      <c r="D169" s="273"/>
      <c r="E169" s="273"/>
      <c r="F169" s="273"/>
      <c r="G169" s="275" t="str">
        <f t="shared" si="2"/>
        <v>🟡</v>
      </c>
      <c r="H169" s="273"/>
      <c r="I169" s="227"/>
      <c r="J169" s="227"/>
    </row>
    <row r="170" spans="1:10" ht="42" hidden="1" customHeight="1">
      <c r="A170" s="320" t="s">
        <v>4946</v>
      </c>
      <c r="B170" s="320" t="s">
        <v>5583</v>
      </c>
      <c r="C170" s="192"/>
      <c r="D170" s="192"/>
      <c r="E170" s="320" t="s">
        <v>5584</v>
      </c>
      <c r="F170" s="192"/>
      <c r="G170" s="192"/>
      <c r="H170" s="192"/>
      <c r="I170" s="227"/>
      <c r="J170" s="227"/>
    </row>
    <row r="171" spans="1:10" ht="42" hidden="1" customHeight="1">
      <c r="A171" s="287" t="s">
        <v>5570</v>
      </c>
      <c r="B171" s="577" t="s">
        <v>5585</v>
      </c>
      <c r="C171" s="577"/>
      <c r="D171" s="577"/>
      <c r="E171" s="577" t="s">
        <v>5586</v>
      </c>
      <c r="F171" s="577"/>
      <c r="G171" s="577"/>
      <c r="H171" s="192"/>
      <c r="I171" s="227"/>
      <c r="J171" s="227"/>
    </row>
    <row r="172" spans="1:10" ht="42" hidden="1" customHeight="1">
      <c r="A172" s="287" t="s">
        <v>5571</v>
      </c>
      <c r="B172" s="577" t="s">
        <v>5587</v>
      </c>
      <c r="C172" s="577"/>
      <c r="D172" s="577"/>
      <c r="E172" s="577" t="s">
        <v>5588</v>
      </c>
      <c r="F172" s="577"/>
      <c r="G172" s="577"/>
      <c r="H172" s="192"/>
      <c r="I172" s="227"/>
      <c r="J172" s="227"/>
    </row>
    <row r="173" spans="1:10" ht="42" hidden="1" customHeight="1">
      <c r="A173" s="287" t="s">
        <v>5572</v>
      </c>
      <c r="B173" s="577" t="s">
        <v>5589</v>
      </c>
      <c r="C173" s="577"/>
      <c r="D173" s="577"/>
      <c r="E173" s="577" t="s">
        <v>5590</v>
      </c>
      <c r="F173" s="577"/>
      <c r="G173" s="577"/>
      <c r="H173" s="192"/>
      <c r="I173" s="227"/>
      <c r="J173" s="227"/>
    </row>
    <row r="174" spans="1:10" ht="42" hidden="1" customHeight="1">
      <c r="A174" s="287" t="s">
        <v>5168</v>
      </c>
      <c r="B174" s="577" t="s">
        <v>5591</v>
      </c>
      <c r="C174" s="577"/>
      <c r="D174" s="577"/>
      <c r="E174" s="577" t="s">
        <v>5592</v>
      </c>
      <c r="F174" s="577"/>
      <c r="G174" s="577"/>
      <c r="H174" s="192"/>
      <c r="I174" s="227"/>
      <c r="J174" s="227"/>
    </row>
    <row r="175" spans="1:10" ht="42" hidden="1" customHeight="1">
      <c r="A175" s="287" t="s">
        <v>5573</v>
      </c>
      <c r="B175" s="577" t="s">
        <v>5593</v>
      </c>
      <c r="C175" s="577"/>
      <c r="D175" s="577"/>
      <c r="E175" s="577" t="s">
        <v>5594</v>
      </c>
      <c r="F175" s="577"/>
      <c r="G175" s="577"/>
      <c r="H175" s="192"/>
      <c r="I175" s="227"/>
      <c r="J175" s="227"/>
    </row>
    <row r="176" spans="1:10" ht="42" hidden="1" customHeight="1">
      <c r="A176" s="287" t="s">
        <v>5574</v>
      </c>
      <c r="B176" s="577" t="s">
        <v>5595</v>
      </c>
      <c r="C176" s="577"/>
      <c r="D176" s="577"/>
      <c r="E176" s="577" t="s">
        <v>5596</v>
      </c>
      <c r="F176" s="577"/>
      <c r="G176" s="577"/>
      <c r="H176" s="192"/>
      <c r="I176" s="227"/>
      <c r="J176" s="227"/>
    </row>
    <row r="177" spans="1:10" ht="42" hidden="1" customHeight="1">
      <c r="A177" s="287" t="s">
        <v>178</v>
      </c>
      <c r="B177" s="577" t="s">
        <v>5597</v>
      </c>
      <c r="C177" s="577"/>
      <c r="D177" s="577"/>
      <c r="E177" s="577" t="s">
        <v>5598</v>
      </c>
      <c r="F177" s="577"/>
      <c r="G177" s="577"/>
      <c r="H177" s="192"/>
      <c r="I177" s="227"/>
      <c r="J177" s="227"/>
    </row>
    <row r="178" spans="1:10" ht="42" hidden="1" customHeight="1">
      <c r="A178" s="287" t="s">
        <v>5575</v>
      </c>
      <c r="B178" s="577" t="s">
        <v>5599</v>
      </c>
      <c r="C178" s="577"/>
      <c r="D178" s="577"/>
      <c r="E178" s="577" t="s">
        <v>5600</v>
      </c>
      <c r="F178" s="577"/>
      <c r="G178" s="577"/>
      <c r="H178" s="192"/>
      <c r="I178" s="227"/>
      <c r="J178" s="227"/>
    </row>
    <row r="179" spans="1:10" hidden="1">
      <c r="A179" s="272" t="s">
        <v>5576</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5577</v>
      </c>
      <c r="B180" s="276">
        <f>COUNTIF(B162:B169,"No")</f>
        <v>8</v>
      </c>
      <c r="C180" s="276"/>
      <c r="D180" s="276"/>
      <c r="E180" s="276"/>
      <c r="F180" s="276"/>
      <c r="G180" s="276"/>
      <c r="H180" s="276"/>
    </row>
    <row r="181" spans="1:10" hidden="1">
      <c r="A181" s="272" t="s">
        <v>5578</v>
      </c>
      <c r="B181" s="276" t="str">
        <f>COUNTIF(B162:B169,"Yes")&amp;" / 8 Complete"</f>
        <v>0 / 8 Complete</v>
      </c>
      <c r="C181" s="276"/>
      <c r="D181" s="276"/>
      <c r="E181" s="276"/>
      <c r="F181" s="276"/>
      <c r="G181" s="276"/>
      <c r="H181" s="276"/>
    </row>
    <row r="182" spans="1:10" ht="90" hidden="1">
      <c r="A182" s="277" t="s">
        <v>5579</v>
      </c>
      <c r="B182" s="278" t="s">
        <v>5580</v>
      </c>
      <c r="C182" s="278"/>
      <c r="D182" s="278"/>
      <c r="E182" s="278"/>
      <c r="F182" s="278"/>
      <c r="G182" s="278"/>
      <c r="H182" s="278"/>
    </row>
    <row r="183" spans="1:10" hidden="1">
      <c r="A183" s="277"/>
      <c r="B183" s="278"/>
      <c r="C183" s="278"/>
      <c r="D183" s="278"/>
      <c r="E183" s="278"/>
      <c r="F183" s="278"/>
      <c r="G183" s="278"/>
      <c r="H183" s="278"/>
    </row>
    <row r="184" spans="1:10" ht="64.5" hidden="1">
      <c r="A184" s="277" t="s">
        <v>5581</v>
      </c>
      <c r="B184" s="278" t="s">
        <v>5582</v>
      </c>
      <c r="C184" s="278"/>
      <c r="D184" s="278"/>
      <c r="E184" s="278"/>
      <c r="F184" s="278"/>
      <c r="G184" s="278"/>
      <c r="H184" s="278"/>
    </row>
    <row r="185" spans="1:10">
      <c r="A185" s="575" t="s">
        <v>5694</v>
      </c>
      <c r="B185" s="575"/>
      <c r="C185" s="575"/>
      <c r="D185" s="575"/>
      <c r="E185" s="575"/>
      <c r="F185" s="575"/>
      <c r="G185" s="575"/>
      <c r="H185" s="575"/>
      <c r="I185" s="575"/>
      <c r="J185" s="575"/>
    </row>
    <row r="186" spans="1:10">
      <c r="A186" s="336" t="s">
        <v>5679</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5680</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5" t="s">
        <v>5695</v>
      </c>
      <c r="B196" s="575"/>
      <c r="C196" s="575"/>
      <c r="D196" s="575"/>
      <c r="E196" s="575"/>
      <c r="F196" s="575"/>
      <c r="G196" s="575"/>
      <c r="H196" s="575"/>
      <c r="I196" s="575"/>
      <c r="J196" s="575"/>
    </row>
    <row r="197" spans="1:10">
      <c r="A197" s="192"/>
      <c r="B197" s="192"/>
      <c r="C197" s="192"/>
      <c r="D197" s="192"/>
      <c r="E197" s="192"/>
      <c r="F197" s="192"/>
      <c r="G197" s="192"/>
      <c r="H197" s="192"/>
      <c r="I197" s="192"/>
      <c r="J197" s="192"/>
    </row>
    <row r="198" spans="1:10">
      <c r="A198" s="192" t="s">
        <v>5683</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5" t="s">
        <v>5696</v>
      </c>
      <c r="B206" s="575"/>
      <c r="C206" s="575"/>
      <c r="D206" s="575"/>
      <c r="E206" s="575"/>
      <c r="F206" s="575"/>
      <c r="G206" s="575"/>
      <c r="H206" s="575"/>
      <c r="I206" s="575"/>
      <c r="J206" s="575"/>
    </row>
    <row r="207" spans="1:10">
      <c r="A207" s="192"/>
      <c r="B207" s="192"/>
      <c r="C207" s="192"/>
      <c r="D207" s="192"/>
      <c r="E207" s="192"/>
      <c r="F207" s="192"/>
      <c r="G207" s="192"/>
      <c r="H207" s="192"/>
      <c r="I207" s="192"/>
      <c r="J207" s="192"/>
    </row>
    <row r="208" spans="1:10">
      <c r="A208" s="192" t="s">
        <v>5686</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5687</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5" t="s">
        <v>5697</v>
      </c>
      <c r="B218" s="575"/>
      <c r="C218" s="575"/>
      <c r="D218" s="575"/>
      <c r="E218" s="575"/>
      <c r="F218" s="575"/>
      <c r="G218" s="575"/>
      <c r="H218" s="575"/>
      <c r="I218" s="575"/>
      <c r="J218" s="575"/>
    </row>
    <row r="219" spans="1:10">
      <c r="A219" s="192"/>
      <c r="B219" s="192"/>
      <c r="C219" s="192"/>
      <c r="D219" s="192"/>
      <c r="E219" s="192"/>
      <c r="F219" s="192"/>
      <c r="G219" s="192"/>
      <c r="H219" s="192"/>
      <c r="I219" s="192"/>
      <c r="J219" s="192"/>
    </row>
    <row r="220" spans="1:10">
      <c r="A220" s="192" t="s">
        <v>5690</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5691</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5692</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5693</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599"/>
      <c r="H240" s="599"/>
      <c r="I240" s="599"/>
      <c r="J240" s="599"/>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718" priority="21">
      <formula>B101="Complete"</formula>
    </cfRule>
    <cfRule type="expression" dxfId="717" priority="22">
      <formula>B101="In Progress"</formula>
    </cfRule>
    <cfRule type="expression" dxfId="716" priority="23">
      <formula>B101="At Risk"</formula>
    </cfRule>
    <cfRule type="expression" dxfId="715" priority="24">
      <formula>B101="Blocked"</formula>
    </cfRule>
    <cfRule type="expression" dxfId="714" priority="25">
      <formula>B101="Not Started"</formula>
    </cfRule>
  </conditionalFormatting>
  <conditionalFormatting sqref="B110:B117">
    <cfRule type="expression" dxfId="713" priority="1">
      <formula>B110="Complete"</formula>
    </cfRule>
    <cfRule type="expression" dxfId="712" priority="2">
      <formula>B110="In Progress"</formula>
    </cfRule>
    <cfRule type="expression" dxfId="711" priority="3">
      <formula>B110="At Risk"</formula>
    </cfRule>
    <cfRule type="expression" dxfId="710" priority="4">
      <formula>B110="Blocked"</formula>
    </cfRule>
    <cfRule type="expression" dxfId="709" priority="5">
      <formula>B110="Not Started"</formula>
    </cfRule>
  </conditionalFormatting>
  <conditionalFormatting sqref="B122:B126">
    <cfRule type="expression" dxfId="708" priority="30">
      <formula>B122="Not Started"</formula>
    </cfRule>
    <cfRule type="expression" dxfId="707" priority="29">
      <formula>B122="Blocked"</formula>
    </cfRule>
    <cfRule type="expression" dxfId="706" priority="28">
      <formula>B122="At Risk"</formula>
    </cfRule>
    <cfRule type="expression" dxfId="705" priority="27">
      <formula>B122="In Progress"</formula>
    </cfRule>
    <cfRule type="expression" dxfId="704" priority="26">
      <formula>B122="Complete"</formula>
    </cfRule>
  </conditionalFormatting>
  <conditionalFormatting sqref="B131:B134">
    <cfRule type="expression" dxfId="703" priority="6">
      <formula>B131="Complete"</formula>
    </cfRule>
    <cfRule type="expression" dxfId="702" priority="7">
      <formula>B131="In Progress"</formula>
    </cfRule>
    <cfRule type="expression" dxfId="701" priority="8">
      <formula>B131="At Risk"</formula>
    </cfRule>
    <cfRule type="expression" dxfId="700" priority="9">
      <formula>B131="Blocked"</formula>
    </cfRule>
    <cfRule type="expression" dxfId="699" priority="10">
      <formula>B131="Not Started"</formula>
    </cfRule>
  </conditionalFormatting>
  <conditionalFormatting sqref="B139:B144">
    <cfRule type="expression" dxfId="698" priority="11">
      <formula>B139="Complete"</formula>
    </cfRule>
    <cfRule type="expression" dxfId="697" priority="12">
      <formula>B139="In Progress"</formula>
    </cfRule>
    <cfRule type="expression" dxfId="696" priority="13">
      <formula>B139="At Risk"</formula>
    </cfRule>
    <cfRule type="expression" dxfId="695" priority="14">
      <formula>B139="Blocked"</formula>
    </cfRule>
    <cfRule type="expression" dxfId="694" priority="15">
      <formula>B139="Not Started"</formula>
    </cfRule>
  </conditionalFormatting>
  <conditionalFormatting sqref="B162:B169">
    <cfRule type="expression" dxfId="693" priority="82">
      <formula>B162="Yes"</formula>
    </cfRule>
    <cfRule type="expression" dxfId="692" priority="83">
      <formula>B162="N/A"</formula>
    </cfRule>
    <cfRule type="expression" dxfId="691" priority="84">
      <formula>B162="No"</formula>
    </cfRule>
  </conditionalFormatting>
  <conditionalFormatting sqref="B179:H179">
    <cfRule type="expression" dxfId="690" priority="86">
      <formula>COUNTIF($B$6:$B$13,"No")&gt;0</formula>
    </cfRule>
    <cfRule type="expression" dxfId="689" priority="85">
      <formula>COUNTIF($B$6:$B$13,"No")=0</formula>
    </cfRule>
  </conditionalFormatting>
  <conditionalFormatting sqref="C106:D106">
    <cfRule type="dataBar" priority="37">
      <dataBar>
        <cfvo type="num" val="0"/>
        <cfvo type="num" val="1"/>
        <color rgb="FF5B9BD5"/>
      </dataBar>
    </cfRule>
  </conditionalFormatting>
  <conditionalFormatting sqref="C110:D117">
    <cfRule type="expression" dxfId="688" priority="32">
      <formula>C110="No"</formula>
    </cfRule>
    <cfRule type="expression" dxfId="687" priority="31">
      <formula>C110="Yes"</formula>
    </cfRule>
    <cfRule type="expression" dxfId="68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685" priority="17">
      <formula>C139="No"</formula>
    </cfRule>
    <cfRule type="expression" dxfId="684" priority="16">
      <formula>C139="Yes"</formula>
    </cfRule>
    <cfRule type="expression" dxfId="68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682" priority="87">
      <formula>E5="Pass"</formula>
    </cfRule>
    <cfRule type="expression" dxfId="681" priority="88">
      <formula>E5="Verify"</formula>
    </cfRule>
    <cfRule type="expression" dxfId="680" priority="89">
      <formula>E5="Fail"</formula>
    </cfRule>
    <cfRule type="expression" dxfId="679" priority="90">
      <formula>E5="Not Started"</formula>
    </cfRule>
  </conditionalFormatting>
  <conditionalFormatting sqref="F3">
    <cfRule type="expression" dxfId="678" priority="91">
      <formula>F3="Yes"</formula>
    </cfRule>
    <cfRule type="expression" dxfId="677" priority="92">
      <formula>F3="No"</formula>
    </cfRule>
  </conditionalFormatting>
  <conditionalFormatting sqref="F122:F126">
    <cfRule type="expression" dxfId="676" priority="35">
      <formula>F122="Fail"</formula>
    </cfRule>
    <cfRule type="expression" dxfId="675" priority="36">
      <formula>F122="Pending"</formula>
    </cfRule>
    <cfRule type="expression" dxfId="674" priority="34">
      <formula>F122="Pass"</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Lookup_Lists!$L$37:$L$39</xm:f>
          </x14:formula1>
          <xm:sqref>C122:E126 J2</xm:sqref>
        </x14:dataValidation>
        <x14:dataValidation type="list" allowBlank="1" showInputMessage="1" showErrorMessage="1" xr:uid="{04F48040-CDCF-46F3-BEC9-958CEFCDE7F4}">
          <x14:formula1>
            <xm:f>Lookup_Lists!$A$36:$A$42</xm:f>
          </x14:formula1>
          <xm:sqref>B101:B105 B110:B117 B139:B144</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2663</v>
      </c>
      <c r="B1" s="896"/>
      <c r="C1" s="896"/>
      <c r="D1" s="896"/>
      <c r="E1" s="896"/>
      <c r="F1" s="896"/>
      <c r="G1" s="896"/>
      <c r="H1" s="896"/>
      <c r="I1" s="896"/>
      <c r="J1" s="896"/>
    </row>
    <row r="2" spans="1:10" s="223" customFormat="1">
      <c r="A2" s="219" t="s">
        <v>142</v>
      </c>
      <c r="B2" s="220" t="s">
        <v>705</v>
      </c>
      <c r="C2" s="219" t="s">
        <v>902</v>
      </c>
      <c r="D2" s="220" t="s">
        <v>1094</v>
      </c>
      <c r="E2" s="219" t="s">
        <v>151</v>
      </c>
      <c r="F2" s="220" t="s">
        <v>1095</v>
      </c>
      <c r="G2" s="219" t="s">
        <v>174</v>
      </c>
      <c r="H2" s="221">
        <v>0.5</v>
      </c>
      <c r="I2" s="219" t="s">
        <v>154</v>
      </c>
      <c r="J2" s="222" t="s">
        <v>1096</v>
      </c>
    </row>
    <row r="3" spans="1:10" s="227" customFormat="1" ht="25.5">
      <c r="A3" s="219" t="s">
        <v>903</v>
      </c>
      <c r="B3" s="224">
        <v>46198.666316898147</v>
      </c>
      <c r="C3" s="225" t="s">
        <v>904</v>
      </c>
      <c r="D3" s="226" t="s">
        <v>721</v>
      </c>
      <c r="E3" s="219" t="s">
        <v>905</v>
      </c>
      <c r="F3" s="226" t="s">
        <v>2664</v>
      </c>
      <c r="G3" s="219" t="s">
        <v>907</v>
      </c>
      <c r="H3" s="226" t="s">
        <v>908</v>
      </c>
      <c r="I3" s="219" t="s">
        <v>551</v>
      </c>
      <c r="J3" s="226" t="s">
        <v>2665</v>
      </c>
    </row>
    <row r="4" spans="1:10" s="227" customFormat="1" ht="178.5">
      <c r="A4" s="219" t="s">
        <v>161</v>
      </c>
      <c r="B4" s="226">
        <v>0</v>
      </c>
      <c r="C4" s="219" t="s">
        <v>199</v>
      </c>
      <c r="D4" s="226">
        <v>0</v>
      </c>
      <c r="E4" s="219" t="s">
        <v>179</v>
      </c>
      <c r="F4" s="226">
        <v>0</v>
      </c>
      <c r="G4" s="219" t="s">
        <v>870</v>
      </c>
      <c r="H4" s="228" t="s">
        <v>2666</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5.25" customHeight="1">
      <c r="A6" s="234" t="s">
        <v>916</v>
      </c>
      <c r="B6" s="221" t="s">
        <v>677</v>
      </c>
      <c r="C6" s="235" t="s">
        <v>869</v>
      </c>
      <c r="D6" s="604" t="s">
        <v>2667</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2">
      <c r="A10" s="13" t="s">
        <v>705</v>
      </c>
      <c r="B10" s="13" t="s">
        <v>706</v>
      </c>
      <c r="C10" s="13" t="s">
        <v>919</v>
      </c>
      <c r="D10" s="13" t="s">
        <v>2562</v>
      </c>
      <c r="E10" s="13" t="s">
        <v>356</v>
      </c>
      <c r="F10" s="13">
        <v>1</v>
      </c>
      <c r="G10" s="13">
        <v>1</v>
      </c>
      <c r="H10" s="13" t="s">
        <v>677</v>
      </c>
      <c r="I10" s="13" t="s">
        <v>2668</v>
      </c>
      <c r="J10" s="13" t="s">
        <v>2669</v>
      </c>
    </row>
    <row r="11" spans="1:10" ht="76.5">
      <c r="A11" s="13" t="s">
        <v>705</v>
      </c>
      <c r="B11" s="13" t="s">
        <v>2670</v>
      </c>
      <c r="C11" s="13" t="s">
        <v>919</v>
      </c>
      <c r="D11" s="13" t="s">
        <v>2671</v>
      </c>
      <c r="E11" s="13" t="s">
        <v>925</v>
      </c>
      <c r="F11" s="13">
        <v>1</v>
      </c>
      <c r="G11" s="13">
        <v>0</v>
      </c>
      <c r="H11" s="13" t="s">
        <v>677</v>
      </c>
      <c r="I11" s="13" t="s">
        <v>2672</v>
      </c>
      <c r="J11" s="13" t="s">
        <v>2673</v>
      </c>
    </row>
    <row r="12" spans="1:10" ht="89.25">
      <c r="A12" s="13" t="s">
        <v>705</v>
      </c>
      <c r="B12" s="13" t="s">
        <v>2674</v>
      </c>
      <c r="C12" s="13" t="s">
        <v>933</v>
      </c>
      <c r="D12" s="13" t="s">
        <v>2566</v>
      </c>
      <c r="E12" s="13" t="s">
        <v>925</v>
      </c>
      <c r="F12" s="13">
        <v>1</v>
      </c>
      <c r="G12" s="13">
        <v>0</v>
      </c>
      <c r="H12" s="13" t="s">
        <v>677</v>
      </c>
      <c r="I12" s="13" t="s">
        <v>2672</v>
      </c>
      <c r="J12" s="13" t="s">
        <v>2675</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9.25">
      <c r="A16" s="13" t="s">
        <v>706</v>
      </c>
      <c r="B16" s="13" t="s">
        <v>677</v>
      </c>
      <c r="C16" s="13" t="s">
        <v>677</v>
      </c>
      <c r="D16" s="13" t="s">
        <v>677</v>
      </c>
      <c r="E16" s="13" t="s">
        <v>677</v>
      </c>
      <c r="F16" s="13" t="s">
        <v>677</v>
      </c>
      <c r="G16" s="13" t="s">
        <v>677</v>
      </c>
      <c r="H16" s="13" t="s">
        <v>677</v>
      </c>
      <c r="I16" s="13" t="s">
        <v>677</v>
      </c>
      <c r="J16" s="13" t="s">
        <v>2676</v>
      </c>
    </row>
    <row r="17" spans="1:10" ht="63.75">
      <c r="A17" s="13" t="s">
        <v>2670</v>
      </c>
      <c r="B17" s="13" t="s">
        <v>946</v>
      </c>
      <c r="C17" s="13" t="s">
        <v>946</v>
      </c>
      <c r="D17" s="13" t="s">
        <v>946</v>
      </c>
      <c r="E17" s="13" t="s">
        <v>677</v>
      </c>
      <c r="F17" s="13" t="s">
        <v>677</v>
      </c>
      <c r="G17" s="13" t="s">
        <v>677</v>
      </c>
      <c r="H17" s="13" t="s">
        <v>677</v>
      </c>
      <c r="I17" s="13" t="s">
        <v>677</v>
      </c>
      <c r="J17" s="13" t="s">
        <v>2677</v>
      </c>
    </row>
    <row r="18" spans="1:10" ht="51">
      <c r="A18" s="13" t="s">
        <v>2674</v>
      </c>
      <c r="B18" s="13" t="s">
        <v>946</v>
      </c>
      <c r="C18" s="13" t="s">
        <v>946</v>
      </c>
      <c r="D18" s="13" t="s">
        <v>946</v>
      </c>
      <c r="E18" s="13" t="s">
        <v>677</v>
      </c>
      <c r="F18" s="13" t="s">
        <v>677</v>
      </c>
      <c r="G18" s="13" t="s">
        <v>677</v>
      </c>
      <c r="H18" s="13" t="s">
        <v>677</v>
      </c>
      <c r="I18" s="13" t="s">
        <v>677</v>
      </c>
      <c r="J18" s="13" t="s">
        <v>2678</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706</v>
      </c>
      <c r="B22" s="13" t="s">
        <v>677</v>
      </c>
      <c r="C22" s="13" t="s">
        <v>677</v>
      </c>
      <c r="D22" s="13" t="s">
        <v>677</v>
      </c>
      <c r="E22" s="13" t="s">
        <v>677</v>
      </c>
      <c r="F22" s="13" t="s">
        <v>677</v>
      </c>
      <c r="G22" s="13" t="s">
        <v>677</v>
      </c>
      <c r="H22" s="13" t="s">
        <v>677</v>
      </c>
      <c r="I22" s="13" t="s">
        <v>677</v>
      </c>
      <c r="J22" s="13" t="s">
        <v>2486</v>
      </c>
    </row>
    <row r="23" spans="1:10" ht="51">
      <c r="A23" s="13" t="s">
        <v>2670</v>
      </c>
      <c r="B23" s="13" t="s">
        <v>677</v>
      </c>
      <c r="C23" s="13" t="s">
        <v>679</v>
      </c>
      <c r="D23" s="13" t="s">
        <v>677</v>
      </c>
      <c r="E23" s="13" t="s">
        <v>677</v>
      </c>
      <c r="F23" s="13" t="s">
        <v>677</v>
      </c>
      <c r="G23" s="13" t="s">
        <v>677</v>
      </c>
      <c r="H23" s="13" t="s">
        <v>677</v>
      </c>
      <c r="I23" s="13" t="s">
        <v>677</v>
      </c>
      <c r="J23" s="13" t="s">
        <v>2679</v>
      </c>
    </row>
    <row r="24" spans="1:10" ht="38.25">
      <c r="A24" s="13" t="s">
        <v>2674</v>
      </c>
      <c r="B24" s="13" t="s">
        <v>677</v>
      </c>
      <c r="C24" s="13" t="s">
        <v>679</v>
      </c>
      <c r="D24" s="13" t="s">
        <v>677</v>
      </c>
      <c r="E24" s="13" t="s">
        <v>677</v>
      </c>
      <c r="F24" s="13" t="s">
        <v>677</v>
      </c>
      <c r="G24" s="13" t="s">
        <v>677</v>
      </c>
      <c r="H24" s="13" t="s">
        <v>677</v>
      </c>
      <c r="I24" s="13" t="s">
        <v>677</v>
      </c>
      <c r="J24" s="13" t="s">
        <v>2680</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89.25">
      <c r="A28" s="13" t="s">
        <v>706</v>
      </c>
      <c r="B28" s="13" t="s">
        <v>972</v>
      </c>
      <c r="C28" s="13" t="s">
        <v>677</v>
      </c>
      <c r="D28" s="13" t="s">
        <v>677</v>
      </c>
      <c r="E28" s="13" t="s">
        <v>677</v>
      </c>
      <c r="F28" s="13" t="s">
        <v>677</v>
      </c>
      <c r="G28" s="13" t="s">
        <v>677</v>
      </c>
      <c r="H28" s="13" t="s">
        <v>677</v>
      </c>
      <c r="I28" s="13" t="s">
        <v>677</v>
      </c>
      <c r="J28" s="13" t="s">
        <v>2681</v>
      </c>
    </row>
    <row r="29" spans="1:10" ht="51">
      <c r="A29" s="13" t="s">
        <v>2670</v>
      </c>
      <c r="B29" s="13" t="s">
        <v>946</v>
      </c>
      <c r="C29" s="13" t="s">
        <v>677</v>
      </c>
      <c r="D29" s="13" t="s">
        <v>677</v>
      </c>
      <c r="E29" s="13" t="s">
        <v>677</v>
      </c>
      <c r="F29" s="13" t="s">
        <v>677</v>
      </c>
      <c r="G29" s="13" t="s">
        <v>677</v>
      </c>
      <c r="H29" s="13" t="s">
        <v>677</v>
      </c>
      <c r="I29" s="13" t="s">
        <v>677</v>
      </c>
      <c r="J29" s="13" t="s">
        <v>2682</v>
      </c>
    </row>
    <row r="30" spans="1:10" ht="51">
      <c r="A30" s="13" t="s">
        <v>2674</v>
      </c>
      <c r="B30" s="13" t="s">
        <v>946</v>
      </c>
      <c r="C30" s="13" t="s">
        <v>677</v>
      </c>
      <c r="D30" s="13" t="s">
        <v>677</v>
      </c>
      <c r="E30" s="13" t="s">
        <v>677</v>
      </c>
      <c r="F30" s="13" t="s">
        <v>677</v>
      </c>
      <c r="G30" s="13" t="s">
        <v>677</v>
      </c>
      <c r="H30" s="13" t="s">
        <v>677</v>
      </c>
      <c r="I30" s="13" t="s">
        <v>677</v>
      </c>
      <c r="J30" s="13" t="s">
        <v>2683</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6.5">
      <c r="A34" s="13" t="s">
        <v>706</v>
      </c>
      <c r="B34" s="13" t="s">
        <v>677</v>
      </c>
      <c r="C34" s="13" t="s">
        <v>985</v>
      </c>
      <c r="D34" s="13" t="s">
        <v>677</v>
      </c>
      <c r="E34" s="13" t="s">
        <v>677</v>
      </c>
      <c r="F34" s="13" t="s">
        <v>2684</v>
      </c>
      <c r="G34" s="13" t="s">
        <v>677</v>
      </c>
      <c r="H34" s="13" t="s">
        <v>677</v>
      </c>
      <c r="I34" s="13" t="s">
        <v>677</v>
      </c>
      <c r="J34" s="13" t="s">
        <v>2685</v>
      </c>
    </row>
    <row r="35" spans="1:10" ht="63.75">
      <c r="A35" s="13" t="s">
        <v>2670</v>
      </c>
      <c r="B35" s="13" t="s">
        <v>988</v>
      </c>
      <c r="C35" s="13" t="s">
        <v>1485</v>
      </c>
      <c r="D35" s="13" t="s">
        <v>988</v>
      </c>
      <c r="E35" s="13" t="s">
        <v>677</v>
      </c>
      <c r="F35" s="13" t="s">
        <v>946</v>
      </c>
      <c r="G35" s="13" t="s">
        <v>677</v>
      </c>
      <c r="H35" s="13" t="s">
        <v>677</v>
      </c>
      <c r="I35" s="13" t="s">
        <v>677</v>
      </c>
      <c r="J35" s="13" t="s">
        <v>2587</v>
      </c>
    </row>
    <row r="36" spans="1:10" ht="63.75">
      <c r="A36" s="13" t="s">
        <v>2674</v>
      </c>
      <c r="B36" s="13" t="s">
        <v>988</v>
      </c>
      <c r="C36" s="13" t="s">
        <v>2686</v>
      </c>
      <c r="D36" s="13" t="s">
        <v>988</v>
      </c>
      <c r="E36" s="13" t="s">
        <v>677</v>
      </c>
      <c r="F36" s="13" t="s">
        <v>946</v>
      </c>
      <c r="G36" s="13" t="s">
        <v>677</v>
      </c>
      <c r="H36" s="13" t="s">
        <v>677</v>
      </c>
      <c r="I36" s="13" t="s">
        <v>677</v>
      </c>
      <c r="J36" s="13" t="s">
        <v>2687</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2">
      <c r="A40" s="13" t="s">
        <v>706</v>
      </c>
      <c r="B40" s="13" t="s">
        <v>677</v>
      </c>
      <c r="C40" s="13" t="s">
        <v>677</v>
      </c>
      <c r="D40" s="13" t="s">
        <v>677</v>
      </c>
      <c r="E40" s="13" t="s">
        <v>677</v>
      </c>
      <c r="F40" s="13" t="s">
        <v>677</v>
      </c>
      <c r="G40" s="13" t="s">
        <v>677</v>
      </c>
      <c r="H40" s="13" t="s">
        <v>677</v>
      </c>
      <c r="I40" s="13" t="s">
        <v>677</v>
      </c>
      <c r="J40" s="13" t="s">
        <v>2688</v>
      </c>
    </row>
    <row r="41" spans="1:10" ht="76.5">
      <c r="A41" s="13" t="s">
        <v>2670</v>
      </c>
      <c r="B41" s="13" t="s">
        <v>988</v>
      </c>
      <c r="C41" s="13" t="s">
        <v>988</v>
      </c>
      <c r="D41" s="13" t="s">
        <v>988</v>
      </c>
      <c r="E41" s="13" t="s">
        <v>677</v>
      </c>
      <c r="F41" s="13" t="s">
        <v>677</v>
      </c>
      <c r="G41" s="13" t="s">
        <v>677</v>
      </c>
      <c r="H41" s="13" t="s">
        <v>677</v>
      </c>
      <c r="I41" s="13" t="s">
        <v>677</v>
      </c>
      <c r="J41" s="13" t="s">
        <v>2689</v>
      </c>
    </row>
    <row r="42" spans="1:10" ht="76.5">
      <c r="A42" s="13" t="s">
        <v>2674</v>
      </c>
      <c r="B42" s="13" t="s">
        <v>988</v>
      </c>
      <c r="C42" s="13" t="s">
        <v>988</v>
      </c>
      <c r="D42" s="13" t="s">
        <v>988</v>
      </c>
      <c r="E42" s="13" t="s">
        <v>677</v>
      </c>
      <c r="F42" s="13" t="s">
        <v>677</v>
      </c>
      <c r="G42" s="13" t="s">
        <v>677</v>
      </c>
      <c r="H42" s="13" t="s">
        <v>677</v>
      </c>
      <c r="I42" s="13" t="s">
        <v>677</v>
      </c>
      <c r="J42" s="13" t="s">
        <v>2690</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706</v>
      </c>
      <c r="B46" s="13" t="s">
        <v>677</v>
      </c>
      <c r="C46" s="13" t="s">
        <v>677</v>
      </c>
      <c r="D46" s="13" t="s">
        <v>677</v>
      </c>
      <c r="E46" s="13" t="s">
        <v>677</v>
      </c>
      <c r="F46" s="13" t="s">
        <v>677</v>
      </c>
      <c r="G46" s="13" t="s">
        <v>677</v>
      </c>
      <c r="H46" s="13" t="s">
        <v>677</v>
      </c>
      <c r="I46" s="13" t="s">
        <v>677</v>
      </c>
      <c r="J46" s="13" t="s">
        <v>2691</v>
      </c>
    </row>
    <row r="47" spans="1:10" ht="51">
      <c r="A47" s="13" t="s">
        <v>2670</v>
      </c>
      <c r="B47" s="13" t="s">
        <v>677</v>
      </c>
      <c r="C47" s="13" t="s">
        <v>677</v>
      </c>
      <c r="D47" s="13" t="s">
        <v>677</v>
      </c>
      <c r="E47" s="13" t="s">
        <v>677</v>
      </c>
      <c r="F47" s="13" t="s">
        <v>677</v>
      </c>
      <c r="G47" s="13" t="s">
        <v>677</v>
      </c>
      <c r="H47" s="13" t="s">
        <v>677</v>
      </c>
      <c r="I47" s="13" t="s">
        <v>677</v>
      </c>
      <c r="J47" s="13" t="s">
        <v>2692</v>
      </c>
    </row>
    <row r="48" spans="1:10" ht="51">
      <c r="A48" s="13" t="s">
        <v>2674</v>
      </c>
      <c r="B48" s="13" t="s">
        <v>677</v>
      </c>
      <c r="C48" s="13" t="s">
        <v>677</v>
      </c>
      <c r="D48" s="13" t="s">
        <v>677</v>
      </c>
      <c r="E48" s="13" t="s">
        <v>677</v>
      </c>
      <c r="F48" s="13" t="s">
        <v>677</v>
      </c>
      <c r="G48" s="13" t="s">
        <v>677</v>
      </c>
      <c r="H48" s="13" t="s">
        <v>677</v>
      </c>
      <c r="I48" s="13" t="s">
        <v>677</v>
      </c>
      <c r="J48" s="13" t="s">
        <v>2693</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2694</v>
      </c>
      <c r="B52" s="13" t="s">
        <v>575</v>
      </c>
      <c r="C52" s="13" t="s">
        <v>2695</v>
      </c>
      <c r="D52" s="13" t="s">
        <v>391</v>
      </c>
      <c r="E52" s="13" t="s">
        <v>488</v>
      </c>
      <c r="F52" s="13">
        <v>6</v>
      </c>
      <c r="G52" s="13" t="s">
        <v>1381</v>
      </c>
      <c r="H52" s="13" t="s">
        <v>1023</v>
      </c>
      <c r="I52" s="13" t="s">
        <v>502</v>
      </c>
      <c r="J52" s="13" t="s">
        <v>2696</v>
      </c>
    </row>
    <row r="53" spans="1:10" ht="63.75">
      <c r="A53" s="13" t="s">
        <v>2697</v>
      </c>
      <c r="B53" s="13" t="s">
        <v>706</v>
      </c>
      <c r="C53" s="13" t="s">
        <v>2698</v>
      </c>
      <c r="D53" s="13" t="s">
        <v>391</v>
      </c>
      <c r="E53" s="13" t="s">
        <v>488</v>
      </c>
      <c r="F53" s="13">
        <v>6</v>
      </c>
      <c r="G53" s="13" t="s">
        <v>2232</v>
      </c>
      <c r="H53" s="13" t="s">
        <v>1858</v>
      </c>
      <c r="I53" s="13" t="s">
        <v>502</v>
      </c>
      <c r="J53" s="13" t="s">
        <v>2699</v>
      </c>
    </row>
    <row r="54" spans="1:10" ht="76.5">
      <c r="A54" s="13" t="s">
        <v>2700</v>
      </c>
      <c r="B54" s="13" t="s">
        <v>2701</v>
      </c>
      <c r="C54" s="13" t="s">
        <v>2418</v>
      </c>
      <c r="D54" s="13" t="s">
        <v>492</v>
      </c>
      <c r="E54" s="13" t="s">
        <v>488</v>
      </c>
      <c r="F54" s="13">
        <v>8</v>
      </c>
      <c r="G54" s="13" t="s">
        <v>2236</v>
      </c>
      <c r="H54" s="13" t="s">
        <v>584</v>
      </c>
      <c r="I54" s="13" t="s">
        <v>502</v>
      </c>
      <c r="J54" s="13" t="s">
        <v>2702</v>
      </c>
    </row>
    <row r="55" spans="1:10" ht="76.5">
      <c r="A55" s="13" t="s">
        <v>2703</v>
      </c>
      <c r="B55" s="13" t="s">
        <v>706</v>
      </c>
      <c r="C55" s="13" t="s">
        <v>593</v>
      </c>
      <c r="D55" s="13" t="s">
        <v>492</v>
      </c>
      <c r="E55" s="13" t="s">
        <v>488</v>
      </c>
      <c r="F55" s="13">
        <v>8</v>
      </c>
      <c r="G55" s="13" t="s">
        <v>2239</v>
      </c>
      <c r="H55" s="13" t="s">
        <v>592</v>
      </c>
      <c r="I55" s="13" t="s">
        <v>502</v>
      </c>
      <c r="J55" s="13" t="s">
        <v>1028</v>
      </c>
    </row>
    <row r="56" spans="1:10" ht="63.75">
      <c r="A56" s="13" t="s">
        <v>2704</v>
      </c>
      <c r="B56" s="13" t="s">
        <v>706</v>
      </c>
      <c r="C56" s="13" t="s">
        <v>2605</v>
      </c>
      <c r="D56" s="13" t="s">
        <v>391</v>
      </c>
      <c r="E56" s="13" t="s">
        <v>488</v>
      </c>
      <c r="F56" s="13">
        <v>6</v>
      </c>
      <c r="G56" s="13" t="s">
        <v>2705</v>
      </c>
      <c r="H56" s="13" t="s">
        <v>1032</v>
      </c>
      <c r="I56" s="13" t="s">
        <v>502</v>
      </c>
      <c r="J56" s="13" t="s">
        <v>2706</v>
      </c>
    </row>
    <row r="57" spans="1:10" ht="89.25">
      <c r="A57" s="13" t="s">
        <v>2707</v>
      </c>
      <c r="B57" s="13" t="s">
        <v>706</v>
      </c>
      <c r="C57" s="13" t="s">
        <v>2708</v>
      </c>
      <c r="D57" s="13" t="s">
        <v>391</v>
      </c>
      <c r="E57" s="13" t="s">
        <v>488</v>
      </c>
      <c r="F57" s="13">
        <v>6</v>
      </c>
      <c r="G57" s="13" t="s">
        <v>2709</v>
      </c>
      <c r="H57" s="13" t="s">
        <v>1037</v>
      </c>
      <c r="I57" s="13" t="s">
        <v>502</v>
      </c>
      <c r="J57" s="13" t="s">
        <v>2710</v>
      </c>
    </row>
    <row r="58" spans="1:10" ht="76.5">
      <c r="A58" s="13" t="s">
        <v>2711</v>
      </c>
      <c r="B58" s="13" t="s">
        <v>575</v>
      </c>
      <c r="C58" s="13" t="s">
        <v>2712</v>
      </c>
      <c r="D58" s="13" t="s">
        <v>492</v>
      </c>
      <c r="E58" s="13" t="s">
        <v>488</v>
      </c>
      <c r="F58" s="13">
        <v>8</v>
      </c>
      <c r="G58" s="13" t="s">
        <v>1039</v>
      </c>
      <c r="H58" s="13" t="s">
        <v>584</v>
      </c>
      <c r="I58" s="13" t="s">
        <v>502</v>
      </c>
      <c r="J58" s="13" t="s">
        <v>2713</v>
      </c>
    </row>
    <row r="59" spans="1:10" ht="89.25">
      <c r="A59" s="13" t="s">
        <v>2714</v>
      </c>
      <c r="B59" s="13" t="s">
        <v>575</v>
      </c>
      <c r="C59" s="13" t="s">
        <v>1047</v>
      </c>
      <c r="D59" s="13" t="s">
        <v>391</v>
      </c>
      <c r="E59" s="13" t="s">
        <v>488</v>
      </c>
      <c r="F59" s="13">
        <v>6</v>
      </c>
      <c r="G59" s="13" t="s">
        <v>2252</v>
      </c>
      <c r="H59" s="13" t="s">
        <v>1049</v>
      </c>
      <c r="I59" s="13" t="s">
        <v>502</v>
      </c>
      <c r="J59" s="13" t="s">
        <v>1737</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3.75">
      <c r="A63" s="13" t="s">
        <v>2715</v>
      </c>
      <c r="B63" s="13" t="s">
        <v>2716</v>
      </c>
      <c r="C63" s="13" t="s">
        <v>579</v>
      </c>
      <c r="D63" s="13" t="s">
        <v>502</v>
      </c>
      <c r="E63" s="13"/>
      <c r="F63" s="13"/>
      <c r="G63" s="13" t="s">
        <v>2619</v>
      </c>
      <c r="H63" s="13"/>
      <c r="I63" s="13"/>
      <c r="J63" s="13"/>
    </row>
    <row r="64" spans="1:10" ht="76.5">
      <c r="A64" s="13" t="s">
        <v>2717</v>
      </c>
      <c r="B64" s="13" t="s">
        <v>2718</v>
      </c>
      <c r="C64" s="13" t="s">
        <v>2432</v>
      </c>
      <c r="D64" s="13" t="s">
        <v>502</v>
      </c>
      <c r="E64" s="13"/>
      <c r="F64" s="13"/>
      <c r="G64" s="13" t="s">
        <v>2433</v>
      </c>
      <c r="H64" s="13"/>
      <c r="I64" s="13"/>
      <c r="J64" s="13"/>
    </row>
    <row r="65" spans="1:10" ht="51">
      <c r="A65" s="13" t="s">
        <v>2719</v>
      </c>
      <c r="B65" s="13" t="s">
        <v>2720</v>
      </c>
      <c r="C65" s="13" t="s">
        <v>587</v>
      </c>
      <c r="D65" s="13" t="s">
        <v>502</v>
      </c>
      <c r="E65" s="13"/>
      <c r="F65" s="13"/>
      <c r="G65" s="13" t="s">
        <v>588</v>
      </c>
      <c r="H65" s="13"/>
      <c r="I65" s="13"/>
      <c r="J65" s="13"/>
    </row>
    <row r="66" spans="1:10" ht="76.5">
      <c r="A66" s="13" t="s">
        <v>2721</v>
      </c>
      <c r="B66" s="13" t="s">
        <v>2722</v>
      </c>
      <c r="C66" s="13" t="s">
        <v>601</v>
      </c>
      <c r="D66" s="13" t="s">
        <v>502</v>
      </c>
      <c r="E66" s="13"/>
      <c r="F66" s="13"/>
      <c r="G66" s="13" t="s">
        <v>602</v>
      </c>
      <c r="H66" s="13"/>
      <c r="I66" s="13"/>
      <c r="J66" s="13"/>
    </row>
    <row r="67" spans="1:10" ht="63.75">
      <c r="A67" s="13" t="s">
        <v>2723</v>
      </c>
      <c r="B67" s="13" t="s">
        <v>2724</v>
      </c>
      <c r="C67" s="13" t="s">
        <v>609</v>
      </c>
      <c r="D67" s="13" t="s">
        <v>502</v>
      </c>
      <c r="E67" s="13"/>
      <c r="F67" s="13"/>
      <c r="G67" s="13" t="s">
        <v>610</v>
      </c>
      <c r="H67" s="13"/>
      <c r="I67" s="13"/>
      <c r="J67" s="13"/>
    </row>
    <row r="68" spans="1:10" ht="76.5">
      <c r="A68" s="13" t="s">
        <v>2725</v>
      </c>
      <c r="B68" s="13" t="s">
        <v>2726</v>
      </c>
      <c r="C68" s="13" t="s">
        <v>616</v>
      </c>
      <c r="D68" s="13" t="s">
        <v>502</v>
      </c>
      <c r="E68" s="13"/>
      <c r="F68" s="13"/>
      <c r="G68" s="13" t="s">
        <v>617</v>
      </c>
      <c r="H68" s="13"/>
      <c r="I68" s="13"/>
      <c r="J68" s="13"/>
    </row>
    <row r="69" spans="1:10" ht="89.25">
      <c r="A69" s="13" t="s">
        <v>2727</v>
      </c>
      <c r="B69" s="13" t="s">
        <v>624</v>
      </c>
      <c r="C69" s="13" t="s">
        <v>622</v>
      </c>
      <c r="D69" s="13" t="s">
        <v>502</v>
      </c>
      <c r="E69" s="13"/>
      <c r="F69" s="13"/>
      <c r="G69" s="13" t="s">
        <v>623</v>
      </c>
      <c r="H69" s="13"/>
      <c r="I69" s="13"/>
      <c r="J69" s="13"/>
    </row>
    <row r="70" spans="1:10" ht="76.5">
      <c r="A70" s="13" t="s">
        <v>2728</v>
      </c>
      <c r="B70" s="13" t="s">
        <v>1753</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89.25">
      <c r="A74" s="13" t="s">
        <v>2729</v>
      </c>
      <c r="B74" s="13" t="s">
        <v>706</v>
      </c>
      <c r="C74" s="13" t="s">
        <v>269</v>
      </c>
      <c r="D74" s="13" t="s">
        <v>2730</v>
      </c>
      <c r="E74" s="13"/>
      <c r="F74" s="13" t="s">
        <v>229</v>
      </c>
      <c r="G74" s="13"/>
      <c r="H74" s="13" t="s">
        <v>2731</v>
      </c>
      <c r="I74" s="13" t="s">
        <v>502</v>
      </c>
      <c r="J74" s="13"/>
    </row>
    <row r="75" spans="1:10" ht="89.25">
      <c r="A75" s="13" t="s">
        <v>2732</v>
      </c>
      <c r="B75" s="13" t="s">
        <v>2670</v>
      </c>
      <c r="C75" s="13" t="s">
        <v>269</v>
      </c>
      <c r="D75" s="13" t="s">
        <v>2733</v>
      </c>
      <c r="E75" s="13"/>
      <c r="F75" s="13" t="s">
        <v>229</v>
      </c>
      <c r="G75" s="13"/>
      <c r="H75" s="13" t="s">
        <v>2734</v>
      </c>
      <c r="I75" s="13" t="s">
        <v>502</v>
      </c>
      <c r="J75" s="13"/>
    </row>
    <row r="76" spans="1:10" ht="114.75">
      <c r="A76" s="13" t="s">
        <v>2735</v>
      </c>
      <c r="B76" s="13" t="s">
        <v>2674</v>
      </c>
      <c r="C76" s="13" t="s">
        <v>269</v>
      </c>
      <c r="D76" s="13" t="s">
        <v>2736</v>
      </c>
      <c r="E76" s="13"/>
      <c r="F76" s="13" t="s">
        <v>229</v>
      </c>
      <c r="G76" s="13"/>
      <c r="H76" s="13" t="s">
        <v>2734</v>
      </c>
      <c r="I76" s="13" t="s">
        <v>502</v>
      </c>
      <c r="J76" s="13"/>
    </row>
    <row r="77" spans="1:10" ht="89.25">
      <c r="A77" s="13" t="s">
        <v>2737</v>
      </c>
      <c r="B77" s="13" t="s">
        <v>706</v>
      </c>
      <c r="C77" s="13" t="s">
        <v>749</v>
      </c>
      <c r="D77" s="13" t="s">
        <v>2738</v>
      </c>
      <c r="E77" s="13"/>
      <c r="F77" s="13" t="s">
        <v>229</v>
      </c>
      <c r="G77" s="13"/>
      <c r="H77" s="13" t="s">
        <v>2697</v>
      </c>
      <c r="I77" s="13" t="s">
        <v>502</v>
      </c>
      <c r="J77" s="13"/>
    </row>
    <row r="78" spans="1:10" ht="63.75">
      <c r="A78" s="13" t="s">
        <v>2739</v>
      </c>
      <c r="B78" s="13" t="s">
        <v>706</v>
      </c>
      <c r="C78" s="13" t="s">
        <v>957</v>
      </c>
      <c r="D78" s="13" t="s">
        <v>1659</v>
      </c>
      <c r="E78" s="13"/>
      <c r="F78" s="13" t="s">
        <v>229</v>
      </c>
      <c r="G78" s="13"/>
      <c r="H78" s="13" t="s">
        <v>2707</v>
      </c>
      <c r="I78" s="13" t="s">
        <v>502</v>
      </c>
      <c r="J78" s="13"/>
    </row>
    <row r="79" spans="1:10" ht="89.25">
      <c r="A79" s="13" t="s">
        <v>2740</v>
      </c>
      <c r="B79" s="13" t="s">
        <v>706</v>
      </c>
      <c r="C79" s="13" t="s">
        <v>148</v>
      </c>
      <c r="D79" s="13" t="s">
        <v>2081</v>
      </c>
      <c r="E79" s="13"/>
      <c r="F79" s="13" t="s">
        <v>229</v>
      </c>
      <c r="G79" s="13"/>
      <c r="H79" s="13" t="s">
        <v>2703</v>
      </c>
      <c r="I79" s="13" t="s">
        <v>502</v>
      </c>
      <c r="J79" s="13"/>
    </row>
    <row r="80" spans="1:10" ht="89.25">
      <c r="A80" s="13" t="s">
        <v>2741</v>
      </c>
      <c r="B80" s="13" t="s">
        <v>706</v>
      </c>
      <c r="C80" s="13" t="s">
        <v>153</v>
      </c>
      <c r="D80" s="13" t="s">
        <v>2742</v>
      </c>
      <c r="E80" s="13"/>
      <c r="F80" s="13" t="s">
        <v>229</v>
      </c>
      <c r="G80" s="13"/>
      <c r="H80" s="13" t="s">
        <v>2704</v>
      </c>
      <c r="I80" s="13" t="s">
        <v>502</v>
      </c>
      <c r="J80" s="13"/>
    </row>
    <row r="81" spans="1:10" ht="102">
      <c r="A81" s="13" t="s">
        <v>2743</v>
      </c>
      <c r="B81" s="13" t="s">
        <v>2744</v>
      </c>
      <c r="C81" s="13" t="s">
        <v>1975</v>
      </c>
      <c r="D81" s="13" t="s">
        <v>2745</v>
      </c>
      <c r="E81" s="13"/>
      <c r="F81" s="13" t="s">
        <v>229</v>
      </c>
      <c r="G81" s="13"/>
      <c r="H81" s="13" t="s">
        <v>2746</v>
      </c>
      <c r="I81" s="13" t="s">
        <v>502</v>
      </c>
      <c r="J81" s="13"/>
    </row>
    <row r="82" spans="1:10">
      <c r="A82" s="13"/>
      <c r="B82" s="13"/>
      <c r="C82" s="13"/>
      <c r="D82" s="13"/>
      <c r="E82" s="13"/>
      <c r="F82" s="13"/>
      <c r="G82" s="13"/>
      <c r="H82" s="13"/>
      <c r="I82" s="13"/>
      <c r="J82" s="13"/>
    </row>
    <row r="83" spans="1:10">
      <c r="A83" s="575" t="s">
        <v>1079</v>
      </c>
      <c r="B83" s="896"/>
      <c r="C83" s="896"/>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706</v>
      </c>
      <c r="B85" s="126">
        <v>0.5</v>
      </c>
      <c r="C85" s="126">
        <v>0.5</v>
      </c>
      <c r="D85" s="126">
        <v>0.5</v>
      </c>
      <c r="E85" s="126">
        <v>0.5</v>
      </c>
      <c r="F85" s="126">
        <v>0.5</v>
      </c>
      <c r="G85" s="13" t="s">
        <v>677</v>
      </c>
      <c r="H85" s="126">
        <v>0.5</v>
      </c>
      <c r="I85" s="13" t="s">
        <v>1201</v>
      </c>
      <c r="J85" s="13" t="s">
        <v>2747</v>
      </c>
    </row>
    <row r="86" spans="1:10" ht="38.25">
      <c r="A86" s="13" t="s">
        <v>2670</v>
      </c>
      <c r="B86" s="126">
        <v>0.5</v>
      </c>
      <c r="C86" s="126">
        <v>0.5</v>
      </c>
      <c r="D86" s="126">
        <v>0.5</v>
      </c>
      <c r="E86" s="126">
        <v>0.5</v>
      </c>
      <c r="F86" s="126">
        <v>0.5</v>
      </c>
      <c r="G86" s="13" t="s">
        <v>677</v>
      </c>
      <c r="H86" s="126">
        <v>0.5</v>
      </c>
      <c r="I86" s="13" t="s">
        <v>1201</v>
      </c>
      <c r="J86" s="13" t="s">
        <v>2748</v>
      </c>
    </row>
    <row r="87" spans="1:10" ht="38.25">
      <c r="A87" s="13" t="s">
        <v>2674</v>
      </c>
      <c r="B87" s="126">
        <v>0.5</v>
      </c>
      <c r="C87" s="126">
        <v>0.5</v>
      </c>
      <c r="D87" s="126">
        <v>0.5</v>
      </c>
      <c r="E87" s="126">
        <v>0.5</v>
      </c>
      <c r="F87" s="126">
        <v>0.5</v>
      </c>
      <c r="G87" s="13" t="s">
        <v>677</v>
      </c>
      <c r="H87" s="126">
        <v>0.5</v>
      </c>
      <c r="I87" s="13" t="s">
        <v>1201</v>
      </c>
      <c r="J87" s="13" t="s">
        <v>2749</v>
      </c>
    </row>
    <row r="88" spans="1:10">
      <c r="A88" s="13"/>
      <c r="B88" s="13"/>
      <c r="C88" s="13"/>
      <c r="D88" s="13"/>
      <c r="E88" s="13"/>
      <c r="F88" s="13"/>
      <c r="G88" s="13"/>
      <c r="H88" s="13"/>
      <c r="I88" s="13"/>
      <c r="J88" s="13"/>
    </row>
    <row r="89" spans="1:10">
      <c r="A89" s="575" t="s">
        <v>1085</v>
      </c>
      <c r="B89" s="896"/>
      <c r="C89" s="896"/>
      <c r="D89" s="85"/>
      <c r="E89" s="85"/>
      <c r="F89" s="85"/>
      <c r="G89" s="85"/>
      <c r="H89" s="85"/>
      <c r="I89" s="85"/>
      <c r="J89" s="85"/>
    </row>
    <row r="90" spans="1:10" ht="38.25">
      <c r="A90" s="50" t="s">
        <v>905</v>
      </c>
      <c r="B90" s="50" t="s">
        <v>815</v>
      </c>
      <c r="C90" s="50"/>
      <c r="D90" s="50"/>
      <c r="E90" s="50"/>
      <c r="F90" s="50"/>
      <c r="G90" s="50"/>
      <c r="H90" s="50"/>
      <c r="I90" s="50"/>
      <c r="J90" s="50"/>
    </row>
    <row r="91" spans="1:10">
      <c r="A91" s="13" t="s">
        <v>1086</v>
      </c>
      <c r="B91" s="594" t="s">
        <v>2750</v>
      </c>
      <c r="C91" s="896"/>
      <c r="D91" s="896"/>
      <c r="E91" s="896"/>
      <c r="F91" s="896"/>
      <c r="G91" s="896"/>
      <c r="H91" s="896"/>
      <c r="I91" s="896"/>
      <c r="J91" s="13"/>
    </row>
    <row r="92" spans="1:10" ht="25.5">
      <c r="A92" s="13" t="s">
        <v>2090</v>
      </c>
      <c r="B92" s="594" t="s">
        <v>2751</v>
      </c>
      <c r="C92" s="896"/>
      <c r="D92" s="896"/>
      <c r="E92" s="896"/>
      <c r="F92" s="896"/>
      <c r="G92" s="896"/>
      <c r="H92" s="896"/>
      <c r="I92" s="896"/>
      <c r="J92" s="13"/>
    </row>
    <row r="93" spans="1:10">
      <c r="A93" s="13" t="s">
        <v>1088</v>
      </c>
      <c r="B93" s="594" t="s">
        <v>2752</v>
      </c>
      <c r="C93" s="896"/>
      <c r="D93" s="896"/>
      <c r="E93" s="896"/>
      <c r="F93" s="896"/>
      <c r="G93" s="896"/>
      <c r="H93" s="896"/>
      <c r="I93" s="896"/>
      <c r="J93" s="13"/>
    </row>
    <row r="94" spans="1:10">
      <c r="A94" s="13" t="s">
        <v>1089</v>
      </c>
      <c r="B94" s="594" t="s">
        <v>2753</v>
      </c>
      <c r="C94" s="896"/>
      <c r="D94" s="896"/>
      <c r="E94" s="896"/>
      <c r="F94" s="896"/>
      <c r="G94" s="896"/>
      <c r="H94" s="896"/>
      <c r="I94" s="896"/>
      <c r="J94" s="13"/>
    </row>
    <row r="95" spans="1:10">
      <c r="A95" s="13" t="s">
        <v>1090</v>
      </c>
      <c r="B95" s="594" t="s">
        <v>2754</v>
      </c>
      <c r="C95" s="896"/>
      <c r="D95" s="896"/>
      <c r="E95" s="896"/>
      <c r="F95" s="896"/>
      <c r="G95" s="896"/>
      <c r="H95" s="896"/>
      <c r="I95" s="896"/>
      <c r="J95" s="13"/>
    </row>
    <row r="96" spans="1:10">
      <c r="A96" s="13" t="s">
        <v>1563</v>
      </c>
      <c r="B96" s="594" t="s">
        <v>1776</v>
      </c>
      <c r="C96" s="896"/>
      <c r="D96" s="896"/>
      <c r="E96" s="896"/>
      <c r="F96" s="896"/>
      <c r="G96" s="896"/>
      <c r="H96" s="896"/>
      <c r="I96" s="896"/>
      <c r="J96" s="13"/>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7">
        <v>1</v>
      </c>
      <c r="D101" s="327">
        <v>0</v>
      </c>
      <c r="E101" s="310" t="s">
        <v>5675</v>
      </c>
      <c r="F101" s="327">
        <f>IF(AND(C101&lt;&gt;"",D101&lt;&gt;""),D101-C101,"")</f>
        <v>-1</v>
      </c>
      <c r="G101" s="610"/>
      <c r="H101" s="610"/>
      <c r="I101" s="610"/>
      <c r="J101" s="611"/>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610"/>
      <c r="H103" s="610"/>
      <c r="I103" s="610"/>
      <c r="J103" s="611"/>
    </row>
    <row r="104" spans="1:10">
      <c r="A104" s="323" t="s">
        <v>5168</v>
      </c>
      <c r="B104" s="333" t="s">
        <v>484</v>
      </c>
      <c r="C104" s="327">
        <v>1</v>
      </c>
      <c r="D104" s="327">
        <v>0</v>
      </c>
      <c r="E104" s="310" t="s">
        <v>5675</v>
      </c>
      <c r="F104" s="325">
        <f>IF(AND(C104&lt;&gt;"",D104&lt;&gt;""),D104-C104,"")</f>
        <v>-1</v>
      </c>
      <c r="G104" s="328"/>
      <c r="H104" s="227"/>
      <c r="I104" s="227"/>
      <c r="J104" s="329"/>
    </row>
    <row r="105" spans="1:10" ht="15.75">
      <c r="A105" s="585" t="s">
        <v>5636</v>
      </c>
      <c r="B105" s="586"/>
      <c r="C105" s="330">
        <f>IFERROR(AVERAGE(C100:C104),"")</f>
        <v>0.8</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s>
  <conditionalFormatting sqref="B16">
    <cfRule type="expression" dxfId="673" priority="118">
      <formula>B16="Fail"</formula>
    </cfRule>
    <cfRule type="expression" dxfId="672" priority="117">
      <formula>B16="Verify"</formula>
    </cfRule>
    <cfRule type="expression" dxfId="671" priority="116">
      <formula>B16="Pass"</formula>
    </cfRule>
    <cfRule type="expression" dxfId="670" priority="119">
      <formula>B16="Not Started"</formula>
    </cfRule>
  </conditionalFormatting>
  <conditionalFormatting sqref="B100:B104">
    <cfRule type="expression" dxfId="669" priority="21">
      <formula>B100="Complete"</formula>
    </cfRule>
    <cfRule type="expression" dxfId="668" priority="22">
      <formula>B100="In Progress"</formula>
    </cfRule>
    <cfRule type="expression" dxfId="667" priority="23">
      <formula>B100="At Risk"</formula>
    </cfRule>
    <cfRule type="expression" dxfId="666" priority="24">
      <formula>B100="Blocked"</formula>
    </cfRule>
    <cfRule type="expression" dxfId="665" priority="25">
      <formula>B100="Not Started"</formula>
    </cfRule>
  </conditionalFormatting>
  <conditionalFormatting sqref="B109:B116">
    <cfRule type="expression" dxfId="664" priority="1">
      <formula>B109="Complete"</formula>
    </cfRule>
    <cfRule type="expression" dxfId="663" priority="2">
      <formula>B109="In Progress"</formula>
    </cfRule>
    <cfRule type="expression" dxfId="662" priority="3">
      <formula>B109="At Risk"</formula>
    </cfRule>
    <cfRule type="expression" dxfId="661" priority="4">
      <formula>B109="Blocked"</formula>
    </cfRule>
    <cfRule type="expression" dxfId="660" priority="5">
      <formula>B109="Not Started"</formula>
    </cfRule>
  </conditionalFormatting>
  <conditionalFormatting sqref="B121:B125">
    <cfRule type="expression" dxfId="659" priority="29">
      <formula>B121="Blocked"</formula>
    </cfRule>
    <cfRule type="expression" dxfId="658" priority="28">
      <formula>B121="At Risk"</formula>
    </cfRule>
    <cfRule type="expression" dxfId="657" priority="26">
      <formula>B121="Complete"</formula>
    </cfRule>
    <cfRule type="expression" dxfId="656" priority="27">
      <formula>B121="In Progress"</formula>
    </cfRule>
    <cfRule type="expression" dxfId="655" priority="30">
      <formula>B121="Not Started"</formula>
    </cfRule>
  </conditionalFormatting>
  <conditionalFormatting sqref="B130:B133">
    <cfRule type="expression" dxfId="654" priority="6">
      <formula>B130="Complete"</formula>
    </cfRule>
    <cfRule type="expression" dxfId="653" priority="8">
      <formula>B130="At Risk"</formula>
    </cfRule>
    <cfRule type="expression" dxfId="652" priority="9">
      <formula>B130="Blocked"</formula>
    </cfRule>
    <cfRule type="expression" dxfId="651" priority="10">
      <formula>B130="Not Started"</formula>
    </cfRule>
    <cfRule type="expression" dxfId="650" priority="7">
      <formula>B130="In Progress"</formula>
    </cfRule>
  </conditionalFormatting>
  <conditionalFormatting sqref="B138:B143">
    <cfRule type="expression" dxfId="649" priority="11">
      <formula>B138="Complete"</formula>
    </cfRule>
    <cfRule type="expression" dxfId="648" priority="12">
      <formula>B138="In Progress"</formula>
    </cfRule>
    <cfRule type="expression" dxfId="647" priority="13">
      <formula>B138="At Risk"</formula>
    </cfRule>
    <cfRule type="expression" dxfId="646" priority="14">
      <formula>B138="Blocked"</formula>
    </cfRule>
    <cfRule type="expression" dxfId="645" priority="15">
      <formula>B138="Not Started"</formula>
    </cfRule>
  </conditionalFormatting>
  <conditionalFormatting sqref="B161:B168">
    <cfRule type="expression" dxfId="644" priority="82">
      <formula>B161="Yes"</formula>
    </cfRule>
    <cfRule type="expression" dxfId="643" priority="83">
      <formula>B161="N/A"</formula>
    </cfRule>
    <cfRule type="expression" dxfId="642" priority="84">
      <formula>B161="No"</formula>
    </cfRule>
  </conditionalFormatting>
  <conditionalFormatting sqref="B178:H178">
    <cfRule type="expression" dxfId="641" priority="85">
      <formula>COUNTIF($B$6:$B$13,"No")=0</formula>
    </cfRule>
    <cfRule type="expression" dxfId="64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39" priority="31">
      <formula>C109="Yes"</formula>
    </cfRule>
    <cfRule type="expression" dxfId="638" priority="32">
      <formula>C109="No"</formula>
    </cfRule>
    <cfRule type="expression" dxfId="63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36" priority="18">
      <formula>C138="N/A"</formula>
    </cfRule>
    <cfRule type="expression" dxfId="635" priority="17">
      <formula>C138="No"</formula>
    </cfRule>
    <cfRule type="expression" dxfId="634" priority="16">
      <formula>C138="Yes"</formula>
    </cfRule>
  </conditionalFormatting>
  <conditionalFormatting sqref="C144:D144">
    <cfRule type="dataBar" priority="20">
      <dataBar>
        <cfvo type="num" val="0"/>
        <cfvo type="num" val="1"/>
        <color rgb="FF5B9BD5"/>
      </dataBar>
    </cfRule>
  </conditionalFormatting>
  <conditionalFormatting sqref="E5 G5 I5">
    <cfRule type="expression" dxfId="633" priority="87">
      <formula>E5="Pass"</formula>
    </cfRule>
    <cfRule type="expression" dxfId="632" priority="88">
      <formula>E5="Verify"</formula>
    </cfRule>
    <cfRule type="expression" dxfId="631" priority="89">
      <formula>E5="Fail"</formula>
    </cfRule>
    <cfRule type="expression" dxfId="630" priority="90">
      <formula>E5="Not Started"</formula>
    </cfRule>
  </conditionalFormatting>
  <conditionalFormatting sqref="F3">
    <cfRule type="expression" dxfId="629" priority="91">
      <formula>F3="Yes"</formula>
    </cfRule>
    <cfRule type="expression" dxfId="628" priority="92">
      <formula>F3="No"</formula>
    </cfRule>
  </conditionalFormatting>
  <conditionalFormatting sqref="F121:F125">
    <cfRule type="expression" dxfId="627" priority="34">
      <formula>F121="Pass"</formula>
    </cfRule>
    <cfRule type="expression" dxfId="626" priority="35">
      <formula>F121="Fail"</formula>
    </cfRule>
    <cfRule type="expression" dxfId="62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Lookup_Lists!$L$37:$L$39</xm:f>
          </x14:formula1>
          <xm:sqref>C121:E125 J2</xm:sqref>
        </x14:dataValidation>
        <x14:dataValidation type="list" allowBlank="1" showInputMessage="1" showErrorMessage="1" xr:uid="{50B70099-28AA-4319-B25A-A4AC46F2EF11}">
          <x14:formula1>
            <xm:f>Lookup_Lists!$A$36:$A$42</xm:f>
          </x14:formula1>
          <xm:sqref>B100:B104 B109:B116 B138:B143</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112.5">
      <c r="A1" s="116" t="s">
        <v>2755</v>
      </c>
      <c r="B1" s="116"/>
      <c r="C1" s="116"/>
      <c r="D1" s="116"/>
      <c r="E1" s="116"/>
      <c r="F1" s="116"/>
      <c r="G1" s="116"/>
      <c r="H1" s="116"/>
      <c r="I1" s="116"/>
      <c r="J1" s="116"/>
    </row>
    <row r="2" spans="1:10" s="223" customFormat="1">
      <c r="A2" s="219" t="s">
        <v>142</v>
      </c>
      <c r="B2" s="220" t="s">
        <v>2756</v>
      </c>
      <c r="C2" s="219" t="s">
        <v>902</v>
      </c>
      <c r="D2" s="220" t="s">
        <v>1094</v>
      </c>
      <c r="E2" s="219" t="s">
        <v>151</v>
      </c>
      <c r="F2" s="220" t="s">
        <v>1095</v>
      </c>
      <c r="G2" s="219" t="s">
        <v>174</v>
      </c>
      <c r="H2" s="221">
        <v>0.5</v>
      </c>
      <c r="I2" s="219" t="s">
        <v>154</v>
      </c>
      <c r="J2" s="222" t="s">
        <v>1096</v>
      </c>
    </row>
    <row r="3" spans="1:10" s="227" customFormat="1" ht="25.5">
      <c r="A3" s="219" t="s">
        <v>903</v>
      </c>
      <c r="B3" s="224">
        <v>46198.692357534717</v>
      </c>
      <c r="C3" s="225" t="s">
        <v>904</v>
      </c>
      <c r="D3" s="226" t="s">
        <v>721</v>
      </c>
      <c r="E3" s="219" t="s">
        <v>905</v>
      </c>
      <c r="F3" s="226" t="s">
        <v>2757</v>
      </c>
      <c r="G3" s="219" t="s">
        <v>907</v>
      </c>
      <c r="H3" s="226" t="s">
        <v>908</v>
      </c>
      <c r="I3" s="219" t="s">
        <v>551</v>
      </c>
      <c r="J3" s="226" t="s">
        <v>2758</v>
      </c>
    </row>
    <row r="4" spans="1:10" s="227" customFormat="1" ht="229.5">
      <c r="A4" s="219" t="s">
        <v>161</v>
      </c>
      <c r="B4" s="226">
        <v>0</v>
      </c>
      <c r="C4" s="219" t="s">
        <v>199</v>
      </c>
      <c r="D4" s="226">
        <v>0</v>
      </c>
      <c r="E4" s="219" t="s">
        <v>179</v>
      </c>
      <c r="F4" s="226">
        <v>0</v>
      </c>
      <c r="G4" s="219" t="s">
        <v>870</v>
      </c>
      <c r="H4" s="228" t="s">
        <v>2759</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2.25" customHeight="1">
      <c r="A6" s="234" t="s">
        <v>916</v>
      </c>
      <c r="B6" s="221" t="s">
        <v>947</v>
      </c>
      <c r="C6" s="235" t="s">
        <v>869</v>
      </c>
      <c r="D6" s="604" t="s">
        <v>2762</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2756</v>
      </c>
      <c r="B10" s="13" t="s">
        <v>421</v>
      </c>
      <c r="C10" s="13" t="s">
        <v>919</v>
      </c>
      <c r="D10" s="13" t="s">
        <v>2763</v>
      </c>
      <c r="E10" s="13" t="s">
        <v>2764</v>
      </c>
      <c r="F10" s="13">
        <v>1</v>
      </c>
      <c r="G10" s="13">
        <v>0</v>
      </c>
      <c r="H10" s="13" t="s">
        <v>677</v>
      </c>
      <c r="I10" s="13" t="s">
        <v>2765</v>
      </c>
      <c r="J10" s="13" t="s">
        <v>2766</v>
      </c>
    </row>
    <row r="11" spans="1:10" ht="102">
      <c r="A11" s="13" t="s">
        <v>2756</v>
      </c>
      <c r="B11" s="13" t="s">
        <v>2767</v>
      </c>
      <c r="C11" s="13" t="s">
        <v>919</v>
      </c>
      <c r="D11" s="13" t="s">
        <v>2768</v>
      </c>
      <c r="E11" s="13" t="s">
        <v>925</v>
      </c>
      <c r="F11" s="13">
        <v>2</v>
      </c>
      <c r="G11" s="13">
        <v>0</v>
      </c>
      <c r="H11" s="13" t="s">
        <v>677</v>
      </c>
      <c r="I11" s="13" t="s">
        <v>2769</v>
      </c>
      <c r="J11" s="13" t="s">
        <v>2770</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421</v>
      </c>
      <c r="B15" s="13" t="s">
        <v>677</v>
      </c>
      <c r="C15" s="13" t="s">
        <v>677</v>
      </c>
      <c r="D15" s="13" t="s">
        <v>2771</v>
      </c>
      <c r="E15" s="13" t="s">
        <v>677</v>
      </c>
      <c r="F15" s="13" t="s">
        <v>947</v>
      </c>
      <c r="G15" s="13" t="s">
        <v>677</v>
      </c>
      <c r="H15" s="13" t="s">
        <v>677</v>
      </c>
      <c r="I15" s="13" t="s">
        <v>677</v>
      </c>
      <c r="J15" s="13" t="s">
        <v>2772</v>
      </c>
    </row>
    <row r="16" spans="1:10" ht="63.75">
      <c r="A16" s="13" t="s">
        <v>2767</v>
      </c>
      <c r="B16" s="13" t="s">
        <v>946</v>
      </c>
      <c r="C16" s="13" t="s">
        <v>946</v>
      </c>
      <c r="D16" s="13" t="s">
        <v>946</v>
      </c>
      <c r="E16" s="13" t="s">
        <v>677</v>
      </c>
      <c r="F16" s="13" t="s">
        <v>947</v>
      </c>
      <c r="G16" s="13" t="s">
        <v>677</v>
      </c>
      <c r="H16" s="13" t="s">
        <v>677</v>
      </c>
      <c r="I16" s="13" t="s">
        <v>677</v>
      </c>
      <c r="J16" s="13" t="s">
        <v>2773</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421</v>
      </c>
      <c r="B20" s="13" t="s">
        <v>2774</v>
      </c>
      <c r="C20" s="13" t="s">
        <v>679</v>
      </c>
      <c r="D20" s="13" t="s">
        <v>947</v>
      </c>
      <c r="E20" s="13" t="s">
        <v>947</v>
      </c>
      <c r="F20" s="13" t="s">
        <v>1238</v>
      </c>
      <c r="G20" s="13" t="s">
        <v>677</v>
      </c>
      <c r="H20" s="13" t="s">
        <v>677</v>
      </c>
      <c r="I20" s="13" t="s">
        <v>677</v>
      </c>
      <c r="J20" s="13" t="s">
        <v>2775</v>
      </c>
    </row>
    <row r="21" spans="1:10" ht="38.25">
      <c r="A21" s="13" t="s">
        <v>2767</v>
      </c>
      <c r="B21" s="13" t="s">
        <v>946</v>
      </c>
      <c r="C21" s="13" t="s">
        <v>679</v>
      </c>
      <c r="D21" s="13" t="s">
        <v>947</v>
      </c>
      <c r="E21" s="13" t="s">
        <v>947</v>
      </c>
      <c r="F21" s="13" t="s">
        <v>1238</v>
      </c>
      <c r="G21" s="13" t="s">
        <v>677</v>
      </c>
      <c r="H21" s="13" t="s">
        <v>677</v>
      </c>
      <c r="I21" s="13" t="s">
        <v>677</v>
      </c>
      <c r="J21" s="13" t="s">
        <v>2776</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421</v>
      </c>
      <c r="B25" s="13" t="s">
        <v>2777</v>
      </c>
      <c r="C25" s="13" t="s">
        <v>679</v>
      </c>
      <c r="D25" s="13" t="s">
        <v>679</v>
      </c>
      <c r="E25" s="13" t="s">
        <v>679</v>
      </c>
      <c r="F25" s="13" t="s">
        <v>679</v>
      </c>
      <c r="G25" s="13" t="s">
        <v>679</v>
      </c>
      <c r="H25" s="13" t="s">
        <v>679</v>
      </c>
      <c r="I25" s="13" t="s">
        <v>679</v>
      </c>
      <c r="J25" s="13" t="s">
        <v>2778</v>
      </c>
    </row>
    <row r="26" spans="1:10" ht="63.75">
      <c r="A26" s="13" t="s">
        <v>2767</v>
      </c>
      <c r="B26" s="13" t="s">
        <v>2217</v>
      </c>
      <c r="C26" s="13" t="s">
        <v>677</v>
      </c>
      <c r="D26" s="13" t="s">
        <v>677</v>
      </c>
      <c r="E26" s="13" t="s">
        <v>677</v>
      </c>
      <c r="F26" s="13" t="s">
        <v>677</v>
      </c>
      <c r="G26" s="13" t="s">
        <v>677</v>
      </c>
      <c r="H26" s="13" t="s">
        <v>677</v>
      </c>
      <c r="I26" s="13" t="s">
        <v>677</v>
      </c>
      <c r="J26" s="13" t="s">
        <v>2779</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421</v>
      </c>
      <c r="B30" s="13" t="s">
        <v>677</v>
      </c>
      <c r="C30" s="13" t="s">
        <v>2780</v>
      </c>
      <c r="D30" s="13" t="s">
        <v>677</v>
      </c>
      <c r="E30" s="13" t="s">
        <v>677</v>
      </c>
      <c r="F30" s="13" t="s">
        <v>2781</v>
      </c>
      <c r="G30" s="13" t="s">
        <v>677</v>
      </c>
      <c r="H30" s="13" t="s">
        <v>677</v>
      </c>
      <c r="I30" s="13" t="s">
        <v>677</v>
      </c>
      <c r="J30" s="13" t="s">
        <v>2782</v>
      </c>
    </row>
    <row r="31" spans="1:10" ht="63.75">
      <c r="A31" s="13" t="s">
        <v>2767</v>
      </c>
      <c r="B31" s="13" t="s">
        <v>988</v>
      </c>
      <c r="C31" s="13" t="s">
        <v>1485</v>
      </c>
      <c r="D31" s="13" t="s">
        <v>988</v>
      </c>
      <c r="E31" s="13" t="s">
        <v>677</v>
      </c>
      <c r="F31" s="13" t="s">
        <v>946</v>
      </c>
      <c r="G31" s="13" t="s">
        <v>677</v>
      </c>
      <c r="H31" s="13" t="s">
        <v>677</v>
      </c>
      <c r="I31" s="13" t="s">
        <v>677</v>
      </c>
      <c r="J31" s="13" t="s">
        <v>2783</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421</v>
      </c>
      <c r="B35" s="13" t="s">
        <v>677</v>
      </c>
      <c r="C35" s="13" t="s">
        <v>677</v>
      </c>
      <c r="D35" s="13" t="s">
        <v>677</v>
      </c>
      <c r="E35" s="13" t="s">
        <v>677</v>
      </c>
      <c r="F35" s="13" t="s">
        <v>677</v>
      </c>
      <c r="G35" s="13" t="s">
        <v>677</v>
      </c>
      <c r="H35" s="13" t="s">
        <v>677</v>
      </c>
      <c r="I35" s="13" t="s">
        <v>677</v>
      </c>
      <c r="J35" s="13" t="s">
        <v>2784</v>
      </c>
    </row>
    <row r="36" spans="1:10" ht="76.5">
      <c r="A36" s="13" t="s">
        <v>2767</v>
      </c>
      <c r="B36" s="13" t="s">
        <v>988</v>
      </c>
      <c r="C36" s="13" t="s">
        <v>988</v>
      </c>
      <c r="D36" s="13" t="s">
        <v>988</v>
      </c>
      <c r="E36" s="13" t="s">
        <v>677</v>
      </c>
      <c r="F36" s="13" t="s">
        <v>677</v>
      </c>
      <c r="G36" s="13" t="s">
        <v>677</v>
      </c>
      <c r="H36" s="13" t="s">
        <v>677</v>
      </c>
      <c r="I36" s="13" t="s">
        <v>677</v>
      </c>
      <c r="J36" s="13" t="s">
        <v>2785</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421</v>
      </c>
      <c r="B40" s="13" t="s">
        <v>1238</v>
      </c>
      <c r="C40" s="13" t="s">
        <v>1238</v>
      </c>
      <c r="D40" s="13" t="s">
        <v>1238</v>
      </c>
      <c r="E40" s="13" t="s">
        <v>1238</v>
      </c>
      <c r="F40" s="13" t="s">
        <v>947</v>
      </c>
      <c r="G40" s="13" t="s">
        <v>947</v>
      </c>
      <c r="H40" s="13" t="s">
        <v>677</v>
      </c>
      <c r="I40" s="13" t="s">
        <v>677</v>
      </c>
      <c r="J40" s="13" t="s">
        <v>2786</v>
      </c>
    </row>
    <row r="41" spans="1:10" ht="51">
      <c r="A41" s="13" t="s">
        <v>2767</v>
      </c>
      <c r="B41" s="13" t="s">
        <v>1238</v>
      </c>
      <c r="C41" s="13" t="s">
        <v>1238</v>
      </c>
      <c r="D41" s="13" t="s">
        <v>1238</v>
      </c>
      <c r="E41" s="13" t="s">
        <v>1238</v>
      </c>
      <c r="F41" s="13" t="s">
        <v>947</v>
      </c>
      <c r="G41" s="13" t="s">
        <v>947</v>
      </c>
      <c r="H41" s="13" t="s">
        <v>677</v>
      </c>
      <c r="I41" s="13" t="s">
        <v>677</v>
      </c>
      <c r="J41" s="13" t="s">
        <v>2787</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3.75">
      <c r="A45" s="13" t="s">
        <v>2788</v>
      </c>
      <c r="B45" s="13" t="s">
        <v>575</v>
      </c>
      <c r="C45" s="13" t="s">
        <v>2789</v>
      </c>
      <c r="D45" s="13" t="s">
        <v>391</v>
      </c>
      <c r="E45" s="13" t="s">
        <v>488</v>
      </c>
      <c r="F45" s="13">
        <v>6</v>
      </c>
      <c r="G45" s="13" t="s">
        <v>1381</v>
      </c>
      <c r="H45" s="13" t="s">
        <v>1023</v>
      </c>
      <c r="I45" s="13" t="s">
        <v>502</v>
      </c>
      <c r="J45" s="13" t="s">
        <v>2790</v>
      </c>
    </row>
    <row r="46" spans="1:10" ht="76.5">
      <c r="A46" s="13" t="s">
        <v>2791</v>
      </c>
      <c r="B46" s="13" t="s">
        <v>2792</v>
      </c>
      <c r="C46" s="13" t="s">
        <v>2793</v>
      </c>
      <c r="D46" s="13" t="s">
        <v>492</v>
      </c>
      <c r="E46" s="13" t="s">
        <v>488</v>
      </c>
      <c r="F46" s="13">
        <v>8</v>
      </c>
      <c r="G46" s="13" t="s">
        <v>1025</v>
      </c>
      <c r="H46" s="13" t="s">
        <v>584</v>
      </c>
      <c r="I46" s="13" t="s">
        <v>502</v>
      </c>
      <c r="J46" s="13" t="s">
        <v>2794</v>
      </c>
    </row>
    <row r="47" spans="1:10" ht="51">
      <c r="A47" s="13" t="s">
        <v>2795</v>
      </c>
      <c r="B47" s="13" t="s">
        <v>421</v>
      </c>
      <c r="C47" s="13" t="s">
        <v>2796</v>
      </c>
      <c r="D47" s="13" t="s">
        <v>488</v>
      </c>
      <c r="E47" s="13" t="s">
        <v>488</v>
      </c>
      <c r="F47" s="13">
        <v>4</v>
      </c>
      <c r="G47" s="13" t="s">
        <v>2797</v>
      </c>
      <c r="H47" s="13" t="s">
        <v>2798</v>
      </c>
      <c r="I47" s="13" t="s">
        <v>502</v>
      </c>
      <c r="J47" s="13" t="s">
        <v>2799</v>
      </c>
    </row>
    <row r="48" spans="1:10" ht="63.75">
      <c r="A48" s="13" t="s">
        <v>2800</v>
      </c>
      <c r="B48" s="13" t="s">
        <v>421</v>
      </c>
      <c r="C48" s="13" t="s">
        <v>2801</v>
      </c>
      <c r="D48" s="13" t="s">
        <v>391</v>
      </c>
      <c r="E48" s="13" t="s">
        <v>488</v>
      </c>
      <c r="F48" s="13">
        <v>6</v>
      </c>
      <c r="G48" s="13" t="s">
        <v>2802</v>
      </c>
      <c r="H48" s="13" t="s">
        <v>2803</v>
      </c>
      <c r="I48" s="13" t="s">
        <v>502</v>
      </c>
      <c r="J48" s="13" t="s">
        <v>2804</v>
      </c>
    </row>
    <row r="49" spans="1:10" ht="63.75">
      <c r="A49" s="13" t="s">
        <v>2805</v>
      </c>
      <c r="B49" s="13" t="s">
        <v>421</v>
      </c>
      <c r="C49" s="13" t="s">
        <v>2806</v>
      </c>
      <c r="D49" s="13" t="s">
        <v>391</v>
      </c>
      <c r="E49" s="13" t="s">
        <v>488</v>
      </c>
      <c r="F49" s="13">
        <v>6</v>
      </c>
      <c r="G49" s="13" t="s">
        <v>2807</v>
      </c>
      <c r="H49" s="13" t="s">
        <v>2808</v>
      </c>
      <c r="I49" s="13" t="s">
        <v>502</v>
      </c>
      <c r="J49" s="13" t="s">
        <v>2809</v>
      </c>
    </row>
    <row r="50" spans="1:10" ht="76.5">
      <c r="A50" s="13" t="s">
        <v>2810</v>
      </c>
      <c r="B50" s="13" t="s">
        <v>575</v>
      </c>
      <c r="C50" s="13" t="s">
        <v>2811</v>
      </c>
      <c r="D50" s="13" t="s">
        <v>391</v>
      </c>
      <c r="E50" s="13" t="s">
        <v>488</v>
      </c>
      <c r="F50" s="13">
        <v>6</v>
      </c>
      <c r="G50" s="13" t="s">
        <v>2812</v>
      </c>
      <c r="H50" s="13" t="s">
        <v>1037</v>
      </c>
      <c r="I50" s="13" t="s">
        <v>502</v>
      </c>
      <c r="J50" s="13" t="s">
        <v>2813</v>
      </c>
    </row>
    <row r="51" spans="1:10" ht="89.25">
      <c r="A51" s="13" t="s">
        <v>2814</v>
      </c>
      <c r="B51" s="13" t="s">
        <v>575</v>
      </c>
      <c r="C51" s="13" t="s">
        <v>2815</v>
      </c>
      <c r="D51" s="13" t="s">
        <v>391</v>
      </c>
      <c r="E51" s="13" t="s">
        <v>488</v>
      </c>
      <c r="F51" s="13">
        <v>6</v>
      </c>
      <c r="G51" s="13" t="s">
        <v>2816</v>
      </c>
      <c r="H51" s="13" t="s">
        <v>622</v>
      </c>
      <c r="I51" s="13" t="s">
        <v>502</v>
      </c>
      <c r="J51" s="13" t="s">
        <v>2817</v>
      </c>
    </row>
    <row r="52" spans="1:10" ht="89.25">
      <c r="A52" s="13" t="s">
        <v>2818</v>
      </c>
      <c r="B52" s="13" t="s">
        <v>575</v>
      </c>
      <c r="C52" s="13" t="s">
        <v>2819</v>
      </c>
      <c r="D52" s="13" t="s">
        <v>391</v>
      </c>
      <c r="E52" s="13" t="s">
        <v>488</v>
      </c>
      <c r="F52" s="13">
        <v>6</v>
      </c>
      <c r="G52" s="13" t="s">
        <v>2820</v>
      </c>
      <c r="H52" s="13" t="s">
        <v>1049</v>
      </c>
      <c r="I52" s="13" t="s">
        <v>502</v>
      </c>
      <c r="J52" s="13" t="s">
        <v>2821</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2822</v>
      </c>
      <c r="B56" s="13" t="s">
        <v>2823</v>
      </c>
      <c r="C56" s="13" t="s">
        <v>579</v>
      </c>
      <c r="D56" s="13" t="s">
        <v>502</v>
      </c>
      <c r="E56" s="13"/>
      <c r="F56" s="13"/>
      <c r="G56" s="13" t="s">
        <v>2619</v>
      </c>
      <c r="H56" s="13"/>
      <c r="I56" s="13"/>
      <c r="J56" s="13"/>
    </row>
    <row r="57" spans="1:10" ht="63.75">
      <c r="A57" s="13" t="s">
        <v>2824</v>
      </c>
      <c r="B57" s="13" t="s">
        <v>2825</v>
      </c>
      <c r="C57" s="13" t="s">
        <v>587</v>
      </c>
      <c r="D57" s="13" t="s">
        <v>502</v>
      </c>
      <c r="E57" s="13"/>
      <c r="F57" s="13"/>
      <c r="G57" s="13" t="s">
        <v>588</v>
      </c>
      <c r="H57" s="13"/>
      <c r="I57" s="13"/>
      <c r="J57" s="13"/>
    </row>
    <row r="58" spans="1:10" ht="89.25">
      <c r="A58" s="13" t="s">
        <v>2826</v>
      </c>
      <c r="B58" s="13" t="s">
        <v>2827</v>
      </c>
      <c r="C58" s="13" t="s">
        <v>616</v>
      </c>
      <c r="D58" s="13" t="s">
        <v>502</v>
      </c>
      <c r="E58" s="13"/>
      <c r="F58" s="13"/>
      <c r="G58" s="13" t="s">
        <v>617</v>
      </c>
      <c r="H58" s="13"/>
      <c r="I58" s="13"/>
      <c r="J58" s="13"/>
    </row>
    <row r="59" spans="1:10" ht="89.25">
      <c r="A59" s="13" t="s">
        <v>2828</v>
      </c>
      <c r="B59" s="13" t="s">
        <v>2829</v>
      </c>
      <c r="C59" s="13" t="s">
        <v>2830</v>
      </c>
      <c r="D59" s="13" t="s">
        <v>502</v>
      </c>
      <c r="E59" s="13"/>
      <c r="F59" s="13"/>
      <c r="G59" s="13" t="s">
        <v>2831</v>
      </c>
      <c r="H59" s="13"/>
      <c r="I59" s="13"/>
      <c r="J59" s="13"/>
    </row>
    <row r="60" spans="1:10" ht="76.5">
      <c r="A60" s="13" t="s">
        <v>2832</v>
      </c>
      <c r="B60" s="13" t="s">
        <v>2833</v>
      </c>
      <c r="C60" s="13" t="s">
        <v>2834</v>
      </c>
      <c r="D60" s="13" t="s">
        <v>502</v>
      </c>
      <c r="E60" s="13"/>
      <c r="F60" s="13"/>
      <c r="G60" s="13" t="s">
        <v>2835</v>
      </c>
      <c r="H60" s="13"/>
      <c r="I60" s="13"/>
      <c r="J60" s="13"/>
    </row>
    <row r="61" spans="1:10" ht="63.75">
      <c r="A61" s="13" t="s">
        <v>2836</v>
      </c>
      <c r="B61" s="13" t="s">
        <v>2837</v>
      </c>
      <c r="C61" s="13" t="s">
        <v>2838</v>
      </c>
      <c r="D61" s="13" t="s">
        <v>502</v>
      </c>
      <c r="E61" s="13"/>
      <c r="F61" s="13"/>
      <c r="G61" s="13" t="s">
        <v>2839</v>
      </c>
      <c r="H61" s="13"/>
      <c r="I61" s="13"/>
      <c r="J61" s="13"/>
    </row>
    <row r="62" spans="1:10" ht="89.25">
      <c r="A62" s="13" t="s">
        <v>2840</v>
      </c>
      <c r="B62" s="13" t="s">
        <v>2841</v>
      </c>
      <c r="C62" s="13" t="s">
        <v>584</v>
      </c>
      <c r="D62" s="13" t="s">
        <v>502</v>
      </c>
      <c r="E62" s="13"/>
      <c r="F62" s="13"/>
      <c r="G62" s="13" t="s">
        <v>2842</v>
      </c>
      <c r="H62" s="13"/>
      <c r="I62" s="13"/>
      <c r="J62" s="13"/>
    </row>
    <row r="63" spans="1:10" ht="63.75">
      <c r="A63" s="13" t="s">
        <v>2843</v>
      </c>
      <c r="B63" s="13" t="s">
        <v>2844</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2845</v>
      </c>
      <c r="B67" s="13" t="s">
        <v>421</v>
      </c>
      <c r="C67" s="13" t="s">
        <v>269</v>
      </c>
      <c r="D67" s="13" t="s">
        <v>2846</v>
      </c>
      <c r="E67" s="13"/>
      <c r="F67" s="13" t="s">
        <v>229</v>
      </c>
      <c r="G67" s="13"/>
      <c r="H67" s="13" t="s">
        <v>2847</v>
      </c>
      <c r="I67" s="13" t="s">
        <v>502</v>
      </c>
      <c r="J67" s="13"/>
    </row>
    <row r="68" spans="1:10" ht="102">
      <c r="A68" s="13" t="s">
        <v>2848</v>
      </c>
      <c r="B68" s="13" t="s">
        <v>2767</v>
      </c>
      <c r="C68" s="13" t="s">
        <v>269</v>
      </c>
      <c r="D68" s="13" t="s">
        <v>2849</v>
      </c>
      <c r="E68" s="13"/>
      <c r="F68" s="13" t="s">
        <v>229</v>
      </c>
      <c r="G68" s="13"/>
      <c r="H68" s="13" t="s">
        <v>2850</v>
      </c>
      <c r="I68" s="13" t="s">
        <v>502</v>
      </c>
      <c r="J68" s="13"/>
    </row>
    <row r="69" spans="1:10" ht="76.5">
      <c r="A69" s="13" t="s">
        <v>2851</v>
      </c>
      <c r="B69" s="13" t="s">
        <v>2767</v>
      </c>
      <c r="C69" s="13" t="s">
        <v>1058</v>
      </c>
      <c r="D69" s="13" t="s">
        <v>2852</v>
      </c>
      <c r="E69" s="13"/>
      <c r="F69" s="13" t="s">
        <v>229</v>
      </c>
      <c r="G69" s="13"/>
      <c r="H69" s="13" t="s">
        <v>2853</v>
      </c>
      <c r="I69" s="13" t="s">
        <v>502</v>
      </c>
      <c r="J69" s="13"/>
    </row>
    <row r="70" spans="1:10" ht="89.25">
      <c r="A70" s="13" t="s">
        <v>2854</v>
      </c>
      <c r="B70" s="13" t="s">
        <v>2792</v>
      </c>
      <c r="C70" s="13" t="s">
        <v>2640</v>
      </c>
      <c r="D70" s="13" t="s">
        <v>2855</v>
      </c>
      <c r="E70" s="13"/>
      <c r="F70" s="13" t="s">
        <v>229</v>
      </c>
      <c r="G70" s="13"/>
      <c r="H70" s="13" t="s">
        <v>2856</v>
      </c>
      <c r="I70" s="13" t="s">
        <v>502</v>
      </c>
      <c r="J70" s="13"/>
    </row>
    <row r="71" spans="1:10" ht="89.25">
      <c r="A71" s="13" t="s">
        <v>2857</v>
      </c>
      <c r="B71" s="13" t="s">
        <v>421</v>
      </c>
      <c r="C71" s="13" t="s">
        <v>153</v>
      </c>
      <c r="D71" s="13" t="s">
        <v>2858</v>
      </c>
      <c r="E71" s="13"/>
      <c r="F71" s="13" t="s">
        <v>229</v>
      </c>
      <c r="G71" s="13"/>
      <c r="H71" s="13" t="s">
        <v>2805</v>
      </c>
      <c r="I71" s="13" t="s">
        <v>502</v>
      </c>
      <c r="J71" s="13"/>
    </row>
    <row r="72" spans="1:10" ht="89.25">
      <c r="A72" s="13" t="s">
        <v>2859</v>
      </c>
      <c r="B72" s="13" t="s">
        <v>2792</v>
      </c>
      <c r="C72" s="13" t="s">
        <v>155</v>
      </c>
      <c r="D72" s="13" t="s">
        <v>2860</v>
      </c>
      <c r="E72" s="13"/>
      <c r="F72" s="13" t="s">
        <v>229</v>
      </c>
      <c r="G72" s="13"/>
      <c r="H72" s="13" t="s">
        <v>2861</v>
      </c>
      <c r="I72" s="13" t="s">
        <v>502</v>
      </c>
      <c r="J72" s="13"/>
    </row>
    <row r="73" spans="1:10" ht="51">
      <c r="A73" s="13" t="s">
        <v>2862</v>
      </c>
      <c r="B73" s="13" t="s">
        <v>575</v>
      </c>
      <c r="C73" s="13" t="s">
        <v>957</v>
      </c>
      <c r="D73" s="13" t="s">
        <v>2863</v>
      </c>
      <c r="E73" s="13"/>
      <c r="F73" s="13" t="s">
        <v>229</v>
      </c>
      <c r="G73" s="13"/>
      <c r="H73" s="13" t="s">
        <v>2814</v>
      </c>
      <c r="I73" s="13" t="s">
        <v>502</v>
      </c>
      <c r="J73" s="13"/>
    </row>
    <row r="74" spans="1:10" ht="76.5">
      <c r="A74" s="13" t="s">
        <v>2864</v>
      </c>
      <c r="B74" s="13" t="s">
        <v>575</v>
      </c>
      <c r="C74" s="13" t="s">
        <v>2865</v>
      </c>
      <c r="D74" s="13" t="s">
        <v>2866</v>
      </c>
      <c r="E74" s="13"/>
      <c r="F74" s="13" t="s">
        <v>229</v>
      </c>
      <c r="G74" s="13"/>
      <c r="H74" s="13" t="s">
        <v>2818</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421</v>
      </c>
      <c r="B78" s="126">
        <v>0.5</v>
      </c>
      <c r="C78" s="126">
        <v>0.5</v>
      </c>
      <c r="D78" s="13" t="s">
        <v>1238</v>
      </c>
      <c r="E78" s="126">
        <v>0.5</v>
      </c>
      <c r="F78" s="126">
        <v>0.5</v>
      </c>
      <c r="G78" s="13" t="s">
        <v>677</v>
      </c>
      <c r="H78" s="126">
        <v>0.5</v>
      </c>
      <c r="I78" s="13" t="s">
        <v>1201</v>
      </c>
      <c r="J78" s="13" t="s">
        <v>2867</v>
      </c>
    </row>
    <row r="79" spans="1:10" ht="38.25">
      <c r="A79" s="13" t="s">
        <v>2767</v>
      </c>
      <c r="B79" s="126">
        <v>0.5</v>
      </c>
      <c r="C79" s="126">
        <v>0.5</v>
      </c>
      <c r="D79" s="126">
        <v>0.5</v>
      </c>
      <c r="E79" s="126">
        <v>0.5</v>
      </c>
      <c r="F79" s="126">
        <v>0.5</v>
      </c>
      <c r="G79" s="13" t="s">
        <v>677</v>
      </c>
      <c r="H79" s="126">
        <v>0.5</v>
      </c>
      <c r="I79" s="13" t="s">
        <v>1201</v>
      </c>
      <c r="J79" s="13" t="s">
        <v>2868</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51">
      <c r="A82" s="50" t="s">
        <v>905</v>
      </c>
      <c r="B82" s="50" t="s">
        <v>2869</v>
      </c>
      <c r="C82" s="50"/>
      <c r="D82" s="50"/>
      <c r="E82" s="50"/>
      <c r="F82" s="50"/>
      <c r="G82" s="50"/>
      <c r="H82" s="50"/>
      <c r="I82" s="50"/>
      <c r="J82" s="50"/>
    </row>
    <row r="83" spans="1:10">
      <c r="A83" s="13" t="s">
        <v>1086</v>
      </c>
      <c r="B83" s="594" t="s">
        <v>2870</v>
      </c>
      <c r="C83" s="896"/>
      <c r="D83" s="896"/>
      <c r="E83" s="896"/>
      <c r="F83" s="896"/>
      <c r="G83" s="896"/>
      <c r="H83" s="896"/>
      <c r="I83" s="896"/>
      <c r="J83" s="896"/>
    </row>
    <row r="84" spans="1:10">
      <c r="A84" s="13" t="s">
        <v>2194</v>
      </c>
      <c r="B84" s="594" t="s">
        <v>2871</v>
      </c>
      <c r="C84" s="896"/>
      <c r="D84" s="896"/>
      <c r="E84" s="896"/>
      <c r="F84" s="896"/>
      <c r="G84" s="896"/>
      <c r="H84" s="896"/>
      <c r="I84" s="896"/>
      <c r="J84" s="896"/>
    </row>
    <row r="85" spans="1:10">
      <c r="A85" s="13" t="s">
        <v>1088</v>
      </c>
      <c r="B85" s="594" t="s">
        <v>2872</v>
      </c>
      <c r="C85" s="896"/>
      <c r="D85" s="896"/>
      <c r="E85" s="896"/>
      <c r="F85" s="896"/>
      <c r="G85" s="896"/>
      <c r="H85" s="896"/>
      <c r="I85" s="896"/>
      <c r="J85" s="896"/>
    </row>
    <row r="86" spans="1:10">
      <c r="A86" s="13" t="s">
        <v>1090</v>
      </c>
      <c r="B86" s="594" t="s">
        <v>2873</v>
      </c>
      <c r="C86" s="896"/>
      <c r="D86" s="896"/>
      <c r="E86" s="896"/>
      <c r="F86" s="896"/>
      <c r="G86" s="896"/>
      <c r="H86" s="896"/>
      <c r="I86" s="896"/>
      <c r="J86" s="896"/>
    </row>
    <row r="87" spans="1:10">
      <c r="A87" s="13" t="s">
        <v>1563</v>
      </c>
      <c r="B87" s="594" t="s">
        <v>2874</v>
      </c>
      <c r="C87" s="896"/>
      <c r="D87" s="896"/>
      <c r="E87" s="896"/>
      <c r="F87" s="896"/>
      <c r="G87" s="896"/>
      <c r="H87" s="896"/>
      <c r="I87" s="896"/>
      <c r="J87" s="896"/>
    </row>
    <row r="88" spans="1:10">
      <c r="A88" s="13" t="s">
        <v>1092</v>
      </c>
      <c r="B88" s="594" t="s">
        <v>2875</v>
      </c>
      <c r="C88" s="896"/>
      <c r="D88" s="896"/>
      <c r="E88" s="896"/>
      <c r="F88" s="896"/>
      <c r="G88" s="896"/>
      <c r="H88" s="896"/>
      <c r="I88" s="896"/>
      <c r="J88" s="896"/>
    </row>
    <row r="89" spans="1:10" ht="15.75" thickBot="1"/>
    <row r="90" spans="1:10">
      <c r="A90" s="605" t="s">
        <v>5668</v>
      </c>
      <c r="B90" s="602"/>
      <c r="C90" s="602"/>
      <c r="D90" s="606"/>
      <c r="E90" s="602"/>
      <c r="F90" s="602"/>
      <c r="G90" s="606"/>
      <c r="H90" s="606"/>
      <c r="I90" s="606"/>
      <c r="J90" s="607"/>
    </row>
    <row r="91" spans="1:10">
      <c r="A91" s="321" t="s">
        <v>5610</v>
      </c>
      <c r="B91" s="322" t="s">
        <v>77</v>
      </c>
      <c r="C91" s="322" t="s">
        <v>5611</v>
      </c>
      <c r="D91" s="322" t="s">
        <v>5612</v>
      </c>
      <c r="E91" s="322" t="s">
        <v>5634</v>
      </c>
      <c r="F91" s="322" t="s">
        <v>5601</v>
      </c>
      <c r="G91" s="578" t="s">
        <v>5635</v>
      </c>
      <c r="H91" s="578"/>
      <c r="I91" s="578"/>
      <c r="J91" s="579"/>
    </row>
    <row r="92" spans="1:10" ht="25.5">
      <c r="A92" s="323" t="s">
        <v>5613</v>
      </c>
      <c r="B92" s="333" t="s">
        <v>484</v>
      </c>
      <c r="C92" s="325">
        <v>0</v>
      </c>
      <c r="D92" s="325">
        <v>0</v>
      </c>
      <c r="E92" s="192" t="s">
        <v>5674</v>
      </c>
      <c r="F92" s="325">
        <f>IF(AND(C92&lt;&gt;"",D92&lt;&gt;""),D92-C92,"")</f>
        <v>0</v>
      </c>
      <c r="G92" s="608"/>
      <c r="H92" s="608"/>
      <c r="I92" s="608"/>
      <c r="J92" s="609"/>
    </row>
    <row r="93" spans="1:10" ht="25.5">
      <c r="A93" s="326" t="s">
        <v>5614</v>
      </c>
      <c r="B93" s="333" t="s">
        <v>484</v>
      </c>
      <c r="C93" s="327">
        <v>1</v>
      </c>
      <c r="D93" s="327">
        <v>0</v>
      </c>
      <c r="E93" s="310" t="s">
        <v>5675</v>
      </c>
      <c r="F93" s="327">
        <f>IF(AND(C93&lt;&gt;"",D93&lt;&gt;""),D93-C93,"")</f>
        <v>-1</v>
      </c>
      <c r="G93" s="610"/>
      <c r="H93" s="610"/>
      <c r="I93" s="610"/>
      <c r="J93" s="611"/>
    </row>
    <row r="94" spans="1:10">
      <c r="A94" s="323" t="s">
        <v>5615</v>
      </c>
      <c r="B94" s="333" t="s">
        <v>484</v>
      </c>
      <c r="C94" s="327">
        <v>1</v>
      </c>
      <c r="D94" s="327">
        <v>0</v>
      </c>
      <c r="E94" s="310" t="s">
        <v>5675</v>
      </c>
      <c r="F94" s="325">
        <f>IF(AND(C94&lt;&gt;"",D94&lt;&gt;""),D94-C94,"")</f>
        <v>-1</v>
      </c>
      <c r="G94" s="328"/>
      <c r="H94" s="227"/>
      <c r="I94" s="227"/>
      <c r="J94" s="329"/>
    </row>
    <row r="95" spans="1:10">
      <c r="A95" s="326" t="s">
        <v>5616</v>
      </c>
      <c r="B95" s="333" t="s">
        <v>484</v>
      </c>
      <c r="C95" s="327">
        <v>1</v>
      </c>
      <c r="D95" s="327">
        <v>0</v>
      </c>
      <c r="E95" s="310" t="s">
        <v>5675</v>
      </c>
      <c r="F95" s="327">
        <f>IF(AND(C95&lt;&gt;"",D95&lt;&gt;""),D95-C95,"")</f>
        <v>-1</v>
      </c>
      <c r="G95" s="610"/>
      <c r="H95" s="610"/>
      <c r="I95" s="610"/>
      <c r="J95" s="611"/>
    </row>
    <row r="96" spans="1:10">
      <c r="A96" s="323" t="s">
        <v>5168</v>
      </c>
      <c r="B96" s="333" t="s">
        <v>484</v>
      </c>
      <c r="C96" s="327">
        <v>1</v>
      </c>
      <c r="D96" s="327">
        <v>0</v>
      </c>
      <c r="E96" s="310" t="s">
        <v>5675</v>
      </c>
      <c r="F96" s="325">
        <f>IF(AND(C96&lt;&gt;"",D96&lt;&gt;""),D96-C96,"")</f>
        <v>-1</v>
      </c>
      <c r="G96" s="328"/>
      <c r="H96" s="227"/>
      <c r="I96" s="227"/>
      <c r="J96" s="329"/>
    </row>
    <row r="97" spans="1:10" ht="15.75">
      <c r="A97" s="585" t="s">
        <v>5636</v>
      </c>
      <c r="B97" s="586"/>
      <c r="C97" s="330">
        <f>IFERROR(AVERAGE(C92:C96),"")</f>
        <v>0.8</v>
      </c>
      <c r="D97" s="330">
        <f>IFERROR(AVERAGE(D92:D96),"")</f>
        <v>0</v>
      </c>
      <c r="E97" s="589" t="s">
        <v>5637</v>
      </c>
      <c r="F97" s="589"/>
      <c r="G97" s="589"/>
      <c r="H97" s="589"/>
      <c r="I97" s="589"/>
      <c r="J97" s="590"/>
    </row>
    <row r="98" spans="1:10">
      <c r="A98" s="331"/>
      <c r="B98" s="316"/>
      <c r="C98" s="316"/>
      <c r="D98" s="316"/>
      <c r="E98" s="316"/>
      <c r="F98" s="316"/>
      <c r="G98" s="316"/>
      <c r="H98" s="227"/>
      <c r="I98" s="227"/>
      <c r="J98" s="329"/>
    </row>
    <row r="99" spans="1:10">
      <c r="A99" s="574" t="s">
        <v>5669</v>
      </c>
      <c r="B99" s="582"/>
      <c r="C99" s="582"/>
      <c r="D99" s="575"/>
      <c r="E99" s="582"/>
      <c r="F99" s="582"/>
      <c r="G99" s="575"/>
      <c r="H99" s="575"/>
      <c r="I99" s="575"/>
      <c r="J99" s="576"/>
    </row>
    <row r="100" spans="1:10">
      <c r="A100" s="321" t="s">
        <v>4946</v>
      </c>
      <c r="B100" s="322" t="s">
        <v>77</v>
      </c>
      <c r="C100" s="322" t="s">
        <v>5676</v>
      </c>
      <c r="D100" s="322" t="s">
        <v>482</v>
      </c>
      <c r="E100" s="322" t="s">
        <v>572</v>
      </c>
      <c r="F100" s="322" t="s">
        <v>5639</v>
      </c>
      <c r="G100" s="578" t="s">
        <v>5640</v>
      </c>
      <c r="H100" s="578"/>
      <c r="I100" s="578"/>
      <c r="J100" s="579"/>
    </row>
    <row r="101" spans="1:10" ht="25.5">
      <c r="A101" s="326" t="s">
        <v>5602</v>
      </c>
      <c r="B101" s="333" t="s">
        <v>484</v>
      </c>
      <c r="C101" s="332" t="s">
        <v>679</v>
      </c>
      <c r="D101" s="324" t="s">
        <v>679</v>
      </c>
      <c r="E101" s="332">
        <f>IF(D101="Yes",1,0)</f>
        <v>0</v>
      </c>
      <c r="F101" s="580"/>
      <c r="G101" s="580"/>
      <c r="H101" s="580"/>
      <c r="I101" s="580"/>
      <c r="J101" s="581"/>
    </row>
    <row r="102" spans="1:10">
      <c r="A102" s="323" t="s">
        <v>995</v>
      </c>
      <c r="B102" s="333" t="s">
        <v>484</v>
      </c>
      <c r="C102" s="332" t="s">
        <v>679</v>
      </c>
      <c r="D102" s="324" t="s">
        <v>679</v>
      </c>
      <c r="E102" s="324">
        <f t="shared" ref="E102:E108" si="0">IF(D102="Yes",1,0)</f>
        <v>0</v>
      </c>
      <c r="F102" s="580"/>
      <c r="G102" s="580"/>
      <c r="H102" s="580"/>
      <c r="I102" s="580"/>
      <c r="J102" s="581"/>
    </row>
    <row r="103" spans="1:10">
      <c r="A103" s="326" t="s">
        <v>5603</v>
      </c>
      <c r="B103" s="333" t="s">
        <v>484</v>
      </c>
      <c r="C103" s="332" t="s">
        <v>679</v>
      </c>
      <c r="D103" s="324" t="s">
        <v>679</v>
      </c>
      <c r="E103" s="332">
        <f t="shared" si="0"/>
        <v>0</v>
      </c>
      <c r="F103" s="580"/>
      <c r="G103" s="580"/>
      <c r="H103" s="580"/>
      <c r="I103" s="580"/>
      <c r="J103" s="581"/>
    </row>
    <row r="104" spans="1:10">
      <c r="A104" s="323" t="s">
        <v>5617</v>
      </c>
      <c r="B104" s="333" t="s">
        <v>484</v>
      </c>
      <c r="C104" s="332" t="s">
        <v>679</v>
      </c>
      <c r="D104" s="324" t="s">
        <v>679</v>
      </c>
      <c r="E104" s="324">
        <f t="shared" si="0"/>
        <v>0</v>
      </c>
      <c r="F104" s="580"/>
      <c r="G104" s="580"/>
      <c r="H104" s="580"/>
      <c r="I104" s="580"/>
      <c r="J104" s="581"/>
    </row>
    <row r="105" spans="1:10" ht="38.25">
      <c r="A105" s="326" t="s">
        <v>5618</v>
      </c>
      <c r="B105" s="333" t="s">
        <v>484</v>
      </c>
      <c r="C105" s="332" t="s">
        <v>679</v>
      </c>
      <c r="D105" s="324" t="s">
        <v>679</v>
      </c>
      <c r="E105" s="332">
        <f t="shared" si="0"/>
        <v>0</v>
      </c>
      <c r="F105" s="580"/>
      <c r="G105" s="580"/>
      <c r="H105" s="580"/>
      <c r="I105" s="580"/>
      <c r="J105" s="581"/>
    </row>
    <row r="106" spans="1:10" ht="25.5">
      <c r="A106" s="323" t="s">
        <v>5619</v>
      </c>
      <c r="B106" s="333" t="s">
        <v>484</v>
      </c>
      <c r="C106" s="332" t="s">
        <v>679</v>
      </c>
      <c r="D106" s="324" t="s">
        <v>679</v>
      </c>
      <c r="E106" s="324">
        <f t="shared" si="0"/>
        <v>0</v>
      </c>
      <c r="F106" s="580"/>
      <c r="G106" s="580"/>
      <c r="H106" s="580"/>
      <c r="I106" s="580"/>
      <c r="J106" s="581"/>
    </row>
    <row r="107" spans="1:10">
      <c r="A107" s="326" t="s">
        <v>5604</v>
      </c>
      <c r="B107" s="333" t="s">
        <v>484</v>
      </c>
      <c r="C107" s="332" t="s">
        <v>679</v>
      </c>
      <c r="D107" s="324" t="s">
        <v>679</v>
      </c>
      <c r="E107" s="332">
        <f t="shared" si="0"/>
        <v>0</v>
      </c>
      <c r="F107" s="580"/>
      <c r="G107" s="580"/>
      <c r="H107" s="580"/>
      <c r="I107" s="580"/>
      <c r="J107" s="581"/>
    </row>
    <row r="108" spans="1:10" ht="25.5">
      <c r="A108" s="323" t="s">
        <v>5605</v>
      </c>
      <c r="B108" s="333" t="s">
        <v>484</v>
      </c>
      <c r="C108" s="332" t="s">
        <v>679</v>
      </c>
      <c r="D108" s="324" t="s">
        <v>679</v>
      </c>
      <c r="E108" s="324">
        <f t="shared" si="0"/>
        <v>0</v>
      </c>
      <c r="F108" s="580"/>
      <c r="G108" s="580"/>
      <c r="H108" s="580"/>
      <c r="I108" s="580"/>
      <c r="J108" s="581"/>
    </row>
    <row r="109" spans="1:10" ht="15.75">
      <c r="A109" s="585" t="s">
        <v>5641</v>
      </c>
      <c r="B109" s="586"/>
      <c r="C109" s="587" t="str">
        <f>IFERROR(SUM(E101:E108)/COUNTIF(C101:C108,"Yes"),"")</f>
        <v/>
      </c>
      <c r="D109" s="588"/>
      <c r="E109" s="589" t="s">
        <v>5642</v>
      </c>
      <c r="F109" s="589"/>
      <c r="G109" s="589"/>
      <c r="H109" s="589"/>
      <c r="I109" s="589"/>
      <c r="J109" s="590"/>
    </row>
    <row r="110" spans="1:10">
      <c r="A110" s="331"/>
      <c r="B110" s="316"/>
      <c r="C110" s="316"/>
      <c r="D110" s="316"/>
      <c r="E110" s="316"/>
      <c r="F110" s="316"/>
      <c r="G110" s="316"/>
      <c r="H110" s="227"/>
      <c r="I110" s="227"/>
      <c r="J110" s="329"/>
    </row>
    <row r="111" spans="1:10">
      <c r="A111" s="574" t="s">
        <v>5670</v>
      </c>
      <c r="B111" s="582"/>
      <c r="C111" s="582"/>
      <c r="D111" s="575"/>
      <c r="E111" s="582"/>
      <c r="F111" s="582"/>
      <c r="G111" s="575"/>
      <c r="H111" s="575"/>
      <c r="I111" s="575"/>
      <c r="J111" s="576"/>
    </row>
    <row r="112" spans="1:10">
      <c r="A112" s="321" t="s">
        <v>5643</v>
      </c>
      <c r="B112" s="322" t="s">
        <v>77</v>
      </c>
      <c r="C112" s="322" t="s">
        <v>5620</v>
      </c>
      <c r="D112" s="322" t="s">
        <v>5621</v>
      </c>
      <c r="E112" s="322" t="s">
        <v>5622</v>
      </c>
      <c r="F112" s="322" t="s">
        <v>5644</v>
      </c>
      <c r="G112" s="578" t="s">
        <v>5645</v>
      </c>
      <c r="H112" s="578"/>
      <c r="I112" s="578"/>
      <c r="J112" s="579"/>
    </row>
    <row r="113" spans="1:10" ht="25.5">
      <c r="A113" s="326" t="s">
        <v>5623</v>
      </c>
      <c r="B113" s="332" t="s">
        <v>484</v>
      </c>
      <c r="C113" s="332" t="s">
        <v>1096</v>
      </c>
      <c r="D113" s="332" t="s">
        <v>1096</v>
      </c>
      <c r="E113" s="332" t="s">
        <v>1096</v>
      </c>
      <c r="F113" s="332" t="s">
        <v>348</v>
      </c>
      <c r="G113" s="583"/>
      <c r="H113" s="583"/>
      <c r="I113" s="583"/>
      <c r="J113" s="584"/>
    </row>
    <row r="114" spans="1:10">
      <c r="A114" s="323" t="s">
        <v>5624</v>
      </c>
      <c r="B114" s="332" t="s">
        <v>484</v>
      </c>
      <c r="C114" s="332" t="s">
        <v>1096</v>
      </c>
      <c r="D114" s="332" t="s">
        <v>1096</v>
      </c>
      <c r="E114" s="332" t="s">
        <v>1096</v>
      </c>
      <c r="F114" s="332" t="s">
        <v>348</v>
      </c>
      <c r="G114" s="583"/>
      <c r="H114" s="583"/>
      <c r="I114" s="583"/>
      <c r="J114" s="584"/>
    </row>
    <row r="115" spans="1:10">
      <c r="A115" s="326" t="s">
        <v>5646</v>
      </c>
      <c r="B115" s="332" t="s">
        <v>484</v>
      </c>
      <c r="C115" s="332" t="s">
        <v>1096</v>
      </c>
      <c r="D115" s="332" t="s">
        <v>1096</v>
      </c>
      <c r="E115" s="332" t="s">
        <v>1096</v>
      </c>
      <c r="F115" s="332" t="s">
        <v>348</v>
      </c>
      <c r="G115" s="583"/>
      <c r="H115" s="583"/>
      <c r="I115" s="583"/>
      <c r="J115" s="584"/>
    </row>
    <row r="116" spans="1:10">
      <c r="A116" s="323" t="s">
        <v>5625</v>
      </c>
      <c r="B116" s="332" t="s">
        <v>484</v>
      </c>
      <c r="C116" s="332" t="s">
        <v>1096</v>
      </c>
      <c r="D116" s="332" t="s">
        <v>1096</v>
      </c>
      <c r="E116" s="332" t="s">
        <v>1096</v>
      </c>
      <c r="F116" s="332" t="s">
        <v>348</v>
      </c>
      <c r="G116" s="583"/>
      <c r="H116" s="583"/>
      <c r="I116" s="583"/>
      <c r="J116" s="584"/>
    </row>
    <row r="117" spans="1:10" ht="25.5">
      <c r="A117" s="326" t="s">
        <v>5626</v>
      </c>
      <c r="B117" s="332" t="s">
        <v>484</v>
      </c>
      <c r="C117" s="332" t="s">
        <v>1096</v>
      </c>
      <c r="D117" s="332" t="s">
        <v>1096</v>
      </c>
      <c r="E117" s="332" t="s">
        <v>1096</v>
      </c>
      <c r="F117" s="332" t="s">
        <v>348</v>
      </c>
      <c r="G117" s="583"/>
      <c r="H117" s="583"/>
      <c r="I117" s="583"/>
      <c r="J117" s="584"/>
    </row>
    <row r="118" spans="1:10" ht="15.75">
      <c r="A118" s="585" t="s">
        <v>5677</v>
      </c>
      <c r="B118" s="586"/>
      <c r="C118" s="587">
        <f>IFERROR(COUNTIF(E113:E117,"Yes")/COUNTA(A113:A117),"")</f>
        <v>0</v>
      </c>
      <c r="D118" s="588"/>
      <c r="E118" s="589" t="s">
        <v>5648</v>
      </c>
      <c r="F118" s="589"/>
      <c r="G118" s="589"/>
      <c r="H118" s="589"/>
      <c r="I118" s="589"/>
      <c r="J118" s="590"/>
    </row>
    <row r="119" spans="1:10">
      <c r="A119" s="331"/>
      <c r="B119" s="316"/>
      <c r="C119" s="316"/>
      <c r="D119" s="316"/>
      <c r="E119" s="316"/>
      <c r="F119" s="316"/>
      <c r="G119" s="599"/>
      <c r="H119" s="599"/>
      <c r="I119" s="599"/>
      <c r="J119" s="600"/>
    </row>
    <row r="120" spans="1:10">
      <c r="A120" s="574" t="s">
        <v>5671</v>
      </c>
      <c r="B120" s="582"/>
      <c r="C120" s="582"/>
      <c r="D120" s="575"/>
      <c r="E120" s="582"/>
      <c r="F120" s="582"/>
      <c r="G120" s="575"/>
      <c r="H120" s="575"/>
      <c r="I120" s="575"/>
      <c r="J120" s="576"/>
    </row>
    <row r="121" spans="1:10">
      <c r="A121" s="322" t="s">
        <v>5606</v>
      </c>
      <c r="B121" s="322" t="s">
        <v>77</v>
      </c>
      <c r="C121" s="322" t="s">
        <v>5627</v>
      </c>
      <c r="D121" s="322" t="s">
        <v>5628</v>
      </c>
      <c r="E121" s="322" t="s">
        <v>5629</v>
      </c>
      <c r="F121" s="322" t="s">
        <v>5630</v>
      </c>
      <c r="G121" s="578" t="s">
        <v>5678</v>
      </c>
      <c r="H121" s="578"/>
      <c r="I121" s="578"/>
      <c r="J121" s="578"/>
    </row>
    <row r="122" spans="1:10">
      <c r="A122" s="328" t="s">
        <v>153</v>
      </c>
      <c r="B122" s="324" t="s">
        <v>484</v>
      </c>
      <c r="C122" s="324"/>
      <c r="D122" s="324"/>
      <c r="E122" s="324"/>
      <c r="F122" s="325" t="str">
        <f>IFERROR(D122/C122,"")</f>
        <v/>
      </c>
      <c r="G122" s="572"/>
      <c r="H122" s="572"/>
      <c r="I122" s="572"/>
      <c r="J122" s="572"/>
    </row>
    <row r="123" spans="1:10">
      <c r="A123" s="335" t="s">
        <v>155</v>
      </c>
      <c r="B123" s="332" t="s">
        <v>484</v>
      </c>
      <c r="C123" s="332"/>
      <c r="D123" s="332"/>
      <c r="E123" s="332"/>
      <c r="F123" s="327" t="str">
        <f>IFERROR(D123/C123,"")</f>
        <v/>
      </c>
      <c r="G123" s="572"/>
      <c r="H123" s="572"/>
      <c r="I123" s="572"/>
      <c r="J123" s="572"/>
    </row>
    <row r="124" spans="1:10">
      <c r="A124" s="328" t="s">
        <v>4821</v>
      </c>
      <c r="B124" s="324" t="s">
        <v>484</v>
      </c>
      <c r="C124" s="324"/>
      <c r="D124" s="324"/>
      <c r="E124" s="324"/>
      <c r="F124" s="325" t="str">
        <f>IFERROR(D124/C124,"")</f>
        <v/>
      </c>
      <c r="G124" s="572"/>
      <c r="H124" s="572"/>
      <c r="I124" s="572"/>
      <c r="J124" s="572"/>
    </row>
    <row r="125" spans="1:10">
      <c r="A125" s="335" t="s">
        <v>957</v>
      </c>
      <c r="B125" s="332" t="s">
        <v>484</v>
      </c>
      <c r="C125" s="332"/>
      <c r="D125" s="332"/>
      <c r="E125" s="332"/>
      <c r="F125" s="327" t="str">
        <f>IFERROR(D125/C125,"")</f>
        <v/>
      </c>
      <c r="G125" s="572"/>
      <c r="H125" s="572"/>
      <c r="I125" s="572"/>
      <c r="J125" s="572"/>
    </row>
    <row r="126" spans="1:10">
      <c r="A126" s="597" t="s">
        <v>5649</v>
      </c>
      <c r="B126" s="597"/>
      <c r="C126" s="597"/>
      <c r="D126" s="597"/>
      <c r="E126" s="589" t="s">
        <v>5650</v>
      </c>
      <c r="F126" s="589"/>
      <c r="G126" s="589"/>
      <c r="H126" s="589"/>
      <c r="I126" s="589"/>
      <c r="J126" s="589"/>
    </row>
    <row r="127" spans="1:10">
      <c r="A127" s="597"/>
      <c r="B127" s="597"/>
      <c r="C127" s="597"/>
      <c r="D127" s="597"/>
      <c r="E127" s="589"/>
      <c r="F127" s="589"/>
      <c r="G127" s="589"/>
      <c r="H127" s="589"/>
      <c r="I127" s="589"/>
      <c r="J127" s="589"/>
    </row>
    <row r="128" spans="1:10">
      <c r="A128" s="575" t="s">
        <v>5672</v>
      </c>
      <c r="B128" s="575"/>
      <c r="C128" s="575"/>
      <c r="D128" s="575"/>
      <c r="E128" s="575"/>
      <c r="F128" s="575"/>
      <c r="G128" s="575"/>
      <c r="H128" s="575"/>
      <c r="I128" s="575"/>
      <c r="J128" s="575"/>
    </row>
    <row r="129" spans="1:10">
      <c r="A129" s="322" t="s">
        <v>4946</v>
      </c>
      <c r="B129" s="322" t="s">
        <v>77</v>
      </c>
      <c r="C129" s="322" t="s">
        <v>5638</v>
      </c>
      <c r="D129" s="322" t="s">
        <v>482</v>
      </c>
      <c r="E129" s="322" t="s">
        <v>572</v>
      </c>
      <c r="F129" s="322" t="s">
        <v>944</v>
      </c>
      <c r="G129" s="578" t="s">
        <v>5640</v>
      </c>
      <c r="H129" s="578"/>
      <c r="I129" s="578"/>
      <c r="J129" s="578"/>
    </row>
    <row r="130" spans="1:10" ht="25.5">
      <c r="A130" s="328" t="s">
        <v>5607</v>
      </c>
      <c r="B130" s="324" t="s">
        <v>484</v>
      </c>
      <c r="C130" s="324" t="s">
        <v>392</v>
      </c>
      <c r="D130" s="324" t="s">
        <v>1096</v>
      </c>
      <c r="E130" s="324">
        <f t="shared" ref="E130:E135" si="1">IF(D130="Yes",1,0)</f>
        <v>0</v>
      </c>
      <c r="F130" s="324"/>
      <c r="G130" s="572"/>
      <c r="H130" s="572"/>
      <c r="I130" s="572"/>
      <c r="J130" s="572"/>
    </row>
    <row r="131" spans="1:10">
      <c r="A131" s="335" t="s">
        <v>5608</v>
      </c>
      <c r="B131" s="324" t="s">
        <v>484</v>
      </c>
      <c r="C131" s="332" t="s">
        <v>392</v>
      </c>
      <c r="D131" s="324" t="s">
        <v>1096</v>
      </c>
      <c r="E131" s="332">
        <f t="shared" si="1"/>
        <v>0</v>
      </c>
      <c r="F131" s="332"/>
      <c r="G131" s="572"/>
      <c r="H131" s="572"/>
      <c r="I131" s="572"/>
      <c r="J131" s="572"/>
    </row>
    <row r="132" spans="1:10" ht="25.5">
      <c r="A132" s="328" t="s">
        <v>5609</v>
      </c>
      <c r="B132" s="324" t="s">
        <v>484</v>
      </c>
      <c r="C132" s="324" t="s">
        <v>392</v>
      </c>
      <c r="D132" s="324" t="s">
        <v>1096</v>
      </c>
      <c r="E132" s="324">
        <f t="shared" si="1"/>
        <v>0</v>
      </c>
      <c r="F132" s="324"/>
      <c r="G132" s="572"/>
      <c r="H132" s="572"/>
      <c r="I132" s="572"/>
      <c r="J132" s="572"/>
    </row>
    <row r="133" spans="1:10">
      <c r="A133" s="335" t="s">
        <v>5631</v>
      </c>
      <c r="B133" s="324" t="s">
        <v>484</v>
      </c>
      <c r="C133" s="332" t="s">
        <v>392</v>
      </c>
      <c r="D133" s="324" t="s">
        <v>1096</v>
      </c>
      <c r="E133" s="332">
        <f t="shared" si="1"/>
        <v>0</v>
      </c>
      <c r="F133" s="332"/>
      <c r="G133" s="572"/>
      <c r="H133" s="572"/>
      <c r="I133" s="572"/>
      <c r="J133" s="572"/>
    </row>
    <row r="134" spans="1:10" ht="25.5">
      <c r="A134" s="328" t="s">
        <v>5632</v>
      </c>
      <c r="B134" s="324" t="s">
        <v>484</v>
      </c>
      <c r="C134" s="324" t="s">
        <v>392</v>
      </c>
      <c r="D134" s="324" t="s">
        <v>1096</v>
      </c>
      <c r="E134" s="324">
        <f t="shared" si="1"/>
        <v>0</v>
      </c>
      <c r="F134" s="324"/>
      <c r="G134" s="572"/>
      <c r="H134" s="572"/>
      <c r="I134" s="572"/>
      <c r="J134" s="572"/>
    </row>
    <row r="135" spans="1:10" ht="25.5">
      <c r="A135" s="335" t="s">
        <v>5633</v>
      </c>
      <c r="B135" s="324" t="s">
        <v>484</v>
      </c>
      <c r="C135" s="332" t="s">
        <v>392</v>
      </c>
      <c r="D135" s="332" t="s">
        <v>1096</v>
      </c>
      <c r="E135" s="332">
        <f t="shared" si="1"/>
        <v>0</v>
      </c>
      <c r="F135" s="332"/>
      <c r="G135" s="572"/>
      <c r="H135" s="572"/>
      <c r="I135" s="572"/>
      <c r="J135" s="572"/>
    </row>
    <row r="136" spans="1:10" ht="15.75">
      <c r="A136" s="930" t="s">
        <v>5651</v>
      </c>
      <c r="B136" s="586"/>
      <c r="C136" s="587">
        <f>IFERROR(SUM(E130:E135)/COUNTIF(C130:C135,"Yes"),"")</f>
        <v>0</v>
      </c>
      <c r="D136" s="588"/>
      <c r="E136" s="589" t="s">
        <v>5652</v>
      </c>
      <c r="F136" s="589"/>
      <c r="G136" s="589"/>
      <c r="H136" s="589"/>
      <c r="I136" s="589"/>
      <c r="J136" s="589"/>
    </row>
    <row r="137" spans="1:10">
      <c r="A137" s="192"/>
      <c r="B137" s="192"/>
      <c r="C137" s="192"/>
      <c r="D137" s="192"/>
      <c r="E137" s="192"/>
      <c r="F137" s="192"/>
      <c r="G137" s="192"/>
      <c r="H137" s="192"/>
      <c r="I137" s="192"/>
      <c r="J137" s="192"/>
    </row>
    <row r="138" spans="1:10">
      <c r="A138" s="575" t="s">
        <v>5673</v>
      </c>
      <c r="B138" s="582"/>
      <c r="C138" s="582"/>
      <c r="D138" s="317"/>
      <c r="E138" s="317"/>
      <c r="F138" s="317"/>
      <c r="G138" s="317"/>
      <c r="H138" s="317"/>
      <c r="I138" s="317"/>
      <c r="J138" s="317"/>
    </row>
    <row r="139" spans="1:10" ht="38.25">
      <c r="A139" s="318" t="s">
        <v>905</v>
      </c>
      <c r="B139" s="318" t="s">
        <v>830</v>
      </c>
      <c r="C139" s="318"/>
      <c r="D139" s="318"/>
      <c r="E139" s="318"/>
      <c r="F139" s="318"/>
      <c r="G139" s="318"/>
      <c r="H139" s="318"/>
      <c r="I139" s="318"/>
      <c r="J139" s="318"/>
    </row>
    <row r="140" spans="1:10">
      <c r="A140" s="315" t="s">
        <v>1086</v>
      </c>
      <c r="B140" s="594" t="s">
        <v>3292</v>
      </c>
      <c r="C140" s="582"/>
      <c r="D140" s="582"/>
      <c r="E140" s="582"/>
      <c r="F140" s="582"/>
      <c r="G140" s="582"/>
      <c r="H140" s="582"/>
      <c r="I140" s="582"/>
      <c r="J140" s="582"/>
    </row>
    <row r="141" spans="1:10" ht="25.5">
      <c r="A141" s="315" t="s">
        <v>2090</v>
      </c>
      <c r="B141" s="594" t="s">
        <v>3293</v>
      </c>
      <c r="C141" s="582"/>
      <c r="D141" s="582"/>
      <c r="E141" s="582"/>
      <c r="F141" s="582"/>
      <c r="G141" s="582"/>
      <c r="H141" s="582"/>
      <c r="I141" s="582"/>
      <c r="J141" s="582"/>
    </row>
    <row r="142" spans="1:10">
      <c r="A142" s="315" t="s">
        <v>1089</v>
      </c>
      <c r="B142" s="594" t="s">
        <v>3294</v>
      </c>
      <c r="C142" s="582"/>
      <c r="D142" s="582"/>
      <c r="E142" s="582"/>
      <c r="F142" s="582"/>
      <c r="G142" s="582"/>
      <c r="H142" s="582"/>
      <c r="I142" s="582"/>
      <c r="J142" s="582"/>
    </row>
    <row r="143" spans="1:10">
      <c r="A143" s="315" t="s">
        <v>1090</v>
      </c>
      <c r="B143" s="594" t="s">
        <v>3295</v>
      </c>
      <c r="C143" s="582"/>
      <c r="D143" s="582"/>
      <c r="E143" s="582"/>
      <c r="F143" s="582"/>
      <c r="G143" s="582"/>
      <c r="H143" s="582"/>
      <c r="I143" s="582"/>
      <c r="J143" s="582"/>
    </row>
    <row r="144" spans="1:10">
      <c r="A144" s="315" t="s">
        <v>1088</v>
      </c>
      <c r="B144" s="594" t="s">
        <v>3296</v>
      </c>
      <c r="C144" s="582"/>
      <c r="D144" s="582"/>
      <c r="E144" s="582"/>
      <c r="F144" s="582"/>
      <c r="G144" s="582"/>
      <c r="H144" s="582"/>
      <c r="I144" s="582"/>
      <c r="J144" s="582"/>
    </row>
    <row r="145" spans="1:10" ht="25.5">
      <c r="A145" s="315" t="s">
        <v>3297</v>
      </c>
      <c r="B145" s="594" t="s">
        <v>3298</v>
      </c>
      <c r="C145" s="582"/>
      <c r="D145" s="582"/>
      <c r="E145" s="582"/>
      <c r="F145" s="582"/>
      <c r="G145" s="582"/>
      <c r="H145" s="582"/>
      <c r="I145" s="582"/>
      <c r="J145" s="582"/>
    </row>
    <row r="146" spans="1:10">
      <c r="A146" s="315" t="s">
        <v>1563</v>
      </c>
      <c r="B146" s="594" t="s">
        <v>1776</v>
      </c>
      <c r="C146" s="582"/>
      <c r="D146" s="582"/>
      <c r="E146" s="582"/>
      <c r="F146" s="582"/>
      <c r="G146" s="582"/>
      <c r="H146" s="582"/>
      <c r="I146" s="582"/>
      <c r="J146" s="582"/>
    </row>
    <row r="147" spans="1:10">
      <c r="A147" s="227"/>
      <c r="B147" s="227"/>
      <c r="C147" s="227"/>
      <c r="D147" s="227"/>
      <c r="E147" s="227"/>
      <c r="F147" s="227"/>
      <c r="G147" s="227"/>
      <c r="H147" s="227"/>
      <c r="I147" s="227"/>
      <c r="J147" s="227"/>
    </row>
    <row r="148" spans="1:10" ht="18">
      <c r="A148" s="598" t="s">
        <v>5562</v>
      </c>
      <c r="B148" s="598"/>
      <c r="C148" s="598"/>
      <c r="D148" s="598"/>
      <c r="E148" s="598"/>
      <c r="F148" s="598"/>
      <c r="G148" s="598"/>
      <c r="H148" s="598"/>
      <c r="I148" s="227"/>
      <c r="J148" s="227"/>
    </row>
    <row r="149" spans="1:10">
      <c r="A149" s="272" t="s">
        <v>2</v>
      </c>
      <c r="B149" s="591" t="s">
        <v>5563</v>
      </c>
      <c r="C149" s="591"/>
      <c r="D149" s="591"/>
      <c r="E149" s="591"/>
      <c r="F149" s="591"/>
      <c r="G149" s="591"/>
      <c r="H149" s="591"/>
      <c r="I149" s="227"/>
      <c r="J149" s="227"/>
    </row>
    <row r="150" spans="1:10">
      <c r="A150" s="272" t="s">
        <v>5564</v>
      </c>
      <c r="B150" s="591" t="s">
        <v>5565</v>
      </c>
      <c r="C150" s="591"/>
      <c r="D150" s="591"/>
      <c r="E150" s="591"/>
      <c r="F150" s="591"/>
      <c r="G150" s="591"/>
      <c r="H150" s="591"/>
      <c r="I150" s="227"/>
      <c r="J150" s="227"/>
    </row>
    <row r="151" spans="1:10">
      <c r="A151" s="192"/>
      <c r="B151" s="192"/>
      <c r="C151" s="192"/>
      <c r="D151" s="192"/>
      <c r="E151" s="192"/>
      <c r="F151" s="192"/>
      <c r="G151" s="192"/>
      <c r="H151" s="192"/>
      <c r="I151" s="227"/>
      <c r="J151" s="227"/>
    </row>
    <row r="152" spans="1:10">
      <c r="A152" s="319" t="s">
        <v>4946</v>
      </c>
      <c r="B152" s="319" t="s">
        <v>77</v>
      </c>
      <c r="C152" s="319" t="s">
        <v>5566</v>
      </c>
      <c r="D152" s="319" t="s">
        <v>263</v>
      </c>
      <c r="E152" s="319" t="s">
        <v>216</v>
      </c>
      <c r="F152" s="319" t="s">
        <v>5567</v>
      </c>
      <c r="G152" s="319" t="s">
        <v>5568</v>
      </c>
      <c r="H152" s="319" t="s">
        <v>5569</v>
      </c>
      <c r="I152" s="227"/>
      <c r="J152" s="227"/>
    </row>
    <row r="153" spans="1:10" ht="25.5">
      <c r="A153" s="273" t="s">
        <v>5570</v>
      </c>
      <c r="B153" s="274" t="s">
        <v>1096</v>
      </c>
      <c r="C153" s="273"/>
      <c r="D153" s="273"/>
      <c r="E153" s="273"/>
      <c r="F153" s="273"/>
      <c r="G153" s="275" t="str">
        <f t="shared" ref="G153:G160" si="2">IF(OR(B153="Yes",B153="N/A"),"🟢","🟡")</f>
        <v>🟡</v>
      </c>
      <c r="H153" s="273"/>
      <c r="I153" s="227"/>
      <c r="J153" s="227"/>
    </row>
    <row r="154" spans="1:10">
      <c r="A154" s="273" t="s">
        <v>5571</v>
      </c>
      <c r="B154" s="274" t="s">
        <v>1096</v>
      </c>
      <c r="C154" s="273"/>
      <c r="D154" s="273"/>
      <c r="E154" s="273"/>
      <c r="F154" s="273"/>
      <c r="G154" s="275" t="str">
        <f t="shared" si="2"/>
        <v>🟡</v>
      </c>
      <c r="H154" s="273"/>
      <c r="I154" s="227"/>
      <c r="J154" s="227"/>
    </row>
    <row r="155" spans="1:10">
      <c r="A155" s="273" t="s">
        <v>5572</v>
      </c>
      <c r="B155" s="274" t="s">
        <v>1096</v>
      </c>
      <c r="C155" s="273"/>
      <c r="D155" s="273"/>
      <c r="E155" s="273"/>
      <c r="F155" s="273"/>
      <c r="G155" s="275" t="str">
        <f t="shared" si="2"/>
        <v>🟡</v>
      </c>
      <c r="H155" s="273"/>
      <c r="I155" s="227"/>
      <c r="J155" s="227"/>
    </row>
    <row r="156" spans="1:10">
      <c r="A156" s="273" t="s">
        <v>5168</v>
      </c>
      <c r="B156" s="274" t="s">
        <v>1096</v>
      </c>
      <c r="C156" s="273"/>
      <c r="D156" s="273"/>
      <c r="E156" s="273"/>
      <c r="F156" s="273"/>
      <c r="G156" s="275" t="str">
        <f t="shared" si="2"/>
        <v>🟡</v>
      </c>
      <c r="H156" s="273"/>
      <c r="I156" s="227"/>
      <c r="J156" s="227"/>
    </row>
    <row r="157" spans="1:10">
      <c r="A157" s="273" t="s">
        <v>5573</v>
      </c>
      <c r="B157" s="274" t="s">
        <v>1096</v>
      </c>
      <c r="C157" s="273"/>
      <c r="D157" s="273"/>
      <c r="E157" s="273"/>
      <c r="F157" s="273"/>
      <c r="G157" s="275" t="str">
        <f t="shared" si="2"/>
        <v>🟡</v>
      </c>
      <c r="H157" s="273"/>
      <c r="I157" s="227"/>
      <c r="J157" s="227"/>
    </row>
    <row r="158" spans="1:10">
      <c r="A158" s="273" t="s">
        <v>5574</v>
      </c>
      <c r="B158" s="274" t="s">
        <v>1096</v>
      </c>
      <c r="C158" s="273"/>
      <c r="D158" s="273"/>
      <c r="E158" s="273"/>
      <c r="F158" s="273"/>
      <c r="G158" s="275" t="str">
        <f t="shared" si="2"/>
        <v>🟡</v>
      </c>
      <c r="H158" s="273"/>
      <c r="I158" s="227"/>
      <c r="J158" s="227"/>
    </row>
    <row r="159" spans="1:10">
      <c r="A159" s="273" t="s">
        <v>178</v>
      </c>
      <c r="B159" s="274" t="s">
        <v>1096</v>
      </c>
      <c r="C159" s="273"/>
      <c r="D159" s="273"/>
      <c r="E159" s="273"/>
      <c r="F159" s="273"/>
      <c r="G159" s="275" t="str">
        <f t="shared" si="2"/>
        <v>🟡</v>
      </c>
      <c r="H159" s="273"/>
      <c r="I159" s="227"/>
      <c r="J159" s="227"/>
    </row>
    <row r="160" spans="1:10" ht="25.5">
      <c r="A160" s="273" t="s">
        <v>5575</v>
      </c>
      <c r="B160" s="274" t="s">
        <v>1096</v>
      </c>
      <c r="C160" s="273"/>
      <c r="D160" s="273"/>
      <c r="E160" s="273"/>
      <c r="F160" s="273"/>
      <c r="G160" s="275" t="str">
        <f t="shared" si="2"/>
        <v>🟡</v>
      </c>
      <c r="H160" s="273"/>
      <c r="I160" s="227"/>
      <c r="J160" s="227"/>
    </row>
    <row r="161" spans="1:10">
      <c r="A161" s="320" t="s">
        <v>4946</v>
      </c>
      <c r="B161" s="320" t="s">
        <v>5583</v>
      </c>
      <c r="C161" s="192"/>
      <c r="D161" s="192"/>
      <c r="E161" s="320" t="s">
        <v>5584</v>
      </c>
      <c r="F161" s="192"/>
      <c r="G161" s="192"/>
      <c r="H161" s="192"/>
      <c r="I161" s="227"/>
      <c r="J161" s="227"/>
    </row>
    <row r="162" spans="1:10" ht="25.5">
      <c r="A162" s="287" t="s">
        <v>5570</v>
      </c>
      <c r="B162" s="577" t="s">
        <v>5585</v>
      </c>
      <c r="C162" s="577"/>
      <c r="D162" s="577"/>
      <c r="E162" s="577" t="s">
        <v>5586</v>
      </c>
      <c r="F162" s="577"/>
      <c r="G162" s="577"/>
      <c r="H162" s="192"/>
      <c r="I162" s="227"/>
      <c r="J162" s="227"/>
    </row>
    <row r="163" spans="1:10">
      <c r="A163" s="287" t="s">
        <v>5571</v>
      </c>
      <c r="B163" s="577" t="s">
        <v>5587</v>
      </c>
      <c r="C163" s="577"/>
      <c r="D163" s="577"/>
      <c r="E163" s="577" t="s">
        <v>5588</v>
      </c>
      <c r="F163" s="577"/>
      <c r="G163" s="577"/>
      <c r="H163" s="192"/>
      <c r="I163" s="227"/>
      <c r="J163" s="227"/>
    </row>
    <row r="164" spans="1:10">
      <c r="A164" s="287" t="s">
        <v>5572</v>
      </c>
      <c r="B164" s="577" t="s">
        <v>5589</v>
      </c>
      <c r="C164" s="577"/>
      <c r="D164" s="577"/>
      <c r="E164" s="577" t="s">
        <v>5590</v>
      </c>
      <c r="F164" s="577"/>
      <c r="G164" s="577"/>
      <c r="H164" s="192"/>
      <c r="I164" s="227"/>
      <c r="J164" s="227"/>
    </row>
    <row r="165" spans="1:10">
      <c r="A165" s="287" t="s">
        <v>5168</v>
      </c>
      <c r="B165" s="577" t="s">
        <v>5591</v>
      </c>
      <c r="C165" s="577"/>
      <c r="D165" s="577"/>
      <c r="E165" s="577" t="s">
        <v>5592</v>
      </c>
      <c r="F165" s="577"/>
      <c r="G165" s="577"/>
      <c r="H165" s="192"/>
      <c r="I165" s="227"/>
      <c r="J165" s="227"/>
    </row>
    <row r="166" spans="1:10">
      <c r="A166" s="287" t="s">
        <v>5573</v>
      </c>
      <c r="B166" s="577" t="s">
        <v>5593</v>
      </c>
      <c r="C166" s="577"/>
      <c r="D166" s="577"/>
      <c r="E166" s="577" t="s">
        <v>5594</v>
      </c>
      <c r="F166" s="577"/>
      <c r="G166" s="577"/>
      <c r="H166" s="192"/>
      <c r="I166" s="227"/>
      <c r="J166" s="227"/>
    </row>
    <row r="167" spans="1:10">
      <c r="A167" s="287" t="s">
        <v>5574</v>
      </c>
      <c r="B167" s="577" t="s">
        <v>5595</v>
      </c>
      <c r="C167" s="577"/>
      <c r="D167" s="577"/>
      <c r="E167" s="577" t="s">
        <v>5596</v>
      </c>
      <c r="F167" s="577"/>
      <c r="G167" s="577"/>
      <c r="H167" s="192"/>
      <c r="I167" s="227"/>
      <c r="J167" s="227"/>
    </row>
    <row r="168" spans="1:10">
      <c r="A168" s="287" t="s">
        <v>178</v>
      </c>
      <c r="B168" s="577" t="s">
        <v>5597</v>
      </c>
      <c r="C168" s="577"/>
      <c r="D168" s="577"/>
      <c r="E168" s="577" t="s">
        <v>5598</v>
      </c>
      <c r="F168" s="577"/>
      <c r="G168" s="577"/>
      <c r="H168" s="192"/>
      <c r="I168" s="227"/>
      <c r="J168" s="227"/>
    </row>
    <row r="169" spans="1:10" ht="25.5">
      <c r="A169" s="287" t="s">
        <v>5575</v>
      </c>
      <c r="B169" s="577" t="s">
        <v>5599</v>
      </c>
      <c r="C169" s="577"/>
      <c r="D169" s="577"/>
      <c r="E169" s="577" t="s">
        <v>5600</v>
      </c>
      <c r="F169" s="577"/>
      <c r="G169" s="577"/>
      <c r="H169" s="192"/>
      <c r="I169" s="227"/>
      <c r="J169" s="227"/>
    </row>
    <row r="170" spans="1:10">
      <c r="A170" s="272" t="s">
        <v>5576</v>
      </c>
      <c r="B170" s="276" t="str">
        <f>IF(COUNTIF(B153:B160,"No")=0,"🟢 PILOT COMPLETE / ACCEPTANCE READY","🟡 NOT COMPLETE — ACCEPTANCE GATES OPEN")</f>
        <v>🟡 NOT COMPLETE — ACCEPTANCE GATES OPEN</v>
      </c>
      <c r="C170" s="276"/>
      <c r="D170" s="276"/>
      <c r="E170" s="276"/>
      <c r="F170" s="276"/>
      <c r="G170" s="276"/>
      <c r="H170" s="276"/>
    </row>
    <row r="171" spans="1:10">
      <c r="A171" s="272" t="s">
        <v>5577</v>
      </c>
      <c r="B171" s="276">
        <f>COUNTIF(B153:B160,"No")</f>
        <v>8</v>
      </c>
      <c r="C171" s="276"/>
      <c r="D171" s="276"/>
      <c r="E171" s="276"/>
      <c r="F171" s="276"/>
      <c r="G171" s="276"/>
      <c r="H171" s="276"/>
    </row>
    <row r="172" spans="1:10">
      <c r="A172" s="272" t="s">
        <v>5578</v>
      </c>
      <c r="B172" s="276" t="str">
        <f>COUNTIF(B153:B160,"Yes")&amp;" / 8 Complete"</f>
        <v>0 / 8 Complete</v>
      </c>
      <c r="C172" s="276"/>
      <c r="D172" s="276"/>
      <c r="E172" s="276"/>
      <c r="F172" s="276"/>
      <c r="G172" s="276"/>
      <c r="H172" s="276"/>
    </row>
    <row r="173" spans="1:10" ht="90">
      <c r="A173" s="277" t="s">
        <v>5579</v>
      </c>
      <c r="B173" s="278" t="s">
        <v>5580</v>
      </c>
      <c r="C173" s="278"/>
      <c r="D173" s="278"/>
      <c r="E173" s="278"/>
      <c r="F173" s="278"/>
      <c r="G173" s="278"/>
      <c r="H173" s="278"/>
    </row>
    <row r="174" spans="1:10">
      <c r="A174" s="277"/>
      <c r="B174" s="278"/>
      <c r="C174" s="278"/>
      <c r="D174" s="278"/>
      <c r="E174" s="278"/>
      <c r="F174" s="278"/>
      <c r="G174" s="278"/>
      <c r="H174" s="278"/>
    </row>
    <row r="175" spans="1:10" ht="64.5">
      <c r="A175" s="277" t="s">
        <v>5581</v>
      </c>
      <c r="B175" s="278" t="s">
        <v>5582</v>
      </c>
      <c r="C175" s="278"/>
      <c r="D175" s="278"/>
      <c r="E175" s="278"/>
      <c r="F175" s="278"/>
      <c r="G175" s="278"/>
      <c r="H175" s="278"/>
    </row>
    <row r="176" spans="1:10">
      <c r="A176" s="575" t="s">
        <v>5694</v>
      </c>
      <c r="B176" s="575"/>
      <c r="C176" s="575"/>
      <c r="D176" s="575"/>
      <c r="E176" s="575"/>
      <c r="F176" s="575"/>
      <c r="G176" s="575"/>
      <c r="H176" s="575"/>
      <c r="I176" s="575"/>
      <c r="J176" s="575"/>
    </row>
    <row r="177" spans="1:10">
      <c r="A177" s="336" t="s">
        <v>5679</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t="s">
        <v>5680</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5681</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5682</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575" t="s">
        <v>5695</v>
      </c>
      <c r="B187" s="575"/>
      <c r="C187" s="575"/>
      <c r="D187" s="575"/>
      <c r="E187" s="575"/>
      <c r="F187" s="575"/>
      <c r="G187" s="575"/>
      <c r="H187" s="575"/>
      <c r="I187" s="575"/>
      <c r="J187" s="575"/>
    </row>
    <row r="188" spans="1:10">
      <c r="A188" s="192"/>
      <c r="B188" s="192"/>
      <c r="C188" s="192"/>
      <c r="D188" s="192"/>
      <c r="E188" s="192"/>
      <c r="F188" s="192"/>
      <c r="G188" s="192"/>
      <c r="H188" s="192"/>
      <c r="I188" s="192"/>
      <c r="J188" s="192"/>
    </row>
    <row r="189" spans="1:10">
      <c r="A189" s="192" t="s">
        <v>5683</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5684</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5685</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575" t="s">
        <v>5696</v>
      </c>
      <c r="B197" s="575"/>
      <c r="C197" s="575"/>
      <c r="D197" s="575"/>
      <c r="E197" s="575"/>
      <c r="F197" s="575"/>
      <c r="G197" s="575"/>
      <c r="H197" s="575"/>
      <c r="I197" s="575"/>
      <c r="J197" s="575"/>
    </row>
    <row r="198" spans="1:10">
      <c r="A198" s="192"/>
      <c r="B198" s="192"/>
      <c r="C198" s="192"/>
      <c r="D198" s="192"/>
      <c r="E198" s="192"/>
      <c r="F198" s="192"/>
      <c r="G198" s="192"/>
      <c r="H198" s="192"/>
      <c r="I198" s="192"/>
      <c r="J198" s="192"/>
    </row>
    <row r="199" spans="1:10">
      <c r="A199" s="192" t="s">
        <v>5686</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5687</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5688</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575" t="s">
        <v>5697</v>
      </c>
      <c r="B209" s="575"/>
      <c r="C209" s="575"/>
      <c r="D209" s="575"/>
      <c r="E209" s="575"/>
      <c r="F209" s="575"/>
      <c r="G209" s="575"/>
      <c r="H209" s="575"/>
      <c r="I209" s="575"/>
      <c r="J209" s="575"/>
    </row>
    <row r="210" spans="1:10">
      <c r="A210" s="192"/>
      <c r="B210" s="192"/>
      <c r="C210" s="192"/>
      <c r="D210" s="192"/>
      <c r="E210" s="192"/>
      <c r="F210" s="192"/>
      <c r="G210" s="192"/>
      <c r="H210" s="192"/>
      <c r="I210" s="192"/>
      <c r="J210" s="192"/>
    </row>
    <row r="211" spans="1:10">
      <c r="A211" s="192" t="s">
        <v>5690</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5691</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5692</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5693</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192"/>
      <c r="B230" s="192"/>
      <c r="C230" s="192"/>
      <c r="D230" s="192"/>
      <c r="E230" s="192"/>
      <c r="F230" s="192"/>
      <c r="G230" s="192"/>
      <c r="H230" s="192"/>
      <c r="I230" s="192"/>
      <c r="J230" s="192"/>
    </row>
    <row r="231" spans="1:10">
      <c r="A231" s="316"/>
      <c r="B231" s="316"/>
      <c r="C231" s="316"/>
      <c r="D231" s="316"/>
      <c r="E231" s="316"/>
      <c r="F231" s="316"/>
      <c r="G231" s="599"/>
      <c r="H231" s="599"/>
      <c r="I231" s="599"/>
      <c r="J231" s="599"/>
    </row>
  </sheetData>
  <mergeCells count="119">
    <mergeCell ref="A209:C209"/>
    <mergeCell ref="D209:F209"/>
    <mergeCell ref="G209:J209"/>
    <mergeCell ref="G231:J231"/>
    <mergeCell ref="A187:C187"/>
    <mergeCell ref="D187:F187"/>
    <mergeCell ref="G187:J187"/>
    <mergeCell ref="A197:C197"/>
    <mergeCell ref="D197:F197"/>
    <mergeCell ref="G197:J197"/>
    <mergeCell ref="B169:D169"/>
    <mergeCell ref="E169:G169"/>
    <mergeCell ref="A176:C176"/>
    <mergeCell ref="D176:F176"/>
    <mergeCell ref="G176:J176"/>
    <mergeCell ref="B166:D166"/>
    <mergeCell ref="E166:G166"/>
    <mergeCell ref="B167:D167"/>
    <mergeCell ref="E167:G167"/>
    <mergeCell ref="B168:D168"/>
    <mergeCell ref="E168:G168"/>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41:J141"/>
    <mergeCell ref="B142:J142"/>
    <mergeCell ref="B143:J143"/>
    <mergeCell ref="B144:J144"/>
    <mergeCell ref="B145:J145"/>
    <mergeCell ref="A136:B136"/>
    <mergeCell ref="C136:D136"/>
    <mergeCell ref="E136:J136"/>
    <mergeCell ref="A138:C138"/>
    <mergeCell ref="B140:J140"/>
    <mergeCell ref="G131:J131"/>
    <mergeCell ref="G132:J132"/>
    <mergeCell ref="G133:J133"/>
    <mergeCell ref="G134:J134"/>
    <mergeCell ref="G135:J135"/>
    <mergeCell ref="A128:C128"/>
    <mergeCell ref="D128:F128"/>
    <mergeCell ref="G128:J128"/>
    <mergeCell ref="G129:J129"/>
    <mergeCell ref="G130:J130"/>
    <mergeCell ref="G122:J122"/>
    <mergeCell ref="G123:J123"/>
    <mergeCell ref="G124:J124"/>
    <mergeCell ref="G125:J125"/>
    <mergeCell ref="A126:D127"/>
    <mergeCell ref="E126:J127"/>
    <mergeCell ref="G119:J119"/>
    <mergeCell ref="A120:C120"/>
    <mergeCell ref="D120:F120"/>
    <mergeCell ref="G120:J120"/>
    <mergeCell ref="G121:J121"/>
    <mergeCell ref="G114:J114"/>
    <mergeCell ref="G115:J115"/>
    <mergeCell ref="G116:J116"/>
    <mergeCell ref="G117:J117"/>
    <mergeCell ref="A118:B118"/>
    <mergeCell ref="C118:D118"/>
    <mergeCell ref="E118:J118"/>
    <mergeCell ref="A111:C111"/>
    <mergeCell ref="D111:F111"/>
    <mergeCell ref="G111:J111"/>
    <mergeCell ref="G112:J112"/>
    <mergeCell ref="G113:J113"/>
    <mergeCell ref="F105:J105"/>
    <mergeCell ref="F106:J106"/>
    <mergeCell ref="F107:J107"/>
    <mergeCell ref="F108:J108"/>
    <mergeCell ref="A109:B109"/>
    <mergeCell ref="C109:D109"/>
    <mergeCell ref="E109:J109"/>
    <mergeCell ref="G100:J100"/>
    <mergeCell ref="F101:J101"/>
    <mergeCell ref="F102:J102"/>
    <mergeCell ref="F103:J103"/>
    <mergeCell ref="F104:J104"/>
    <mergeCell ref="G93:J93"/>
    <mergeCell ref="G95:J95"/>
    <mergeCell ref="A97:B97"/>
    <mergeCell ref="E97:J97"/>
    <mergeCell ref="A99:C99"/>
    <mergeCell ref="D99:F99"/>
    <mergeCell ref="G99:J99"/>
    <mergeCell ref="A90:C90"/>
    <mergeCell ref="D90:F90"/>
    <mergeCell ref="G90:J90"/>
    <mergeCell ref="G91:J91"/>
    <mergeCell ref="G92:J92"/>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2:B96">
    <cfRule type="expression" dxfId="624" priority="21">
      <formula>B92="Complete"</formula>
    </cfRule>
    <cfRule type="expression" dxfId="623" priority="22">
      <formula>B92="In Progress"</formula>
    </cfRule>
    <cfRule type="expression" dxfId="622" priority="23">
      <formula>B92="At Risk"</formula>
    </cfRule>
    <cfRule type="expression" dxfId="621" priority="24">
      <formula>B92="Blocked"</formula>
    </cfRule>
    <cfRule type="expression" dxfId="620" priority="25">
      <formula>B92="Not Started"</formula>
    </cfRule>
  </conditionalFormatting>
  <conditionalFormatting sqref="B101:B108">
    <cfRule type="expression" dxfId="619" priority="1">
      <formula>B101="Complete"</formula>
    </cfRule>
    <cfRule type="expression" dxfId="618" priority="2">
      <formula>B101="In Progress"</formula>
    </cfRule>
    <cfRule type="expression" dxfId="617" priority="3">
      <formula>B101="At Risk"</formula>
    </cfRule>
    <cfRule type="expression" dxfId="616" priority="4">
      <formula>B101="Blocked"</formula>
    </cfRule>
    <cfRule type="expression" dxfId="615" priority="5">
      <formula>B101="Not Started"</formula>
    </cfRule>
  </conditionalFormatting>
  <conditionalFormatting sqref="B113:B117">
    <cfRule type="expression" dxfId="614" priority="30">
      <formula>B113="Not Started"</formula>
    </cfRule>
    <cfRule type="expression" dxfId="613" priority="29">
      <formula>B113="Blocked"</formula>
    </cfRule>
    <cfRule type="expression" dxfId="612" priority="28">
      <formula>B113="At Risk"</formula>
    </cfRule>
    <cfRule type="expression" dxfId="611" priority="27">
      <formula>B113="In Progress"</formula>
    </cfRule>
    <cfRule type="expression" dxfId="610" priority="26">
      <formula>B113="Complete"</formula>
    </cfRule>
  </conditionalFormatting>
  <conditionalFormatting sqref="B122:B125">
    <cfRule type="expression" dxfId="609" priority="6">
      <formula>B122="Complete"</formula>
    </cfRule>
    <cfRule type="expression" dxfId="608" priority="7">
      <formula>B122="In Progress"</formula>
    </cfRule>
    <cfRule type="expression" dxfId="607" priority="8">
      <formula>B122="At Risk"</formula>
    </cfRule>
    <cfRule type="expression" dxfId="606" priority="9">
      <formula>B122="Blocked"</formula>
    </cfRule>
    <cfRule type="expression" dxfId="605" priority="10">
      <formula>B122="Not Started"</formula>
    </cfRule>
  </conditionalFormatting>
  <conditionalFormatting sqref="B130:B135">
    <cfRule type="expression" dxfId="604" priority="11">
      <formula>B130="Complete"</formula>
    </cfRule>
    <cfRule type="expression" dxfId="603" priority="12">
      <formula>B130="In Progress"</formula>
    </cfRule>
    <cfRule type="expression" dxfId="602" priority="13">
      <formula>B130="At Risk"</formula>
    </cfRule>
    <cfRule type="expression" dxfId="601" priority="14">
      <formula>B130="Blocked"</formula>
    </cfRule>
    <cfRule type="expression" dxfId="600" priority="15">
      <formula>B130="Not Started"</formula>
    </cfRule>
  </conditionalFormatting>
  <conditionalFormatting sqref="B153:B160">
    <cfRule type="expression" dxfId="599" priority="82">
      <formula>B153="Yes"</formula>
    </cfRule>
    <cfRule type="expression" dxfId="598" priority="83">
      <formula>B153="N/A"</formula>
    </cfRule>
    <cfRule type="expression" dxfId="597" priority="84">
      <formula>B153="No"</formula>
    </cfRule>
  </conditionalFormatting>
  <conditionalFormatting sqref="B170:H170">
    <cfRule type="expression" dxfId="596" priority="86">
      <formula>COUNTIF($B$6:$B$13,"No")&gt;0</formula>
    </cfRule>
    <cfRule type="expression" dxfId="595" priority="85">
      <formula>COUNTIF($B$6:$B$13,"No")=0</formula>
    </cfRule>
  </conditionalFormatting>
  <conditionalFormatting sqref="C97:D97">
    <cfRule type="dataBar" priority="37">
      <dataBar>
        <cfvo type="num" val="0"/>
        <cfvo type="num" val="1"/>
        <color rgb="FF5B9BD5"/>
      </dataBar>
    </cfRule>
  </conditionalFormatting>
  <conditionalFormatting sqref="C101:D108">
    <cfRule type="expression" dxfId="594" priority="32">
      <formula>C101="No"</formula>
    </cfRule>
    <cfRule type="expression" dxfId="593" priority="31">
      <formula>C101="Yes"</formula>
    </cfRule>
    <cfRule type="expression" dxfId="592"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591" priority="17">
      <formula>C130="No"</formula>
    </cfRule>
    <cfRule type="expression" dxfId="590" priority="16">
      <formula>C130="Yes"</formula>
    </cfRule>
    <cfRule type="expression" dxfId="589"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588" priority="87">
      <formula>E5="Pass"</formula>
    </cfRule>
    <cfRule type="expression" dxfId="587" priority="88">
      <formula>E5="Verify"</formula>
    </cfRule>
    <cfRule type="expression" dxfId="586" priority="89">
      <formula>E5="Fail"</formula>
    </cfRule>
    <cfRule type="expression" dxfId="585" priority="90">
      <formula>E5="Not Started"</formula>
    </cfRule>
  </conditionalFormatting>
  <conditionalFormatting sqref="F3">
    <cfRule type="expression" dxfId="584" priority="91">
      <formula>F3="Yes"</formula>
    </cfRule>
    <cfRule type="expression" dxfId="583" priority="92">
      <formula>F3="No"</formula>
    </cfRule>
  </conditionalFormatting>
  <conditionalFormatting sqref="F113:F117">
    <cfRule type="expression" dxfId="582" priority="35">
      <formula>F113="Fail"</formula>
    </cfRule>
    <cfRule type="expression" dxfId="581" priority="36">
      <formula>F113="Pending"</formula>
    </cfRule>
    <cfRule type="expression" dxfId="580" priority="34">
      <formula>F113="Pass"</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Lookup_Lists!$L$37:$L$39</xm:f>
          </x14:formula1>
          <xm:sqref>C113:E117 J2</xm:sqref>
        </x14:dataValidation>
        <x14:dataValidation type="list" allowBlank="1" showInputMessage="1" showErrorMessage="1" xr:uid="{E9831A99-A7F8-4B3C-A0F9-83CE6D6EC88E}">
          <x14:formula1>
            <xm:f>Lookup_Lists!$A$36:$A$42</xm:f>
          </x14:formula1>
          <xm:sqref>B92:B96 B101:B108 B130:B135</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2876</v>
      </c>
      <c r="B1" s="896"/>
      <c r="C1" s="896"/>
      <c r="D1" s="896"/>
      <c r="E1" s="896"/>
      <c r="F1" s="896"/>
      <c r="G1" s="896"/>
      <c r="H1" s="896"/>
      <c r="I1" s="896"/>
      <c r="J1" s="896"/>
    </row>
    <row r="2" spans="1:10" s="223" customFormat="1">
      <c r="A2" s="219" t="s">
        <v>142</v>
      </c>
      <c r="B2" s="220" t="s">
        <v>2877</v>
      </c>
      <c r="C2" s="219" t="s">
        <v>902</v>
      </c>
      <c r="D2" s="220" t="s">
        <v>1094</v>
      </c>
      <c r="E2" s="219" t="s">
        <v>151</v>
      </c>
      <c r="F2" s="220" t="s">
        <v>1095</v>
      </c>
      <c r="G2" s="219" t="s">
        <v>174</v>
      </c>
      <c r="H2" s="221">
        <v>0.5</v>
      </c>
      <c r="I2" s="219" t="s">
        <v>154</v>
      </c>
      <c r="J2" s="222" t="s">
        <v>1096</v>
      </c>
    </row>
    <row r="3" spans="1:10" s="227" customFormat="1" ht="25.5">
      <c r="A3" s="219" t="s">
        <v>903</v>
      </c>
      <c r="B3" s="224">
        <v>46198.709031967592</v>
      </c>
      <c r="C3" s="225" t="s">
        <v>904</v>
      </c>
      <c r="D3" s="226" t="s">
        <v>721</v>
      </c>
      <c r="E3" s="219" t="s">
        <v>905</v>
      </c>
      <c r="F3" s="226" t="s">
        <v>2878</v>
      </c>
      <c r="G3" s="219" t="s">
        <v>907</v>
      </c>
      <c r="H3" s="226" t="s">
        <v>908</v>
      </c>
      <c r="I3" s="219" t="s">
        <v>551</v>
      </c>
      <c r="J3" s="226" t="s">
        <v>2879</v>
      </c>
    </row>
    <row r="4" spans="1:10" s="227" customFormat="1" ht="306">
      <c r="A4" s="219" t="s">
        <v>161</v>
      </c>
      <c r="B4" s="226">
        <v>0</v>
      </c>
      <c r="C4" s="219" t="s">
        <v>199</v>
      </c>
      <c r="D4" s="226">
        <v>0</v>
      </c>
      <c r="E4" s="219" t="s">
        <v>179</v>
      </c>
      <c r="F4" s="226">
        <v>0</v>
      </c>
      <c r="G4" s="219" t="s">
        <v>870</v>
      </c>
      <c r="H4" s="228" t="s">
        <v>2880</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31.5" customHeight="1">
      <c r="A6" s="234" t="s">
        <v>916</v>
      </c>
      <c r="B6" s="221" t="s">
        <v>947</v>
      </c>
      <c r="C6" s="235" t="s">
        <v>869</v>
      </c>
      <c r="D6" s="604" t="s">
        <v>2881</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14.75">
      <c r="A10" s="13" t="s">
        <v>2877</v>
      </c>
      <c r="B10" s="13" t="s">
        <v>425</v>
      </c>
      <c r="C10" s="13" t="s">
        <v>919</v>
      </c>
      <c r="D10" s="13" t="s">
        <v>2882</v>
      </c>
      <c r="E10" s="13" t="s">
        <v>2764</v>
      </c>
      <c r="F10" s="13">
        <v>1</v>
      </c>
      <c r="G10" s="13">
        <v>0</v>
      </c>
      <c r="H10" s="13" t="s">
        <v>677</v>
      </c>
      <c r="I10" s="13" t="s">
        <v>2883</v>
      </c>
      <c r="J10" s="13" t="s">
        <v>2884</v>
      </c>
    </row>
    <row r="11" spans="1:10" ht="89.25">
      <c r="A11" s="13" t="s">
        <v>2877</v>
      </c>
      <c r="B11" s="13" t="s">
        <v>2885</v>
      </c>
      <c r="C11" s="13" t="s">
        <v>923</v>
      </c>
      <c r="D11" s="13" t="s">
        <v>2886</v>
      </c>
      <c r="E11" s="13" t="s">
        <v>925</v>
      </c>
      <c r="F11" s="13">
        <v>1</v>
      </c>
      <c r="G11" s="13">
        <v>0</v>
      </c>
      <c r="H11" s="13" t="s">
        <v>677</v>
      </c>
      <c r="I11" s="13" t="s">
        <v>2887</v>
      </c>
      <c r="J11" s="13" t="s">
        <v>2888</v>
      </c>
    </row>
    <row r="12" spans="1:10" ht="89.25">
      <c r="A12" s="13" t="s">
        <v>2889</v>
      </c>
      <c r="B12" s="13" t="s">
        <v>2890</v>
      </c>
      <c r="C12" s="13" t="s">
        <v>2891</v>
      </c>
      <c r="D12" s="13" t="s">
        <v>2886</v>
      </c>
      <c r="E12" s="13" t="s">
        <v>2892</v>
      </c>
      <c r="F12" s="13">
        <v>2</v>
      </c>
      <c r="G12" s="13">
        <v>0</v>
      </c>
      <c r="H12" s="13" t="s">
        <v>677</v>
      </c>
      <c r="I12" s="13" t="s">
        <v>2893</v>
      </c>
      <c r="J12" s="13" t="s">
        <v>2894</v>
      </c>
    </row>
    <row r="13" spans="1:10">
      <c r="A13" s="13"/>
      <c r="B13" s="13"/>
      <c r="C13" s="13"/>
      <c r="D13" s="13"/>
      <c r="E13" s="13"/>
      <c r="F13" s="13"/>
      <c r="G13" s="13"/>
      <c r="H13" s="13"/>
      <c r="I13" s="13"/>
      <c r="J13" s="13"/>
    </row>
    <row r="14" spans="1:10">
      <c r="A14" s="575" t="s">
        <v>936</v>
      </c>
      <c r="B14" s="896"/>
      <c r="C14" s="896"/>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89.25">
      <c r="A16" s="13" t="s">
        <v>425</v>
      </c>
      <c r="B16" s="13" t="s">
        <v>677</v>
      </c>
      <c r="C16" s="13" t="s">
        <v>677</v>
      </c>
      <c r="D16" s="13" t="s">
        <v>2771</v>
      </c>
      <c r="E16" s="13" t="s">
        <v>677</v>
      </c>
      <c r="F16" s="13" t="s">
        <v>947</v>
      </c>
      <c r="G16" s="13" t="s">
        <v>677</v>
      </c>
      <c r="H16" s="13" t="s">
        <v>677</v>
      </c>
      <c r="I16" s="13" t="s">
        <v>677</v>
      </c>
      <c r="J16" s="13" t="s">
        <v>2895</v>
      </c>
    </row>
    <row r="17" spans="1:10" ht="51">
      <c r="A17" s="13" t="s">
        <v>2885</v>
      </c>
      <c r="B17" s="13" t="s">
        <v>946</v>
      </c>
      <c r="C17" s="13" t="s">
        <v>946</v>
      </c>
      <c r="D17" s="13" t="s">
        <v>946</v>
      </c>
      <c r="E17" s="13" t="s">
        <v>677</v>
      </c>
      <c r="F17" s="13" t="s">
        <v>947</v>
      </c>
      <c r="G17" s="13" t="s">
        <v>677</v>
      </c>
      <c r="H17" s="13" t="s">
        <v>677</v>
      </c>
      <c r="I17" s="13" t="s">
        <v>677</v>
      </c>
      <c r="J17" s="13" t="s">
        <v>2896</v>
      </c>
    </row>
    <row r="18" spans="1:10" ht="51">
      <c r="A18" s="13" t="s">
        <v>2890</v>
      </c>
      <c r="B18" s="13" t="s">
        <v>946</v>
      </c>
      <c r="C18" s="13" t="s">
        <v>946</v>
      </c>
      <c r="D18" s="13" t="s">
        <v>946</v>
      </c>
      <c r="E18" s="13" t="s">
        <v>677</v>
      </c>
      <c r="F18" s="13" t="s">
        <v>947</v>
      </c>
      <c r="G18" s="13" t="s">
        <v>677</v>
      </c>
      <c r="H18" s="13" t="s">
        <v>677</v>
      </c>
      <c r="I18" s="13" t="s">
        <v>677</v>
      </c>
      <c r="J18" s="13" t="s">
        <v>2897</v>
      </c>
    </row>
    <row r="19" spans="1:10">
      <c r="A19" s="13"/>
      <c r="B19" s="13"/>
      <c r="C19" s="13"/>
      <c r="D19" s="13"/>
      <c r="E19" s="13"/>
      <c r="F19" s="13"/>
      <c r="G19" s="13"/>
      <c r="H19" s="13"/>
      <c r="I19" s="13"/>
      <c r="J19" s="13"/>
    </row>
    <row r="20" spans="1:10">
      <c r="A20" s="575" t="s">
        <v>951</v>
      </c>
      <c r="B20" s="896"/>
      <c r="C20" s="896"/>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6.5">
      <c r="A22" s="13" t="s">
        <v>425</v>
      </c>
      <c r="B22" s="13" t="s">
        <v>2774</v>
      </c>
      <c r="C22" s="13" t="s">
        <v>679</v>
      </c>
      <c r="D22" s="13" t="s">
        <v>947</v>
      </c>
      <c r="E22" s="13" t="s">
        <v>947</v>
      </c>
      <c r="F22" s="13" t="s">
        <v>1238</v>
      </c>
      <c r="G22" s="13" t="s">
        <v>677</v>
      </c>
      <c r="H22" s="13" t="s">
        <v>677</v>
      </c>
      <c r="I22" s="13" t="s">
        <v>677</v>
      </c>
      <c r="J22" s="13" t="s">
        <v>2898</v>
      </c>
    </row>
    <row r="23" spans="1:10" ht="38.25">
      <c r="A23" s="13" t="s">
        <v>2885</v>
      </c>
      <c r="B23" s="13" t="s">
        <v>946</v>
      </c>
      <c r="C23" s="13" t="s">
        <v>679</v>
      </c>
      <c r="D23" s="13" t="s">
        <v>947</v>
      </c>
      <c r="E23" s="13" t="s">
        <v>947</v>
      </c>
      <c r="F23" s="13" t="s">
        <v>1238</v>
      </c>
      <c r="G23" s="13" t="s">
        <v>677</v>
      </c>
      <c r="H23" s="13" t="s">
        <v>677</v>
      </c>
      <c r="I23" s="13" t="s">
        <v>677</v>
      </c>
      <c r="J23" s="13" t="s">
        <v>2899</v>
      </c>
    </row>
    <row r="24" spans="1:10" ht="38.25">
      <c r="A24" s="13" t="s">
        <v>2890</v>
      </c>
      <c r="B24" s="13" t="s">
        <v>946</v>
      </c>
      <c r="C24" s="13" t="s">
        <v>679</v>
      </c>
      <c r="D24" s="13" t="s">
        <v>947</v>
      </c>
      <c r="E24" s="13" t="s">
        <v>947</v>
      </c>
      <c r="F24" s="13" t="s">
        <v>1238</v>
      </c>
      <c r="G24" s="13" t="s">
        <v>677</v>
      </c>
      <c r="H24" s="13" t="s">
        <v>677</v>
      </c>
      <c r="I24" s="13" t="s">
        <v>677</v>
      </c>
      <c r="J24" s="13" t="s">
        <v>2900</v>
      </c>
    </row>
    <row r="25" spans="1:10">
      <c r="A25" s="13"/>
      <c r="B25" s="13"/>
      <c r="C25" s="13"/>
      <c r="D25" s="13"/>
      <c r="E25" s="13"/>
      <c r="F25" s="13"/>
      <c r="G25" s="13"/>
      <c r="H25" s="13"/>
      <c r="I25" s="13"/>
      <c r="J25" s="13"/>
    </row>
    <row r="26" spans="1:10">
      <c r="A26" s="575" t="s">
        <v>964</v>
      </c>
      <c r="B26" s="896"/>
      <c r="C26" s="896"/>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3.75">
      <c r="A28" s="13" t="s">
        <v>425</v>
      </c>
      <c r="B28" s="13" t="s">
        <v>2901</v>
      </c>
      <c r="C28" s="13" t="s">
        <v>677</v>
      </c>
      <c r="D28" s="13" t="s">
        <v>677</v>
      </c>
      <c r="E28" s="13" t="s">
        <v>677</v>
      </c>
      <c r="F28" s="13" t="s">
        <v>677</v>
      </c>
      <c r="G28" s="13" t="s">
        <v>677</v>
      </c>
      <c r="H28" s="13" t="s">
        <v>677</v>
      </c>
      <c r="I28" s="13" t="s">
        <v>677</v>
      </c>
      <c r="J28" s="13" t="s">
        <v>2902</v>
      </c>
    </row>
    <row r="29" spans="1:10" ht="38.25">
      <c r="A29" s="13" t="s">
        <v>2885</v>
      </c>
      <c r="B29" s="13" t="s">
        <v>946</v>
      </c>
      <c r="C29" s="13" t="s">
        <v>677</v>
      </c>
      <c r="D29" s="13" t="s">
        <v>677</v>
      </c>
      <c r="E29" s="13" t="s">
        <v>677</v>
      </c>
      <c r="F29" s="13" t="s">
        <v>677</v>
      </c>
      <c r="G29" s="13" t="s">
        <v>677</v>
      </c>
      <c r="H29" s="13" t="s">
        <v>677</v>
      </c>
      <c r="I29" s="13" t="s">
        <v>677</v>
      </c>
      <c r="J29" s="13" t="s">
        <v>2903</v>
      </c>
    </row>
    <row r="30" spans="1:10" ht="51">
      <c r="A30" s="13" t="s">
        <v>2890</v>
      </c>
      <c r="B30" s="13" t="s">
        <v>946</v>
      </c>
      <c r="C30" s="13" t="s">
        <v>677</v>
      </c>
      <c r="D30" s="13" t="s">
        <v>677</v>
      </c>
      <c r="E30" s="13" t="s">
        <v>677</v>
      </c>
      <c r="F30" s="13" t="s">
        <v>677</v>
      </c>
      <c r="G30" s="13" t="s">
        <v>677</v>
      </c>
      <c r="H30" s="13" t="s">
        <v>677</v>
      </c>
      <c r="I30" s="13" t="s">
        <v>677</v>
      </c>
      <c r="J30" s="13" t="s">
        <v>2904</v>
      </c>
    </row>
    <row r="31" spans="1:10">
      <c r="A31" s="13"/>
      <c r="B31" s="13"/>
      <c r="C31" s="13"/>
      <c r="D31" s="13"/>
      <c r="E31" s="13"/>
      <c r="F31" s="13"/>
      <c r="G31" s="13"/>
      <c r="H31" s="13"/>
      <c r="I31" s="13"/>
      <c r="J31" s="13"/>
    </row>
    <row r="32" spans="1:10">
      <c r="A32" s="575" t="s">
        <v>977</v>
      </c>
      <c r="B32" s="896"/>
      <c r="C32" s="896"/>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89.25">
      <c r="A34" s="13" t="s">
        <v>425</v>
      </c>
      <c r="B34" s="13" t="s">
        <v>677</v>
      </c>
      <c r="C34" s="13" t="s">
        <v>2780</v>
      </c>
      <c r="D34" s="13" t="s">
        <v>677</v>
      </c>
      <c r="E34" s="13" t="s">
        <v>677</v>
      </c>
      <c r="F34" s="13" t="s">
        <v>2905</v>
      </c>
      <c r="G34" s="13" t="s">
        <v>677</v>
      </c>
      <c r="H34" s="13" t="s">
        <v>677</v>
      </c>
      <c r="I34" s="13" t="s">
        <v>677</v>
      </c>
      <c r="J34" s="13" t="s">
        <v>2906</v>
      </c>
    </row>
    <row r="35" spans="1:10" ht="63.75">
      <c r="A35" s="13" t="s">
        <v>2885</v>
      </c>
      <c r="B35" s="13" t="s">
        <v>988</v>
      </c>
      <c r="C35" s="13" t="s">
        <v>2686</v>
      </c>
      <c r="D35" s="13" t="s">
        <v>988</v>
      </c>
      <c r="E35" s="13" t="s">
        <v>677</v>
      </c>
      <c r="F35" s="13" t="s">
        <v>946</v>
      </c>
      <c r="G35" s="13" t="s">
        <v>677</v>
      </c>
      <c r="H35" s="13" t="s">
        <v>677</v>
      </c>
      <c r="I35" s="13" t="s">
        <v>677</v>
      </c>
      <c r="J35" s="13" t="s">
        <v>2907</v>
      </c>
    </row>
    <row r="36" spans="1:10" ht="63.75">
      <c r="A36" s="13" t="s">
        <v>2890</v>
      </c>
      <c r="B36" s="13" t="s">
        <v>988</v>
      </c>
      <c r="C36" s="13" t="s">
        <v>2686</v>
      </c>
      <c r="D36" s="13" t="s">
        <v>988</v>
      </c>
      <c r="E36" s="13" t="s">
        <v>677</v>
      </c>
      <c r="F36" s="13" t="s">
        <v>946</v>
      </c>
      <c r="G36" s="13" t="s">
        <v>677</v>
      </c>
      <c r="H36" s="13" t="s">
        <v>677</v>
      </c>
      <c r="I36" s="13" t="s">
        <v>677</v>
      </c>
      <c r="J36" s="13" t="s">
        <v>2908</v>
      </c>
    </row>
    <row r="37" spans="1:10">
      <c r="A37" s="13"/>
      <c r="B37" s="13"/>
      <c r="C37" s="13"/>
      <c r="D37" s="13"/>
      <c r="E37" s="13"/>
      <c r="F37" s="13"/>
      <c r="G37" s="13"/>
      <c r="H37" s="13"/>
      <c r="I37" s="13"/>
      <c r="J37" s="13"/>
    </row>
    <row r="38" spans="1:10">
      <c r="A38" s="575" t="s">
        <v>994</v>
      </c>
      <c r="B38" s="896"/>
      <c r="C38" s="896"/>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6.5">
      <c r="A40" s="13" t="s">
        <v>425</v>
      </c>
      <c r="B40" s="13" t="s">
        <v>677</v>
      </c>
      <c r="C40" s="13" t="s">
        <v>677</v>
      </c>
      <c r="D40" s="13" t="s">
        <v>677</v>
      </c>
      <c r="E40" s="13" t="s">
        <v>677</v>
      </c>
      <c r="F40" s="13" t="s">
        <v>677</v>
      </c>
      <c r="G40" s="13" t="s">
        <v>677</v>
      </c>
      <c r="H40" s="13" t="s">
        <v>677</v>
      </c>
      <c r="I40" s="13" t="s">
        <v>677</v>
      </c>
      <c r="J40" s="13" t="s">
        <v>2909</v>
      </c>
    </row>
    <row r="41" spans="1:10" ht="63.75">
      <c r="A41" s="13" t="s">
        <v>2885</v>
      </c>
      <c r="B41" s="13" t="s">
        <v>988</v>
      </c>
      <c r="C41" s="13" t="s">
        <v>988</v>
      </c>
      <c r="D41" s="13" t="s">
        <v>988</v>
      </c>
      <c r="E41" s="13" t="s">
        <v>677</v>
      </c>
      <c r="F41" s="13" t="s">
        <v>677</v>
      </c>
      <c r="G41" s="13" t="s">
        <v>677</v>
      </c>
      <c r="H41" s="13" t="s">
        <v>677</v>
      </c>
      <c r="I41" s="13" t="s">
        <v>677</v>
      </c>
      <c r="J41" s="13" t="s">
        <v>2910</v>
      </c>
    </row>
    <row r="42" spans="1:10" ht="76.5">
      <c r="A42" s="13" t="s">
        <v>2890</v>
      </c>
      <c r="B42" s="13" t="s">
        <v>988</v>
      </c>
      <c r="C42" s="13" t="s">
        <v>988</v>
      </c>
      <c r="D42" s="13" t="s">
        <v>988</v>
      </c>
      <c r="E42" s="13" t="s">
        <v>677</v>
      </c>
      <c r="F42" s="13" t="s">
        <v>677</v>
      </c>
      <c r="G42" s="13" t="s">
        <v>677</v>
      </c>
      <c r="H42" s="13" t="s">
        <v>677</v>
      </c>
      <c r="I42" s="13" t="s">
        <v>677</v>
      </c>
      <c r="J42" s="13" t="s">
        <v>2911</v>
      </c>
    </row>
    <row r="43" spans="1:10">
      <c r="A43" s="13"/>
      <c r="B43" s="13"/>
      <c r="C43" s="13"/>
      <c r="D43" s="13"/>
      <c r="E43" s="13"/>
      <c r="F43" s="13"/>
      <c r="G43" s="13"/>
      <c r="H43" s="13"/>
      <c r="I43" s="13"/>
      <c r="J43" s="13"/>
    </row>
    <row r="44" spans="1:10">
      <c r="A44" s="575" t="s">
        <v>1007</v>
      </c>
      <c r="B44" s="896"/>
      <c r="C44" s="896"/>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6.5">
      <c r="A46" s="13" t="s">
        <v>425</v>
      </c>
      <c r="B46" s="13" t="s">
        <v>1238</v>
      </c>
      <c r="C46" s="13" t="s">
        <v>1238</v>
      </c>
      <c r="D46" s="13" t="s">
        <v>1238</v>
      </c>
      <c r="E46" s="13" t="s">
        <v>1238</v>
      </c>
      <c r="F46" s="13" t="s">
        <v>947</v>
      </c>
      <c r="G46" s="13" t="s">
        <v>947</v>
      </c>
      <c r="H46" s="13" t="s">
        <v>677</v>
      </c>
      <c r="I46" s="13" t="s">
        <v>677</v>
      </c>
      <c r="J46" s="13" t="s">
        <v>2912</v>
      </c>
    </row>
    <row r="47" spans="1:10" ht="25.5">
      <c r="A47" s="13" t="s">
        <v>2885</v>
      </c>
      <c r="B47" s="13" t="s">
        <v>1238</v>
      </c>
      <c r="C47" s="13" t="s">
        <v>1238</v>
      </c>
      <c r="D47" s="13" t="s">
        <v>1238</v>
      </c>
      <c r="E47" s="13" t="s">
        <v>1238</v>
      </c>
      <c r="F47" s="13" t="s">
        <v>947</v>
      </c>
      <c r="G47" s="13" t="s">
        <v>947</v>
      </c>
      <c r="H47" s="13" t="s">
        <v>677</v>
      </c>
      <c r="I47" s="13" t="s">
        <v>677</v>
      </c>
      <c r="J47" s="13" t="s">
        <v>2913</v>
      </c>
    </row>
    <row r="48" spans="1:10" ht="51">
      <c r="A48" s="13" t="s">
        <v>2890</v>
      </c>
      <c r="B48" s="13" t="s">
        <v>1238</v>
      </c>
      <c r="C48" s="13" t="s">
        <v>1238</v>
      </c>
      <c r="D48" s="13" t="s">
        <v>1238</v>
      </c>
      <c r="E48" s="13" t="s">
        <v>1238</v>
      </c>
      <c r="F48" s="13" t="s">
        <v>947</v>
      </c>
      <c r="G48" s="13" t="s">
        <v>947</v>
      </c>
      <c r="H48" s="13" t="s">
        <v>677</v>
      </c>
      <c r="I48" s="13" t="s">
        <v>677</v>
      </c>
      <c r="J48" s="13" t="s">
        <v>2914</v>
      </c>
    </row>
    <row r="49" spans="1:10">
      <c r="A49" s="13"/>
      <c r="B49" s="13"/>
      <c r="C49" s="13"/>
      <c r="D49" s="13"/>
      <c r="E49" s="13"/>
      <c r="F49" s="13"/>
      <c r="G49" s="13"/>
      <c r="H49" s="13"/>
      <c r="I49" s="13"/>
      <c r="J49" s="13"/>
    </row>
    <row r="50" spans="1:10">
      <c r="A50" s="575" t="s">
        <v>1019</v>
      </c>
      <c r="B50" s="896"/>
      <c r="C50" s="896"/>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51">
      <c r="A52" s="13" t="s">
        <v>2915</v>
      </c>
      <c r="B52" s="13" t="s">
        <v>575</v>
      </c>
      <c r="C52" s="13" t="s">
        <v>2916</v>
      </c>
      <c r="D52" s="13" t="s">
        <v>391</v>
      </c>
      <c r="E52" s="13" t="s">
        <v>488</v>
      </c>
      <c r="F52" s="13">
        <v>6</v>
      </c>
      <c r="G52" s="13" t="s">
        <v>1381</v>
      </c>
      <c r="H52" s="13" t="s">
        <v>1023</v>
      </c>
      <c r="I52" s="13" t="s">
        <v>502</v>
      </c>
      <c r="J52" s="13" t="s">
        <v>2917</v>
      </c>
    </row>
    <row r="53" spans="1:10" ht="76.5">
      <c r="A53" s="13" t="s">
        <v>2918</v>
      </c>
      <c r="B53" s="13" t="s">
        <v>2919</v>
      </c>
      <c r="C53" s="13" t="s">
        <v>2920</v>
      </c>
      <c r="D53" s="13" t="s">
        <v>492</v>
      </c>
      <c r="E53" s="13" t="s">
        <v>488</v>
      </c>
      <c r="F53" s="13">
        <v>8</v>
      </c>
      <c r="G53" s="13" t="s">
        <v>1025</v>
      </c>
      <c r="H53" s="13" t="s">
        <v>584</v>
      </c>
      <c r="I53" s="13" t="s">
        <v>502</v>
      </c>
      <c r="J53" s="13" t="s">
        <v>2921</v>
      </c>
    </row>
    <row r="54" spans="1:10" ht="76.5">
      <c r="A54" s="13" t="s">
        <v>2922</v>
      </c>
      <c r="B54" s="13" t="s">
        <v>425</v>
      </c>
      <c r="C54" s="13" t="s">
        <v>2923</v>
      </c>
      <c r="D54" s="13" t="s">
        <v>391</v>
      </c>
      <c r="E54" s="13" t="s">
        <v>488</v>
      </c>
      <c r="F54" s="13">
        <v>6</v>
      </c>
      <c r="G54" s="13" t="s">
        <v>2924</v>
      </c>
      <c r="H54" s="13" t="s">
        <v>1505</v>
      </c>
      <c r="I54" s="13" t="s">
        <v>502</v>
      </c>
      <c r="J54" s="13" t="s">
        <v>2925</v>
      </c>
    </row>
    <row r="55" spans="1:10" ht="76.5">
      <c r="A55" s="13" t="s">
        <v>2926</v>
      </c>
      <c r="B55" s="13" t="s">
        <v>575</v>
      </c>
      <c r="C55" s="13" t="s">
        <v>2927</v>
      </c>
      <c r="D55" s="13" t="s">
        <v>391</v>
      </c>
      <c r="E55" s="13" t="s">
        <v>488</v>
      </c>
      <c r="F55" s="13">
        <v>6</v>
      </c>
      <c r="G55" s="13" t="s">
        <v>2928</v>
      </c>
      <c r="H55" s="13" t="s">
        <v>2150</v>
      </c>
      <c r="I55" s="13" t="s">
        <v>502</v>
      </c>
      <c r="J55" s="13" t="s">
        <v>2929</v>
      </c>
    </row>
    <row r="56" spans="1:10" ht="63.75">
      <c r="A56" s="13" t="s">
        <v>2930</v>
      </c>
      <c r="B56" s="13" t="s">
        <v>425</v>
      </c>
      <c r="C56" s="13" t="s">
        <v>2806</v>
      </c>
      <c r="D56" s="13" t="s">
        <v>391</v>
      </c>
      <c r="E56" s="13" t="s">
        <v>488</v>
      </c>
      <c r="F56" s="13">
        <v>6</v>
      </c>
      <c r="G56" s="13" t="s">
        <v>2807</v>
      </c>
      <c r="H56" s="13" t="s">
        <v>2808</v>
      </c>
      <c r="I56" s="13" t="s">
        <v>502</v>
      </c>
      <c r="J56" s="13" t="s">
        <v>2931</v>
      </c>
    </row>
    <row r="57" spans="1:10" ht="76.5">
      <c r="A57" s="13" t="s">
        <v>2932</v>
      </c>
      <c r="B57" s="13" t="s">
        <v>575</v>
      </c>
      <c r="C57" s="13" t="s">
        <v>2933</v>
      </c>
      <c r="D57" s="13" t="s">
        <v>391</v>
      </c>
      <c r="E57" s="13" t="s">
        <v>488</v>
      </c>
      <c r="F57" s="13">
        <v>6</v>
      </c>
      <c r="G57" s="13" t="s">
        <v>2812</v>
      </c>
      <c r="H57" s="13" t="s">
        <v>1037</v>
      </c>
      <c r="I57" s="13" t="s">
        <v>502</v>
      </c>
      <c r="J57" s="13" t="s">
        <v>2934</v>
      </c>
    </row>
    <row r="58" spans="1:10" ht="76.5">
      <c r="A58" s="13" t="s">
        <v>2935</v>
      </c>
      <c r="B58" s="13" t="s">
        <v>575</v>
      </c>
      <c r="C58" s="13" t="s">
        <v>2936</v>
      </c>
      <c r="D58" s="13" t="s">
        <v>391</v>
      </c>
      <c r="E58" s="13" t="s">
        <v>488</v>
      </c>
      <c r="F58" s="13">
        <v>6</v>
      </c>
      <c r="G58" s="13" t="s">
        <v>2937</v>
      </c>
      <c r="H58" s="13" t="s">
        <v>622</v>
      </c>
      <c r="I58" s="13" t="s">
        <v>502</v>
      </c>
      <c r="J58" s="13" t="s">
        <v>2938</v>
      </c>
    </row>
    <row r="59" spans="1:10" ht="89.25">
      <c r="A59" s="13" t="s">
        <v>2939</v>
      </c>
      <c r="B59" s="13" t="s">
        <v>575</v>
      </c>
      <c r="C59" s="13" t="s">
        <v>2819</v>
      </c>
      <c r="D59" s="13" t="s">
        <v>391</v>
      </c>
      <c r="E59" s="13" t="s">
        <v>488</v>
      </c>
      <c r="F59" s="13">
        <v>6</v>
      </c>
      <c r="G59" s="13" t="s">
        <v>2820</v>
      </c>
      <c r="H59" s="13" t="s">
        <v>1049</v>
      </c>
      <c r="I59" s="13" t="s">
        <v>502</v>
      </c>
      <c r="J59" s="13" t="s">
        <v>2940</v>
      </c>
    </row>
    <row r="60" spans="1:10">
      <c r="A60" s="13"/>
      <c r="B60" s="13"/>
      <c r="C60" s="13"/>
      <c r="D60" s="13"/>
      <c r="E60" s="13"/>
      <c r="F60" s="13"/>
      <c r="G60" s="13"/>
      <c r="H60" s="13"/>
      <c r="I60" s="13"/>
      <c r="J60" s="13"/>
    </row>
    <row r="61" spans="1:10">
      <c r="A61" s="575" t="s">
        <v>1051</v>
      </c>
      <c r="B61" s="896"/>
      <c r="C61" s="896"/>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6.5">
      <c r="A63" s="13" t="s">
        <v>2941</v>
      </c>
      <c r="B63" s="13" t="s">
        <v>2942</v>
      </c>
      <c r="C63" s="13" t="s">
        <v>579</v>
      </c>
      <c r="D63" s="13" t="s">
        <v>502</v>
      </c>
      <c r="E63" s="13"/>
      <c r="F63" s="13"/>
      <c r="G63" s="13" t="s">
        <v>2619</v>
      </c>
      <c r="H63" s="13"/>
      <c r="I63" s="13"/>
      <c r="J63" s="13"/>
    </row>
    <row r="64" spans="1:10" ht="76.5">
      <c r="A64" s="13" t="s">
        <v>2943</v>
      </c>
      <c r="B64" s="13" t="s">
        <v>2944</v>
      </c>
      <c r="C64" s="13" t="s">
        <v>2432</v>
      </c>
      <c r="D64" s="13" t="s">
        <v>502</v>
      </c>
      <c r="E64" s="13"/>
      <c r="F64" s="13"/>
      <c r="G64" s="13" t="s">
        <v>2433</v>
      </c>
      <c r="H64" s="13"/>
      <c r="I64" s="13"/>
      <c r="J64" s="13"/>
    </row>
    <row r="65" spans="1:10" ht="63.75">
      <c r="A65" s="13" t="s">
        <v>2945</v>
      </c>
      <c r="B65" s="13" t="s">
        <v>2946</v>
      </c>
      <c r="C65" s="13" t="s">
        <v>587</v>
      </c>
      <c r="D65" s="13" t="s">
        <v>502</v>
      </c>
      <c r="E65" s="13"/>
      <c r="F65" s="13"/>
      <c r="G65" s="13" t="s">
        <v>588</v>
      </c>
      <c r="H65" s="13"/>
      <c r="I65" s="13"/>
      <c r="J65" s="13"/>
    </row>
    <row r="66" spans="1:10" ht="51">
      <c r="A66" s="13" t="s">
        <v>2947</v>
      </c>
      <c r="B66" s="13" t="s">
        <v>2948</v>
      </c>
      <c r="C66" s="13" t="s">
        <v>579</v>
      </c>
      <c r="D66" s="13" t="s">
        <v>502</v>
      </c>
      <c r="E66" s="13"/>
      <c r="F66" s="13"/>
      <c r="G66" s="13" t="s">
        <v>2949</v>
      </c>
      <c r="H66" s="13"/>
      <c r="I66" s="13"/>
      <c r="J66" s="13"/>
    </row>
    <row r="67" spans="1:10" ht="89.25">
      <c r="A67" s="13" t="s">
        <v>2950</v>
      </c>
      <c r="B67" s="13" t="s">
        <v>2951</v>
      </c>
      <c r="C67" s="13" t="s">
        <v>616</v>
      </c>
      <c r="D67" s="13" t="s">
        <v>502</v>
      </c>
      <c r="E67" s="13"/>
      <c r="F67" s="13"/>
      <c r="G67" s="13" t="s">
        <v>617</v>
      </c>
      <c r="H67" s="13"/>
      <c r="I67" s="13"/>
      <c r="J67" s="13"/>
    </row>
    <row r="68" spans="1:10" ht="63.75">
      <c r="A68" s="13" t="s">
        <v>2952</v>
      </c>
      <c r="B68" s="13" t="s">
        <v>2953</v>
      </c>
      <c r="C68" s="13" t="s">
        <v>2838</v>
      </c>
      <c r="D68" s="13" t="s">
        <v>502</v>
      </c>
      <c r="E68" s="13"/>
      <c r="F68" s="13"/>
      <c r="G68" s="13" t="s">
        <v>2839</v>
      </c>
      <c r="H68" s="13"/>
      <c r="I68" s="13"/>
      <c r="J68" s="13"/>
    </row>
    <row r="69" spans="1:10" ht="89.25">
      <c r="A69" s="13" t="s">
        <v>2954</v>
      </c>
      <c r="B69" s="13" t="s">
        <v>2841</v>
      </c>
      <c r="C69" s="13" t="s">
        <v>584</v>
      </c>
      <c r="D69" s="13" t="s">
        <v>502</v>
      </c>
      <c r="E69" s="13"/>
      <c r="F69" s="13"/>
      <c r="G69" s="13" t="s">
        <v>2842</v>
      </c>
      <c r="H69" s="13"/>
      <c r="I69" s="13"/>
      <c r="J69" s="13"/>
    </row>
    <row r="70" spans="1:10" ht="63.75">
      <c r="A70" s="13" t="s">
        <v>2955</v>
      </c>
      <c r="B70" s="13" t="s">
        <v>2844</v>
      </c>
      <c r="C70" s="13" t="s">
        <v>630</v>
      </c>
      <c r="D70" s="13" t="s">
        <v>502</v>
      </c>
      <c r="E70" s="13"/>
      <c r="F70" s="13"/>
      <c r="G70" s="13" t="s">
        <v>631</v>
      </c>
      <c r="H70" s="13"/>
      <c r="I70" s="13"/>
      <c r="J70" s="13"/>
    </row>
    <row r="71" spans="1:10">
      <c r="A71" s="13"/>
      <c r="B71" s="13"/>
      <c r="C71" s="13"/>
      <c r="D71" s="13"/>
      <c r="E71" s="13"/>
      <c r="F71" s="13"/>
      <c r="G71" s="13"/>
      <c r="H71" s="13"/>
      <c r="I71" s="13"/>
      <c r="J71" s="13"/>
    </row>
    <row r="72" spans="1:10">
      <c r="A72" s="575" t="s">
        <v>1052</v>
      </c>
      <c r="B72" s="896"/>
      <c r="C72" s="896"/>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14.75">
      <c r="A74" s="13" t="s">
        <v>2956</v>
      </c>
      <c r="B74" s="13" t="s">
        <v>425</v>
      </c>
      <c r="C74" s="13" t="s">
        <v>269</v>
      </c>
      <c r="D74" s="13" t="s">
        <v>2957</v>
      </c>
      <c r="E74" s="13"/>
      <c r="F74" s="13" t="s">
        <v>229</v>
      </c>
      <c r="G74" s="13"/>
      <c r="H74" s="13" t="s">
        <v>2958</v>
      </c>
      <c r="I74" s="13" t="s">
        <v>502</v>
      </c>
      <c r="J74" s="13"/>
    </row>
    <row r="75" spans="1:10" ht="89.25">
      <c r="A75" s="13" t="s">
        <v>2959</v>
      </c>
      <c r="B75" s="13" t="s">
        <v>2885</v>
      </c>
      <c r="C75" s="13" t="s">
        <v>269</v>
      </c>
      <c r="D75" s="13" t="s">
        <v>2960</v>
      </c>
      <c r="E75" s="13"/>
      <c r="F75" s="13" t="s">
        <v>229</v>
      </c>
      <c r="G75" s="13"/>
      <c r="H75" s="13" t="s">
        <v>2961</v>
      </c>
      <c r="I75" s="13" t="s">
        <v>502</v>
      </c>
      <c r="J75" s="13"/>
    </row>
    <row r="76" spans="1:10" ht="89.25">
      <c r="A76" s="13" t="s">
        <v>2962</v>
      </c>
      <c r="B76" s="13" t="s">
        <v>2890</v>
      </c>
      <c r="C76" s="13" t="s">
        <v>269</v>
      </c>
      <c r="D76" s="13" t="s">
        <v>2963</v>
      </c>
      <c r="E76" s="13"/>
      <c r="F76" s="13" t="s">
        <v>229</v>
      </c>
      <c r="G76" s="13"/>
      <c r="H76" s="13" t="s">
        <v>2964</v>
      </c>
      <c r="I76" s="13" t="s">
        <v>502</v>
      </c>
      <c r="J76" s="13"/>
    </row>
    <row r="77" spans="1:10" ht="102">
      <c r="A77" s="13" t="s">
        <v>2965</v>
      </c>
      <c r="B77" s="13" t="s">
        <v>2966</v>
      </c>
      <c r="C77" s="13" t="s">
        <v>2640</v>
      </c>
      <c r="D77" s="13" t="s">
        <v>2967</v>
      </c>
      <c r="E77" s="13"/>
      <c r="F77" s="13" t="s">
        <v>229</v>
      </c>
      <c r="G77" s="13"/>
      <c r="H77" s="13" t="s">
        <v>2968</v>
      </c>
      <c r="I77" s="13" t="s">
        <v>502</v>
      </c>
      <c r="J77" s="13"/>
    </row>
    <row r="78" spans="1:10" ht="76.5">
      <c r="A78" s="13" t="s">
        <v>2969</v>
      </c>
      <c r="B78" s="13" t="s">
        <v>425</v>
      </c>
      <c r="C78" s="13" t="s">
        <v>153</v>
      </c>
      <c r="D78" s="13" t="s">
        <v>2970</v>
      </c>
      <c r="E78" s="13"/>
      <c r="F78" s="13" t="s">
        <v>229</v>
      </c>
      <c r="G78" s="13"/>
      <c r="H78" s="13" t="s">
        <v>2930</v>
      </c>
      <c r="I78" s="13" t="s">
        <v>502</v>
      </c>
      <c r="J78" s="13"/>
    </row>
    <row r="79" spans="1:10" ht="89.25">
      <c r="A79" s="13" t="s">
        <v>2971</v>
      </c>
      <c r="B79" s="13" t="s">
        <v>2919</v>
      </c>
      <c r="C79" s="13" t="s">
        <v>155</v>
      </c>
      <c r="D79" s="13" t="s">
        <v>2972</v>
      </c>
      <c r="E79" s="13"/>
      <c r="F79" s="13" t="s">
        <v>229</v>
      </c>
      <c r="G79" s="13"/>
      <c r="H79" s="13" t="s">
        <v>2973</v>
      </c>
      <c r="I79" s="13" t="s">
        <v>502</v>
      </c>
      <c r="J79" s="13"/>
    </row>
    <row r="80" spans="1:10" ht="63.75">
      <c r="A80" s="13" t="s">
        <v>2974</v>
      </c>
      <c r="B80" s="13" t="s">
        <v>575</v>
      </c>
      <c r="C80" s="13" t="s">
        <v>957</v>
      </c>
      <c r="D80" s="13" t="s">
        <v>2975</v>
      </c>
      <c r="E80" s="13"/>
      <c r="F80" s="13" t="s">
        <v>229</v>
      </c>
      <c r="G80" s="13"/>
      <c r="H80" s="13" t="s">
        <v>2935</v>
      </c>
      <c r="I80" s="13" t="s">
        <v>502</v>
      </c>
      <c r="J80" s="13"/>
    </row>
    <row r="81" spans="1:10" ht="76.5">
      <c r="A81" s="13" t="s">
        <v>2976</v>
      </c>
      <c r="B81" s="13" t="s">
        <v>575</v>
      </c>
      <c r="C81" s="13" t="s">
        <v>2865</v>
      </c>
      <c r="D81" s="13" t="s">
        <v>2866</v>
      </c>
      <c r="E81" s="13"/>
      <c r="F81" s="13" t="s">
        <v>229</v>
      </c>
      <c r="G81" s="13"/>
      <c r="H81" s="13" t="s">
        <v>2939</v>
      </c>
      <c r="I81" s="13" t="s">
        <v>502</v>
      </c>
      <c r="J81" s="13"/>
    </row>
    <row r="82" spans="1:10">
      <c r="A82" s="13"/>
      <c r="B82" s="13"/>
      <c r="C82" s="13"/>
      <c r="D82" s="13"/>
      <c r="E82" s="13"/>
      <c r="F82" s="13"/>
      <c r="G82" s="13"/>
      <c r="H82" s="13"/>
      <c r="I82" s="13"/>
      <c r="J82" s="13"/>
    </row>
    <row r="83" spans="1:10">
      <c r="A83" s="575" t="s">
        <v>1079</v>
      </c>
      <c r="B83" s="896"/>
      <c r="C83" s="896"/>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51">
      <c r="A85" s="13" t="s">
        <v>425</v>
      </c>
      <c r="B85" s="13">
        <v>0.5</v>
      </c>
      <c r="C85" s="13">
        <v>0.5</v>
      </c>
      <c r="D85" s="13">
        <v>0.5</v>
      </c>
      <c r="E85" s="13">
        <v>0.5</v>
      </c>
      <c r="F85" s="13">
        <v>0.5</v>
      </c>
      <c r="G85" s="13" t="s">
        <v>677</v>
      </c>
      <c r="H85" s="13">
        <v>0.5</v>
      </c>
      <c r="I85" s="13" t="s">
        <v>1201</v>
      </c>
      <c r="J85" s="13" t="s">
        <v>2977</v>
      </c>
    </row>
    <row r="86" spans="1:10" ht="38.25">
      <c r="A86" s="13" t="s">
        <v>2885</v>
      </c>
      <c r="B86" s="13">
        <v>0.5</v>
      </c>
      <c r="C86" s="13">
        <v>0.5</v>
      </c>
      <c r="D86" s="13">
        <v>0.5</v>
      </c>
      <c r="E86" s="13">
        <v>0.5</v>
      </c>
      <c r="F86" s="13">
        <v>0.5</v>
      </c>
      <c r="G86" s="13" t="s">
        <v>677</v>
      </c>
      <c r="H86" s="13">
        <v>0.5</v>
      </c>
      <c r="I86" s="13" t="s">
        <v>1201</v>
      </c>
      <c r="J86" s="13" t="s">
        <v>2978</v>
      </c>
    </row>
    <row r="87" spans="1:10" ht="38.25">
      <c r="A87" s="13" t="s">
        <v>2890</v>
      </c>
      <c r="B87" s="13">
        <v>0.5</v>
      </c>
      <c r="C87" s="13">
        <v>0.5</v>
      </c>
      <c r="D87" s="13">
        <v>0.5</v>
      </c>
      <c r="E87" s="13">
        <v>0.5</v>
      </c>
      <c r="F87" s="13">
        <v>0.5</v>
      </c>
      <c r="G87" s="13" t="s">
        <v>677</v>
      </c>
      <c r="H87" s="13">
        <v>0.5</v>
      </c>
      <c r="I87" s="13" t="s">
        <v>1201</v>
      </c>
      <c r="J87" s="13" t="s">
        <v>2979</v>
      </c>
    </row>
    <row r="88" spans="1:10">
      <c r="A88" s="13"/>
      <c r="B88" s="13"/>
      <c r="C88" s="13"/>
      <c r="D88" s="13"/>
      <c r="E88" s="13"/>
      <c r="F88" s="13"/>
      <c r="G88" s="13"/>
      <c r="H88" s="13"/>
      <c r="I88" s="13"/>
      <c r="J88" s="13"/>
    </row>
    <row r="89" spans="1:10">
      <c r="A89" s="575" t="s">
        <v>1085</v>
      </c>
      <c r="B89" s="896"/>
      <c r="C89" s="896"/>
      <c r="D89" s="85"/>
      <c r="E89" s="85"/>
      <c r="F89" s="85"/>
      <c r="G89" s="85"/>
      <c r="H89" s="85"/>
      <c r="I89" s="85"/>
      <c r="J89" s="85"/>
    </row>
    <row r="90" spans="1:10" ht="51">
      <c r="A90" s="50" t="s">
        <v>905</v>
      </c>
      <c r="B90" s="50" t="s">
        <v>821</v>
      </c>
      <c r="C90" s="50"/>
      <c r="D90" s="50"/>
      <c r="E90" s="50"/>
      <c r="F90" s="50"/>
      <c r="G90" s="50"/>
      <c r="H90" s="50"/>
      <c r="I90" s="50"/>
      <c r="J90" s="50"/>
    </row>
    <row r="91" spans="1:10">
      <c r="A91" s="13" t="s">
        <v>1086</v>
      </c>
      <c r="B91" s="594" t="s">
        <v>2980</v>
      </c>
      <c r="C91" s="896"/>
      <c r="D91" s="896"/>
      <c r="E91" s="896"/>
      <c r="F91" s="896"/>
      <c r="G91" s="896"/>
      <c r="H91" s="896"/>
      <c r="I91" s="896"/>
      <c r="J91" s="896"/>
    </row>
    <row r="92" spans="1:10">
      <c r="A92" s="13" t="s">
        <v>2194</v>
      </c>
      <c r="B92" s="594" t="s">
        <v>2981</v>
      </c>
      <c r="C92" s="896"/>
      <c r="D92" s="896"/>
      <c r="E92" s="896"/>
      <c r="F92" s="896"/>
      <c r="G92" s="896"/>
      <c r="H92" s="896"/>
      <c r="I92" s="896"/>
      <c r="J92" s="896"/>
    </row>
    <row r="93" spans="1:10">
      <c r="A93" s="13" t="s">
        <v>1088</v>
      </c>
      <c r="B93" s="594" t="s">
        <v>2982</v>
      </c>
      <c r="C93" s="896"/>
      <c r="D93" s="896"/>
      <c r="E93" s="896"/>
      <c r="F93" s="896"/>
      <c r="G93" s="896"/>
      <c r="H93" s="896"/>
      <c r="I93" s="896"/>
      <c r="J93" s="896"/>
    </row>
    <row r="94" spans="1:10" ht="25.5">
      <c r="A94" s="13" t="s">
        <v>2983</v>
      </c>
      <c r="B94" s="594" t="s">
        <v>2984</v>
      </c>
      <c r="C94" s="896"/>
      <c r="D94" s="896"/>
      <c r="E94" s="896"/>
      <c r="F94" s="896"/>
      <c r="G94" s="896"/>
      <c r="H94" s="896"/>
      <c r="I94" s="896"/>
      <c r="J94" s="896"/>
    </row>
    <row r="95" spans="1:10">
      <c r="A95" s="13" t="s">
        <v>1563</v>
      </c>
      <c r="B95" s="594" t="s">
        <v>2874</v>
      </c>
      <c r="C95" s="896"/>
      <c r="D95" s="896"/>
      <c r="E95" s="896"/>
      <c r="F95" s="896"/>
      <c r="G95" s="896"/>
      <c r="H95" s="896"/>
      <c r="I95" s="896"/>
      <c r="J95" s="896"/>
    </row>
    <row r="96" spans="1:10">
      <c r="A96" s="13" t="s">
        <v>1092</v>
      </c>
      <c r="B96" s="594" t="s">
        <v>2985</v>
      </c>
      <c r="C96" s="896"/>
      <c r="D96" s="896"/>
      <c r="E96" s="896"/>
      <c r="F96" s="896"/>
      <c r="G96" s="896"/>
      <c r="H96" s="896"/>
      <c r="I96" s="896"/>
      <c r="J96" s="896"/>
    </row>
    <row r="97" spans="1:10" ht="15.75" thickBot="1"/>
    <row r="98" spans="1:10">
      <c r="A98" s="605" t="s">
        <v>5668</v>
      </c>
      <c r="B98" s="602"/>
      <c r="C98" s="602"/>
      <c r="D98" s="606"/>
      <c r="E98" s="602"/>
      <c r="F98" s="602"/>
      <c r="G98" s="606"/>
      <c r="H98" s="606"/>
      <c r="I98" s="606"/>
      <c r="J98" s="607"/>
    </row>
    <row r="99" spans="1:10">
      <c r="A99" s="321" t="s">
        <v>5610</v>
      </c>
      <c r="B99" s="322" t="s">
        <v>77</v>
      </c>
      <c r="C99" s="322" t="s">
        <v>5611</v>
      </c>
      <c r="D99" s="322" t="s">
        <v>5612</v>
      </c>
      <c r="E99" s="322" t="s">
        <v>5634</v>
      </c>
      <c r="F99" s="322" t="s">
        <v>5601</v>
      </c>
      <c r="G99" s="578" t="s">
        <v>5635</v>
      </c>
      <c r="H99" s="578"/>
      <c r="I99" s="578"/>
      <c r="J99" s="579"/>
    </row>
    <row r="100" spans="1:10" ht="25.5">
      <c r="A100" s="323" t="s">
        <v>5613</v>
      </c>
      <c r="B100" s="333" t="s">
        <v>484</v>
      </c>
      <c r="C100" s="325">
        <v>0</v>
      </c>
      <c r="D100" s="325">
        <v>0</v>
      </c>
      <c r="E100" s="192" t="s">
        <v>5674</v>
      </c>
      <c r="F100" s="325">
        <f>IF(AND(C100&lt;&gt;"",D100&lt;&gt;""),D100-C100,"")</f>
        <v>0</v>
      </c>
      <c r="G100" s="608"/>
      <c r="H100" s="608"/>
      <c r="I100" s="608"/>
      <c r="J100" s="609"/>
    </row>
    <row r="101" spans="1:10" ht="25.5">
      <c r="A101" s="326" t="s">
        <v>5614</v>
      </c>
      <c r="B101" s="333" t="s">
        <v>484</v>
      </c>
      <c r="C101" s="327">
        <v>1</v>
      </c>
      <c r="D101" s="327">
        <v>0</v>
      </c>
      <c r="E101" s="310" t="s">
        <v>5675</v>
      </c>
      <c r="F101" s="327">
        <f>IF(AND(C101&lt;&gt;"",D101&lt;&gt;""),D101-C101,"")</f>
        <v>-1</v>
      </c>
      <c r="G101" s="610"/>
      <c r="H101" s="610"/>
      <c r="I101" s="610"/>
      <c r="J101" s="611"/>
    </row>
    <row r="102" spans="1:10">
      <c r="A102" s="323" t="s">
        <v>5615</v>
      </c>
      <c r="B102" s="333" t="s">
        <v>484</v>
      </c>
      <c r="C102" s="327">
        <v>1</v>
      </c>
      <c r="D102" s="327">
        <v>0</v>
      </c>
      <c r="E102" s="310" t="s">
        <v>5675</v>
      </c>
      <c r="F102" s="325">
        <f>IF(AND(C102&lt;&gt;"",D102&lt;&gt;""),D102-C102,"")</f>
        <v>-1</v>
      </c>
      <c r="G102" s="328"/>
      <c r="H102" s="227"/>
      <c r="I102" s="227"/>
      <c r="J102" s="329"/>
    </row>
    <row r="103" spans="1:10">
      <c r="A103" s="326" t="s">
        <v>5616</v>
      </c>
      <c r="B103" s="333" t="s">
        <v>484</v>
      </c>
      <c r="C103" s="327">
        <v>1</v>
      </c>
      <c r="D103" s="327">
        <v>0</v>
      </c>
      <c r="E103" s="310" t="s">
        <v>5675</v>
      </c>
      <c r="F103" s="327">
        <f>IF(AND(C103&lt;&gt;"",D103&lt;&gt;""),D103-C103,"")</f>
        <v>-1</v>
      </c>
      <c r="G103" s="610"/>
      <c r="H103" s="610"/>
      <c r="I103" s="610"/>
      <c r="J103" s="611"/>
    </row>
    <row r="104" spans="1:10">
      <c r="A104" s="323" t="s">
        <v>5168</v>
      </c>
      <c r="B104" s="333" t="s">
        <v>484</v>
      </c>
      <c r="C104" s="327">
        <v>1</v>
      </c>
      <c r="D104" s="327">
        <v>0</v>
      </c>
      <c r="E104" s="310" t="s">
        <v>5675</v>
      </c>
      <c r="F104" s="325">
        <f>IF(AND(C104&lt;&gt;"",D104&lt;&gt;""),D104-C104,"")</f>
        <v>-1</v>
      </c>
      <c r="G104" s="328"/>
      <c r="H104" s="227"/>
      <c r="I104" s="227"/>
      <c r="J104" s="329"/>
    </row>
    <row r="105" spans="1:10" ht="15.75">
      <c r="A105" s="585" t="s">
        <v>5636</v>
      </c>
      <c r="B105" s="586"/>
      <c r="C105" s="330">
        <f>IFERROR(AVERAGE(C100:C104),"")</f>
        <v>0.8</v>
      </c>
      <c r="D105" s="330">
        <f>IFERROR(AVERAGE(D100:D104),"")</f>
        <v>0</v>
      </c>
      <c r="E105" s="589" t="s">
        <v>5637</v>
      </c>
      <c r="F105" s="589"/>
      <c r="G105" s="589"/>
      <c r="H105" s="589"/>
      <c r="I105" s="589"/>
      <c r="J105" s="590"/>
    </row>
    <row r="106" spans="1:10">
      <c r="A106" s="331"/>
      <c r="B106" s="316"/>
      <c r="C106" s="316"/>
      <c r="D106" s="316"/>
      <c r="E106" s="316"/>
      <c r="F106" s="316"/>
      <c r="G106" s="316"/>
      <c r="H106" s="227"/>
      <c r="I106" s="227"/>
      <c r="J106" s="329"/>
    </row>
    <row r="107" spans="1:10">
      <c r="A107" s="574" t="s">
        <v>5669</v>
      </c>
      <c r="B107" s="582"/>
      <c r="C107" s="582"/>
      <c r="D107" s="575"/>
      <c r="E107" s="582"/>
      <c r="F107" s="582"/>
      <c r="G107" s="575"/>
      <c r="H107" s="575"/>
      <c r="I107" s="575"/>
      <c r="J107" s="576"/>
    </row>
    <row r="108" spans="1:10">
      <c r="A108" s="321" t="s">
        <v>4946</v>
      </c>
      <c r="B108" s="322" t="s">
        <v>77</v>
      </c>
      <c r="C108" s="322" t="s">
        <v>5676</v>
      </c>
      <c r="D108" s="322" t="s">
        <v>482</v>
      </c>
      <c r="E108" s="322" t="s">
        <v>572</v>
      </c>
      <c r="F108" s="322" t="s">
        <v>5639</v>
      </c>
      <c r="G108" s="578" t="s">
        <v>5640</v>
      </c>
      <c r="H108" s="578"/>
      <c r="I108" s="578"/>
      <c r="J108" s="579"/>
    </row>
    <row r="109" spans="1:10" ht="25.5">
      <c r="A109" s="326" t="s">
        <v>5602</v>
      </c>
      <c r="B109" s="333" t="s">
        <v>484</v>
      </c>
      <c r="C109" s="332" t="s">
        <v>679</v>
      </c>
      <c r="D109" s="324" t="s">
        <v>679</v>
      </c>
      <c r="E109" s="332">
        <f>IF(D109="Yes",1,0)</f>
        <v>0</v>
      </c>
      <c r="F109" s="580"/>
      <c r="G109" s="580"/>
      <c r="H109" s="580"/>
      <c r="I109" s="580"/>
      <c r="J109" s="581"/>
    </row>
    <row r="110" spans="1:10">
      <c r="A110" s="323" t="s">
        <v>995</v>
      </c>
      <c r="B110" s="333" t="s">
        <v>484</v>
      </c>
      <c r="C110" s="332" t="s">
        <v>679</v>
      </c>
      <c r="D110" s="324" t="s">
        <v>679</v>
      </c>
      <c r="E110" s="324">
        <f t="shared" ref="E110:E116" si="0">IF(D110="Yes",1,0)</f>
        <v>0</v>
      </c>
      <c r="F110" s="580"/>
      <c r="G110" s="580"/>
      <c r="H110" s="580"/>
      <c r="I110" s="580"/>
      <c r="J110" s="581"/>
    </row>
    <row r="111" spans="1:10">
      <c r="A111" s="326" t="s">
        <v>5603</v>
      </c>
      <c r="B111" s="333" t="s">
        <v>484</v>
      </c>
      <c r="C111" s="332" t="s">
        <v>679</v>
      </c>
      <c r="D111" s="324" t="s">
        <v>679</v>
      </c>
      <c r="E111" s="332">
        <f t="shared" si="0"/>
        <v>0</v>
      </c>
      <c r="F111" s="580"/>
      <c r="G111" s="580"/>
      <c r="H111" s="580"/>
      <c r="I111" s="580"/>
      <c r="J111" s="581"/>
    </row>
    <row r="112" spans="1:10">
      <c r="A112" s="323" t="s">
        <v>5617</v>
      </c>
      <c r="B112" s="333" t="s">
        <v>484</v>
      </c>
      <c r="C112" s="332" t="s">
        <v>679</v>
      </c>
      <c r="D112" s="324" t="s">
        <v>679</v>
      </c>
      <c r="E112" s="324">
        <f t="shared" si="0"/>
        <v>0</v>
      </c>
      <c r="F112" s="580"/>
      <c r="G112" s="580"/>
      <c r="H112" s="580"/>
      <c r="I112" s="580"/>
      <c r="J112" s="581"/>
    </row>
    <row r="113" spans="1:10" ht="38.25">
      <c r="A113" s="326" t="s">
        <v>5618</v>
      </c>
      <c r="B113" s="333" t="s">
        <v>484</v>
      </c>
      <c r="C113" s="332" t="s">
        <v>679</v>
      </c>
      <c r="D113" s="324" t="s">
        <v>679</v>
      </c>
      <c r="E113" s="332">
        <f t="shared" si="0"/>
        <v>0</v>
      </c>
      <c r="F113" s="580"/>
      <c r="G113" s="580"/>
      <c r="H113" s="580"/>
      <c r="I113" s="580"/>
      <c r="J113" s="581"/>
    </row>
    <row r="114" spans="1:10" ht="25.5">
      <c r="A114" s="323" t="s">
        <v>5619</v>
      </c>
      <c r="B114" s="333" t="s">
        <v>484</v>
      </c>
      <c r="C114" s="332" t="s">
        <v>679</v>
      </c>
      <c r="D114" s="324" t="s">
        <v>679</v>
      </c>
      <c r="E114" s="324">
        <f t="shared" si="0"/>
        <v>0</v>
      </c>
      <c r="F114" s="580"/>
      <c r="G114" s="580"/>
      <c r="H114" s="580"/>
      <c r="I114" s="580"/>
      <c r="J114" s="581"/>
    </row>
    <row r="115" spans="1:10">
      <c r="A115" s="326" t="s">
        <v>5604</v>
      </c>
      <c r="B115" s="333" t="s">
        <v>484</v>
      </c>
      <c r="C115" s="332" t="s">
        <v>679</v>
      </c>
      <c r="D115" s="324" t="s">
        <v>679</v>
      </c>
      <c r="E115" s="332">
        <f t="shared" si="0"/>
        <v>0</v>
      </c>
      <c r="F115" s="580"/>
      <c r="G115" s="580"/>
      <c r="H115" s="580"/>
      <c r="I115" s="580"/>
      <c r="J115" s="581"/>
    </row>
    <row r="116" spans="1:10" ht="25.5">
      <c r="A116" s="323" t="s">
        <v>5605</v>
      </c>
      <c r="B116" s="333" t="s">
        <v>484</v>
      </c>
      <c r="C116" s="332" t="s">
        <v>679</v>
      </c>
      <c r="D116" s="324" t="s">
        <v>679</v>
      </c>
      <c r="E116" s="324">
        <f t="shared" si="0"/>
        <v>0</v>
      </c>
      <c r="F116" s="580"/>
      <c r="G116" s="580"/>
      <c r="H116" s="580"/>
      <c r="I116" s="580"/>
      <c r="J116" s="581"/>
    </row>
    <row r="117" spans="1:10" ht="15.75">
      <c r="A117" s="585" t="s">
        <v>5641</v>
      </c>
      <c r="B117" s="586"/>
      <c r="C117" s="587" t="str">
        <f>IFERROR(SUM(E109:E116)/COUNTIF(C109:C116,"Yes"),"")</f>
        <v/>
      </c>
      <c r="D117" s="588"/>
      <c r="E117" s="589" t="s">
        <v>5642</v>
      </c>
      <c r="F117" s="589"/>
      <c r="G117" s="589"/>
      <c r="H117" s="589"/>
      <c r="I117" s="589"/>
      <c r="J117" s="590"/>
    </row>
    <row r="118" spans="1:10">
      <c r="A118" s="331"/>
      <c r="B118" s="316"/>
      <c r="C118" s="316"/>
      <c r="D118" s="316"/>
      <c r="E118" s="316"/>
      <c r="F118" s="316"/>
      <c r="G118" s="316"/>
      <c r="H118" s="227"/>
      <c r="I118" s="227"/>
      <c r="J118" s="329"/>
    </row>
    <row r="119" spans="1:10">
      <c r="A119" s="574" t="s">
        <v>5670</v>
      </c>
      <c r="B119" s="582"/>
      <c r="C119" s="582"/>
      <c r="D119" s="575"/>
      <c r="E119" s="582"/>
      <c r="F119" s="582"/>
      <c r="G119" s="575"/>
      <c r="H119" s="575"/>
      <c r="I119" s="575"/>
      <c r="J119" s="576"/>
    </row>
    <row r="120" spans="1:10">
      <c r="A120" s="321" t="s">
        <v>5643</v>
      </c>
      <c r="B120" s="322" t="s">
        <v>77</v>
      </c>
      <c r="C120" s="322" t="s">
        <v>5620</v>
      </c>
      <c r="D120" s="322" t="s">
        <v>5621</v>
      </c>
      <c r="E120" s="322" t="s">
        <v>5622</v>
      </c>
      <c r="F120" s="322" t="s">
        <v>5644</v>
      </c>
      <c r="G120" s="578" t="s">
        <v>5645</v>
      </c>
      <c r="H120" s="578"/>
      <c r="I120" s="578"/>
      <c r="J120" s="579"/>
    </row>
    <row r="121" spans="1:10" ht="25.5">
      <c r="A121" s="326" t="s">
        <v>5623</v>
      </c>
      <c r="B121" s="332" t="s">
        <v>484</v>
      </c>
      <c r="C121" s="332" t="s">
        <v>1096</v>
      </c>
      <c r="D121" s="332" t="s">
        <v>1096</v>
      </c>
      <c r="E121" s="332" t="s">
        <v>1096</v>
      </c>
      <c r="F121" s="332" t="s">
        <v>348</v>
      </c>
      <c r="G121" s="583"/>
      <c r="H121" s="583"/>
      <c r="I121" s="583"/>
      <c r="J121" s="584"/>
    </row>
    <row r="122" spans="1:10">
      <c r="A122" s="323" t="s">
        <v>5624</v>
      </c>
      <c r="B122" s="332" t="s">
        <v>484</v>
      </c>
      <c r="C122" s="332" t="s">
        <v>1096</v>
      </c>
      <c r="D122" s="332" t="s">
        <v>1096</v>
      </c>
      <c r="E122" s="332" t="s">
        <v>1096</v>
      </c>
      <c r="F122" s="332" t="s">
        <v>348</v>
      </c>
      <c r="G122" s="583"/>
      <c r="H122" s="583"/>
      <c r="I122" s="583"/>
      <c r="J122" s="584"/>
    </row>
    <row r="123" spans="1:10">
      <c r="A123" s="326" t="s">
        <v>5646</v>
      </c>
      <c r="B123" s="332" t="s">
        <v>484</v>
      </c>
      <c r="C123" s="332" t="s">
        <v>1096</v>
      </c>
      <c r="D123" s="332" t="s">
        <v>1096</v>
      </c>
      <c r="E123" s="332" t="s">
        <v>1096</v>
      </c>
      <c r="F123" s="332" t="s">
        <v>348</v>
      </c>
      <c r="G123" s="583"/>
      <c r="H123" s="583"/>
      <c r="I123" s="583"/>
      <c r="J123" s="584"/>
    </row>
    <row r="124" spans="1:10">
      <c r="A124" s="323" t="s">
        <v>5625</v>
      </c>
      <c r="B124" s="332" t="s">
        <v>484</v>
      </c>
      <c r="C124" s="332" t="s">
        <v>1096</v>
      </c>
      <c r="D124" s="332" t="s">
        <v>1096</v>
      </c>
      <c r="E124" s="332" t="s">
        <v>1096</v>
      </c>
      <c r="F124" s="332" t="s">
        <v>348</v>
      </c>
      <c r="G124" s="583"/>
      <c r="H124" s="583"/>
      <c r="I124" s="583"/>
      <c r="J124" s="584"/>
    </row>
    <row r="125" spans="1:10" ht="25.5">
      <c r="A125" s="326" t="s">
        <v>5626</v>
      </c>
      <c r="B125" s="332" t="s">
        <v>484</v>
      </c>
      <c r="C125" s="332" t="s">
        <v>1096</v>
      </c>
      <c r="D125" s="332" t="s">
        <v>1096</v>
      </c>
      <c r="E125" s="332" t="s">
        <v>1096</v>
      </c>
      <c r="F125" s="332" t="s">
        <v>348</v>
      </c>
      <c r="G125" s="583"/>
      <c r="H125" s="583"/>
      <c r="I125" s="583"/>
      <c r="J125" s="584"/>
    </row>
    <row r="126" spans="1:10" ht="15.75">
      <c r="A126" s="585" t="s">
        <v>5677</v>
      </c>
      <c r="B126" s="586"/>
      <c r="C126" s="587">
        <f>IFERROR(COUNTIF(E121:E125,"Yes")/COUNTA(A121:A125),"")</f>
        <v>0</v>
      </c>
      <c r="D126" s="588"/>
      <c r="E126" s="589" t="s">
        <v>5648</v>
      </c>
      <c r="F126" s="589"/>
      <c r="G126" s="589"/>
      <c r="H126" s="589"/>
      <c r="I126" s="589"/>
      <c r="J126" s="590"/>
    </row>
    <row r="127" spans="1:10">
      <c r="A127" s="331"/>
      <c r="B127" s="316"/>
      <c r="C127" s="316"/>
      <c r="D127" s="316"/>
      <c r="E127" s="316"/>
      <c r="F127" s="316"/>
      <c r="G127" s="599"/>
      <c r="H127" s="599"/>
      <c r="I127" s="599"/>
      <c r="J127" s="600"/>
    </row>
    <row r="128" spans="1:10">
      <c r="A128" s="574" t="s">
        <v>5671</v>
      </c>
      <c r="B128" s="582"/>
      <c r="C128" s="582"/>
      <c r="D128" s="575"/>
      <c r="E128" s="582"/>
      <c r="F128" s="582"/>
      <c r="G128" s="575"/>
      <c r="H128" s="575"/>
      <c r="I128" s="575"/>
      <c r="J128" s="576"/>
    </row>
    <row r="129" spans="1:10">
      <c r="A129" s="322" t="s">
        <v>5606</v>
      </c>
      <c r="B129" s="322" t="s">
        <v>77</v>
      </c>
      <c r="C129" s="322" t="s">
        <v>5627</v>
      </c>
      <c r="D129" s="322" t="s">
        <v>5628</v>
      </c>
      <c r="E129" s="322" t="s">
        <v>5629</v>
      </c>
      <c r="F129" s="322" t="s">
        <v>5630</v>
      </c>
      <c r="G129" s="578" t="s">
        <v>5678</v>
      </c>
      <c r="H129" s="578"/>
      <c r="I129" s="578"/>
      <c r="J129" s="578"/>
    </row>
    <row r="130" spans="1:10">
      <c r="A130" s="328" t="s">
        <v>153</v>
      </c>
      <c r="B130" s="324" t="s">
        <v>484</v>
      </c>
      <c r="C130" s="324"/>
      <c r="D130" s="324"/>
      <c r="E130" s="324"/>
      <c r="F130" s="325" t="str">
        <f>IFERROR(D130/C130,"")</f>
        <v/>
      </c>
      <c r="G130" s="572"/>
      <c r="H130" s="572"/>
      <c r="I130" s="572"/>
      <c r="J130" s="572"/>
    </row>
    <row r="131" spans="1:10">
      <c r="A131" s="335" t="s">
        <v>155</v>
      </c>
      <c r="B131" s="332" t="s">
        <v>484</v>
      </c>
      <c r="C131" s="332"/>
      <c r="D131" s="332"/>
      <c r="E131" s="332"/>
      <c r="F131" s="327" t="str">
        <f>IFERROR(D131/C131,"")</f>
        <v/>
      </c>
      <c r="G131" s="572"/>
      <c r="H131" s="572"/>
      <c r="I131" s="572"/>
      <c r="J131" s="572"/>
    </row>
    <row r="132" spans="1:10">
      <c r="A132" s="328" t="s">
        <v>4821</v>
      </c>
      <c r="B132" s="324" t="s">
        <v>484</v>
      </c>
      <c r="C132" s="324"/>
      <c r="D132" s="324"/>
      <c r="E132" s="324"/>
      <c r="F132" s="325" t="str">
        <f>IFERROR(D132/C132,"")</f>
        <v/>
      </c>
      <c r="G132" s="572"/>
      <c r="H132" s="572"/>
      <c r="I132" s="572"/>
      <c r="J132" s="572"/>
    </row>
    <row r="133" spans="1:10">
      <c r="A133" s="335" t="s">
        <v>957</v>
      </c>
      <c r="B133" s="332" t="s">
        <v>484</v>
      </c>
      <c r="C133" s="332"/>
      <c r="D133" s="332"/>
      <c r="E133" s="332"/>
      <c r="F133" s="327" t="str">
        <f>IFERROR(D133/C133,"")</f>
        <v/>
      </c>
      <c r="G133" s="572"/>
      <c r="H133" s="572"/>
      <c r="I133" s="572"/>
      <c r="J133" s="572"/>
    </row>
    <row r="134" spans="1:10">
      <c r="A134" s="597" t="s">
        <v>5649</v>
      </c>
      <c r="B134" s="597"/>
      <c r="C134" s="597"/>
      <c r="D134" s="597"/>
      <c r="E134" s="589" t="s">
        <v>5650</v>
      </c>
      <c r="F134" s="589"/>
      <c r="G134" s="589"/>
      <c r="H134" s="589"/>
      <c r="I134" s="589"/>
      <c r="J134" s="589"/>
    </row>
    <row r="135" spans="1:10">
      <c r="A135" s="597"/>
      <c r="B135" s="597"/>
      <c r="C135" s="597"/>
      <c r="D135" s="597"/>
      <c r="E135" s="589"/>
      <c r="F135" s="589"/>
      <c r="G135" s="589"/>
      <c r="H135" s="589"/>
      <c r="I135" s="589"/>
      <c r="J135" s="589"/>
    </row>
    <row r="136" spans="1:10">
      <c r="A136" s="575" t="s">
        <v>5672</v>
      </c>
      <c r="B136" s="575"/>
      <c r="C136" s="575"/>
      <c r="D136" s="575"/>
      <c r="E136" s="575"/>
      <c r="F136" s="575"/>
      <c r="G136" s="575"/>
      <c r="H136" s="575"/>
      <c r="I136" s="575"/>
      <c r="J136" s="575"/>
    </row>
    <row r="137" spans="1:10">
      <c r="A137" s="322" t="s">
        <v>4946</v>
      </c>
      <c r="B137" s="322" t="s">
        <v>77</v>
      </c>
      <c r="C137" s="322" t="s">
        <v>5638</v>
      </c>
      <c r="D137" s="322" t="s">
        <v>482</v>
      </c>
      <c r="E137" s="322" t="s">
        <v>572</v>
      </c>
      <c r="F137" s="322" t="s">
        <v>944</v>
      </c>
      <c r="G137" s="578" t="s">
        <v>5640</v>
      </c>
      <c r="H137" s="578"/>
      <c r="I137" s="578"/>
      <c r="J137" s="578"/>
    </row>
    <row r="138" spans="1:10" ht="25.5">
      <c r="A138" s="328" t="s">
        <v>5607</v>
      </c>
      <c r="B138" s="324" t="s">
        <v>484</v>
      </c>
      <c r="C138" s="324" t="s">
        <v>392</v>
      </c>
      <c r="D138" s="324" t="s">
        <v>1096</v>
      </c>
      <c r="E138" s="324">
        <f t="shared" ref="E138:E143" si="1">IF(D138="Yes",1,0)</f>
        <v>0</v>
      </c>
      <c r="F138" s="324"/>
      <c r="G138" s="572"/>
      <c r="H138" s="572"/>
      <c r="I138" s="572"/>
      <c r="J138" s="572"/>
    </row>
    <row r="139" spans="1:10">
      <c r="A139" s="335" t="s">
        <v>5608</v>
      </c>
      <c r="B139" s="324" t="s">
        <v>484</v>
      </c>
      <c r="C139" s="332" t="s">
        <v>392</v>
      </c>
      <c r="D139" s="324" t="s">
        <v>1096</v>
      </c>
      <c r="E139" s="332">
        <f t="shared" si="1"/>
        <v>0</v>
      </c>
      <c r="F139" s="332"/>
      <c r="G139" s="572"/>
      <c r="H139" s="572"/>
      <c r="I139" s="572"/>
      <c r="J139" s="572"/>
    </row>
    <row r="140" spans="1:10" ht="25.5">
      <c r="A140" s="328" t="s">
        <v>5609</v>
      </c>
      <c r="B140" s="324" t="s">
        <v>484</v>
      </c>
      <c r="C140" s="324" t="s">
        <v>392</v>
      </c>
      <c r="D140" s="324" t="s">
        <v>1096</v>
      </c>
      <c r="E140" s="324">
        <f t="shared" si="1"/>
        <v>0</v>
      </c>
      <c r="F140" s="324"/>
      <c r="G140" s="572"/>
      <c r="H140" s="572"/>
      <c r="I140" s="572"/>
      <c r="J140" s="572"/>
    </row>
    <row r="141" spans="1:10">
      <c r="A141" s="335" t="s">
        <v>5631</v>
      </c>
      <c r="B141" s="324" t="s">
        <v>484</v>
      </c>
      <c r="C141" s="332" t="s">
        <v>392</v>
      </c>
      <c r="D141" s="324" t="s">
        <v>1096</v>
      </c>
      <c r="E141" s="332">
        <f t="shared" si="1"/>
        <v>0</v>
      </c>
      <c r="F141" s="332"/>
      <c r="G141" s="572"/>
      <c r="H141" s="572"/>
      <c r="I141" s="572"/>
      <c r="J141" s="572"/>
    </row>
    <row r="142" spans="1:10" ht="25.5">
      <c r="A142" s="328" t="s">
        <v>5632</v>
      </c>
      <c r="B142" s="324" t="s">
        <v>484</v>
      </c>
      <c r="C142" s="324" t="s">
        <v>392</v>
      </c>
      <c r="D142" s="324" t="s">
        <v>1096</v>
      </c>
      <c r="E142" s="324">
        <f t="shared" si="1"/>
        <v>0</v>
      </c>
      <c r="F142" s="324"/>
      <c r="G142" s="572"/>
      <c r="H142" s="572"/>
      <c r="I142" s="572"/>
      <c r="J142" s="572"/>
    </row>
    <row r="143" spans="1:10" ht="25.5">
      <c r="A143" s="335" t="s">
        <v>5633</v>
      </c>
      <c r="B143" s="324" t="s">
        <v>484</v>
      </c>
      <c r="C143" s="332" t="s">
        <v>392</v>
      </c>
      <c r="D143" s="332" t="s">
        <v>1096</v>
      </c>
      <c r="E143" s="332">
        <f t="shared" si="1"/>
        <v>0</v>
      </c>
      <c r="F143" s="332"/>
      <c r="G143" s="572"/>
      <c r="H143" s="572"/>
      <c r="I143" s="572"/>
      <c r="J143" s="572"/>
    </row>
    <row r="144" spans="1:10" ht="15.75">
      <c r="A144" s="930" t="s">
        <v>5651</v>
      </c>
      <c r="B144" s="586"/>
      <c r="C144" s="587">
        <f>IFERROR(SUM(E138:E143)/COUNTIF(C138:C143,"Yes"),"")</f>
        <v>0</v>
      </c>
      <c r="D144" s="588"/>
      <c r="E144" s="589" t="s">
        <v>5652</v>
      </c>
      <c r="F144" s="589"/>
      <c r="G144" s="589"/>
      <c r="H144" s="589"/>
      <c r="I144" s="589"/>
      <c r="J144" s="589"/>
    </row>
    <row r="145" spans="1:10">
      <c r="A145" s="192"/>
      <c r="B145" s="192"/>
      <c r="C145" s="192"/>
      <c r="D145" s="192"/>
      <c r="E145" s="192"/>
      <c r="F145" s="192"/>
      <c r="G145" s="192"/>
      <c r="H145" s="192"/>
      <c r="I145" s="192"/>
      <c r="J145" s="192"/>
    </row>
    <row r="146" spans="1:10">
      <c r="A146" s="575" t="s">
        <v>5673</v>
      </c>
      <c r="B146" s="582"/>
      <c r="C146" s="582"/>
      <c r="D146" s="317"/>
      <c r="E146" s="317"/>
      <c r="F146" s="317"/>
      <c r="G146" s="317"/>
      <c r="H146" s="317"/>
      <c r="I146" s="317"/>
      <c r="J146" s="317"/>
    </row>
    <row r="147" spans="1:10" ht="38.25">
      <c r="A147" s="318" t="s">
        <v>905</v>
      </c>
      <c r="B147" s="318" t="s">
        <v>830</v>
      </c>
      <c r="C147" s="318"/>
      <c r="D147" s="318"/>
      <c r="E147" s="318"/>
      <c r="F147" s="318"/>
      <c r="G147" s="318"/>
      <c r="H147" s="318"/>
      <c r="I147" s="318"/>
      <c r="J147" s="318"/>
    </row>
    <row r="148" spans="1:10">
      <c r="A148" s="315" t="s">
        <v>1086</v>
      </c>
      <c r="B148" s="594" t="s">
        <v>3292</v>
      </c>
      <c r="C148" s="582"/>
      <c r="D148" s="582"/>
      <c r="E148" s="582"/>
      <c r="F148" s="582"/>
      <c r="G148" s="582"/>
      <c r="H148" s="582"/>
      <c r="I148" s="582"/>
      <c r="J148" s="582"/>
    </row>
    <row r="149" spans="1:10" ht="25.5">
      <c r="A149" s="315" t="s">
        <v>2090</v>
      </c>
      <c r="B149" s="594" t="s">
        <v>3293</v>
      </c>
      <c r="C149" s="582"/>
      <c r="D149" s="582"/>
      <c r="E149" s="582"/>
      <c r="F149" s="582"/>
      <c r="G149" s="582"/>
      <c r="H149" s="582"/>
      <c r="I149" s="582"/>
      <c r="J149" s="582"/>
    </row>
    <row r="150" spans="1:10">
      <c r="A150" s="315" t="s">
        <v>1089</v>
      </c>
      <c r="B150" s="594" t="s">
        <v>3294</v>
      </c>
      <c r="C150" s="582"/>
      <c r="D150" s="582"/>
      <c r="E150" s="582"/>
      <c r="F150" s="582"/>
      <c r="G150" s="582"/>
      <c r="H150" s="582"/>
      <c r="I150" s="582"/>
      <c r="J150" s="582"/>
    </row>
    <row r="151" spans="1:10">
      <c r="A151" s="315" t="s">
        <v>1090</v>
      </c>
      <c r="B151" s="594" t="s">
        <v>3295</v>
      </c>
      <c r="C151" s="582"/>
      <c r="D151" s="582"/>
      <c r="E151" s="582"/>
      <c r="F151" s="582"/>
      <c r="G151" s="582"/>
      <c r="H151" s="582"/>
      <c r="I151" s="582"/>
      <c r="J151" s="582"/>
    </row>
    <row r="152" spans="1:10">
      <c r="A152" s="315" t="s">
        <v>1088</v>
      </c>
      <c r="B152" s="594" t="s">
        <v>3296</v>
      </c>
      <c r="C152" s="582"/>
      <c r="D152" s="582"/>
      <c r="E152" s="582"/>
      <c r="F152" s="582"/>
      <c r="G152" s="582"/>
      <c r="H152" s="582"/>
      <c r="I152" s="582"/>
      <c r="J152" s="582"/>
    </row>
    <row r="153" spans="1:10" ht="25.5">
      <c r="A153" s="315" t="s">
        <v>3297</v>
      </c>
      <c r="B153" s="594" t="s">
        <v>3298</v>
      </c>
      <c r="C153" s="582"/>
      <c r="D153" s="582"/>
      <c r="E153" s="582"/>
      <c r="F153" s="582"/>
      <c r="G153" s="582"/>
      <c r="H153" s="582"/>
      <c r="I153" s="582"/>
      <c r="J153" s="582"/>
    </row>
    <row r="154" spans="1:10">
      <c r="A154" s="315" t="s">
        <v>1563</v>
      </c>
      <c r="B154" s="594" t="s">
        <v>1776</v>
      </c>
      <c r="C154" s="582"/>
      <c r="D154" s="582"/>
      <c r="E154" s="582"/>
      <c r="F154" s="582"/>
      <c r="G154" s="582"/>
      <c r="H154" s="582"/>
      <c r="I154" s="582"/>
      <c r="J154" s="582"/>
    </row>
    <row r="155" spans="1:10">
      <c r="A155" s="227"/>
      <c r="B155" s="227"/>
      <c r="C155" s="227"/>
      <c r="D155" s="227"/>
      <c r="E155" s="227"/>
      <c r="F155" s="227"/>
      <c r="G155" s="227"/>
      <c r="H155" s="227"/>
      <c r="I155" s="227"/>
      <c r="J155" s="227"/>
    </row>
    <row r="156" spans="1:10" ht="18">
      <c r="A156" s="598" t="s">
        <v>5562</v>
      </c>
      <c r="B156" s="598"/>
      <c r="C156" s="598"/>
      <c r="D156" s="598"/>
      <c r="E156" s="598"/>
      <c r="F156" s="598"/>
      <c r="G156" s="598"/>
      <c r="H156" s="598"/>
      <c r="I156" s="227"/>
      <c r="J156" s="227"/>
    </row>
    <row r="157" spans="1:10">
      <c r="A157" s="272" t="s">
        <v>2</v>
      </c>
      <c r="B157" s="591" t="s">
        <v>5563</v>
      </c>
      <c r="C157" s="591"/>
      <c r="D157" s="591"/>
      <c r="E157" s="591"/>
      <c r="F157" s="591"/>
      <c r="G157" s="591"/>
      <c r="H157" s="591"/>
      <c r="I157" s="227"/>
      <c r="J157" s="227"/>
    </row>
    <row r="158" spans="1:10">
      <c r="A158" s="272" t="s">
        <v>5564</v>
      </c>
      <c r="B158" s="591" t="s">
        <v>5565</v>
      </c>
      <c r="C158" s="591"/>
      <c r="D158" s="591"/>
      <c r="E158" s="591"/>
      <c r="F158" s="591"/>
      <c r="G158" s="591"/>
      <c r="H158" s="591"/>
      <c r="I158" s="227"/>
      <c r="J158" s="227"/>
    </row>
    <row r="159" spans="1:10">
      <c r="A159" s="192"/>
      <c r="B159" s="192"/>
      <c r="C159" s="192"/>
      <c r="D159" s="192"/>
      <c r="E159" s="192"/>
      <c r="F159" s="192"/>
      <c r="G159" s="192"/>
      <c r="H159" s="192"/>
      <c r="I159" s="227"/>
      <c r="J159" s="227"/>
    </row>
    <row r="160" spans="1:10">
      <c r="A160" s="319" t="s">
        <v>4946</v>
      </c>
      <c r="B160" s="319" t="s">
        <v>77</v>
      </c>
      <c r="C160" s="319" t="s">
        <v>5566</v>
      </c>
      <c r="D160" s="319" t="s">
        <v>263</v>
      </c>
      <c r="E160" s="319" t="s">
        <v>216</v>
      </c>
      <c r="F160" s="319" t="s">
        <v>5567</v>
      </c>
      <c r="G160" s="319" t="s">
        <v>5568</v>
      </c>
      <c r="H160" s="319" t="s">
        <v>5569</v>
      </c>
      <c r="I160" s="227"/>
      <c r="J160" s="227"/>
    </row>
    <row r="161" spans="1:10" ht="25.5">
      <c r="A161" s="273" t="s">
        <v>5570</v>
      </c>
      <c r="B161" s="274" t="s">
        <v>1096</v>
      </c>
      <c r="C161" s="273"/>
      <c r="D161" s="273"/>
      <c r="E161" s="273"/>
      <c r="F161" s="273"/>
      <c r="G161" s="275" t="str">
        <f t="shared" ref="G161:G168" si="2">IF(OR(B161="Yes",B161="N/A"),"🟢","🟡")</f>
        <v>🟡</v>
      </c>
      <c r="H161" s="273"/>
      <c r="I161" s="227"/>
      <c r="J161" s="227"/>
    </row>
    <row r="162" spans="1:10">
      <c r="A162" s="273" t="s">
        <v>5571</v>
      </c>
      <c r="B162" s="274" t="s">
        <v>1096</v>
      </c>
      <c r="C162" s="273"/>
      <c r="D162" s="273"/>
      <c r="E162" s="273"/>
      <c r="F162" s="273"/>
      <c r="G162" s="275" t="str">
        <f t="shared" si="2"/>
        <v>🟡</v>
      </c>
      <c r="H162" s="273"/>
      <c r="I162" s="227"/>
      <c r="J162" s="227"/>
    </row>
    <row r="163" spans="1:10">
      <c r="A163" s="273" t="s">
        <v>5572</v>
      </c>
      <c r="B163" s="274" t="s">
        <v>1096</v>
      </c>
      <c r="C163" s="273"/>
      <c r="D163" s="273"/>
      <c r="E163" s="273"/>
      <c r="F163" s="273"/>
      <c r="G163" s="275" t="str">
        <f t="shared" si="2"/>
        <v>🟡</v>
      </c>
      <c r="H163" s="273"/>
      <c r="I163" s="227"/>
      <c r="J163" s="227"/>
    </row>
    <row r="164" spans="1:10">
      <c r="A164" s="273" t="s">
        <v>5168</v>
      </c>
      <c r="B164" s="274" t="s">
        <v>1096</v>
      </c>
      <c r="C164" s="273"/>
      <c r="D164" s="273"/>
      <c r="E164" s="273"/>
      <c r="F164" s="273"/>
      <c r="G164" s="275" t="str">
        <f t="shared" si="2"/>
        <v>🟡</v>
      </c>
      <c r="H164" s="273"/>
      <c r="I164" s="227"/>
      <c r="J164" s="227"/>
    </row>
    <row r="165" spans="1:10">
      <c r="A165" s="273" t="s">
        <v>5573</v>
      </c>
      <c r="B165" s="274" t="s">
        <v>1096</v>
      </c>
      <c r="C165" s="273"/>
      <c r="D165" s="273"/>
      <c r="E165" s="273"/>
      <c r="F165" s="273"/>
      <c r="G165" s="275" t="str">
        <f t="shared" si="2"/>
        <v>🟡</v>
      </c>
      <c r="H165" s="273"/>
      <c r="I165" s="227"/>
      <c r="J165" s="227"/>
    </row>
    <row r="166" spans="1:10">
      <c r="A166" s="273" t="s">
        <v>5574</v>
      </c>
      <c r="B166" s="274" t="s">
        <v>1096</v>
      </c>
      <c r="C166" s="273"/>
      <c r="D166" s="273"/>
      <c r="E166" s="273"/>
      <c r="F166" s="273"/>
      <c r="G166" s="275" t="str">
        <f t="shared" si="2"/>
        <v>🟡</v>
      </c>
      <c r="H166" s="273"/>
      <c r="I166" s="227"/>
      <c r="J166" s="227"/>
    </row>
    <row r="167" spans="1:10">
      <c r="A167" s="273" t="s">
        <v>178</v>
      </c>
      <c r="B167" s="274" t="s">
        <v>1096</v>
      </c>
      <c r="C167" s="273"/>
      <c r="D167" s="273"/>
      <c r="E167" s="273"/>
      <c r="F167" s="273"/>
      <c r="G167" s="275" t="str">
        <f t="shared" si="2"/>
        <v>🟡</v>
      </c>
      <c r="H167" s="273"/>
      <c r="I167" s="227"/>
      <c r="J167" s="227"/>
    </row>
    <row r="168" spans="1:10" ht="25.5">
      <c r="A168" s="273" t="s">
        <v>5575</v>
      </c>
      <c r="B168" s="274" t="s">
        <v>1096</v>
      </c>
      <c r="C168" s="273"/>
      <c r="D168" s="273"/>
      <c r="E168" s="273"/>
      <c r="F168" s="273"/>
      <c r="G168" s="275" t="str">
        <f t="shared" si="2"/>
        <v>🟡</v>
      </c>
      <c r="H168" s="273"/>
      <c r="I168" s="227"/>
      <c r="J168" s="227"/>
    </row>
    <row r="169" spans="1:10">
      <c r="A169" s="320" t="s">
        <v>4946</v>
      </c>
      <c r="B169" s="320" t="s">
        <v>5583</v>
      </c>
      <c r="C169" s="192"/>
      <c r="D169" s="192"/>
      <c r="E169" s="320" t="s">
        <v>5584</v>
      </c>
      <c r="F169" s="192"/>
      <c r="G169" s="192"/>
      <c r="H169" s="192"/>
      <c r="I169" s="227"/>
      <c r="J169" s="227"/>
    </row>
    <row r="170" spans="1:10" ht="25.5">
      <c r="A170" s="287" t="s">
        <v>5570</v>
      </c>
      <c r="B170" s="577" t="s">
        <v>5585</v>
      </c>
      <c r="C170" s="577"/>
      <c r="D170" s="577"/>
      <c r="E170" s="577" t="s">
        <v>5586</v>
      </c>
      <c r="F170" s="577"/>
      <c r="G170" s="577"/>
      <c r="H170" s="192"/>
      <c r="I170" s="227"/>
      <c r="J170" s="227"/>
    </row>
    <row r="171" spans="1:10">
      <c r="A171" s="287" t="s">
        <v>5571</v>
      </c>
      <c r="B171" s="577" t="s">
        <v>5587</v>
      </c>
      <c r="C171" s="577"/>
      <c r="D171" s="577"/>
      <c r="E171" s="577" t="s">
        <v>5588</v>
      </c>
      <c r="F171" s="577"/>
      <c r="G171" s="577"/>
      <c r="H171" s="192"/>
      <c r="I171" s="227"/>
      <c r="J171" s="227"/>
    </row>
    <row r="172" spans="1:10">
      <c r="A172" s="287" t="s">
        <v>5572</v>
      </c>
      <c r="B172" s="577" t="s">
        <v>5589</v>
      </c>
      <c r="C172" s="577"/>
      <c r="D172" s="577"/>
      <c r="E172" s="577" t="s">
        <v>5590</v>
      </c>
      <c r="F172" s="577"/>
      <c r="G172" s="577"/>
      <c r="H172" s="192"/>
      <c r="I172" s="227"/>
      <c r="J172" s="227"/>
    </row>
    <row r="173" spans="1:10">
      <c r="A173" s="287" t="s">
        <v>5168</v>
      </c>
      <c r="B173" s="577" t="s">
        <v>5591</v>
      </c>
      <c r="C173" s="577"/>
      <c r="D173" s="577"/>
      <c r="E173" s="577" t="s">
        <v>5592</v>
      </c>
      <c r="F173" s="577"/>
      <c r="G173" s="577"/>
      <c r="H173" s="192"/>
      <c r="I173" s="227"/>
      <c r="J173" s="227"/>
    </row>
    <row r="174" spans="1:10">
      <c r="A174" s="287" t="s">
        <v>5573</v>
      </c>
      <c r="B174" s="577" t="s">
        <v>5593</v>
      </c>
      <c r="C174" s="577"/>
      <c r="D174" s="577"/>
      <c r="E174" s="577" t="s">
        <v>5594</v>
      </c>
      <c r="F174" s="577"/>
      <c r="G174" s="577"/>
      <c r="H174" s="192"/>
      <c r="I174" s="227"/>
      <c r="J174" s="227"/>
    </row>
    <row r="175" spans="1:10">
      <c r="A175" s="287" t="s">
        <v>5574</v>
      </c>
      <c r="B175" s="577" t="s">
        <v>5595</v>
      </c>
      <c r="C175" s="577"/>
      <c r="D175" s="577"/>
      <c r="E175" s="577" t="s">
        <v>5596</v>
      </c>
      <c r="F175" s="577"/>
      <c r="G175" s="577"/>
      <c r="H175" s="192"/>
      <c r="I175" s="227"/>
      <c r="J175" s="227"/>
    </row>
    <row r="176" spans="1:10">
      <c r="A176" s="287" t="s">
        <v>178</v>
      </c>
      <c r="B176" s="577" t="s">
        <v>5597</v>
      </c>
      <c r="C176" s="577"/>
      <c r="D176" s="577"/>
      <c r="E176" s="577" t="s">
        <v>5598</v>
      </c>
      <c r="F176" s="577"/>
      <c r="G176" s="577"/>
      <c r="H176" s="192"/>
      <c r="I176" s="227"/>
      <c r="J176" s="227"/>
    </row>
    <row r="177" spans="1:10" ht="25.5">
      <c r="A177" s="287" t="s">
        <v>5575</v>
      </c>
      <c r="B177" s="577" t="s">
        <v>5599</v>
      </c>
      <c r="C177" s="577"/>
      <c r="D177" s="577"/>
      <c r="E177" s="577" t="s">
        <v>5600</v>
      </c>
      <c r="F177" s="577"/>
      <c r="G177" s="577"/>
      <c r="H177" s="192"/>
      <c r="I177" s="227"/>
      <c r="J177" s="227"/>
    </row>
    <row r="178" spans="1:10">
      <c r="A178" s="272" t="s">
        <v>5576</v>
      </c>
      <c r="B178" s="276" t="str">
        <f>IF(COUNTIF(B161:B168,"No")=0,"🟢 PILOT COMPLETE / ACCEPTANCE READY","🟡 NOT COMPLETE — ACCEPTANCE GATES OPEN")</f>
        <v>🟡 NOT COMPLETE — ACCEPTANCE GATES OPEN</v>
      </c>
      <c r="C178" s="276"/>
      <c r="D178" s="276"/>
      <c r="E178" s="276"/>
      <c r="F178" s="276"/>
      <c r="G178" s="276"/>
      <c r="H178" s="276"/>
    </row>
    <row r="179" spans="1:10">
      <c r="A179" s="272" t="s">
        <v>5577</v>
      </c>
      <c r="B179" s="276">
        <f>COUNTIF(B161:B168,"No")</f>
        <v>8</v>
      </c>
      <c r="C179" s="276"/>
      <c r="D179" s="276"/>
      <c r="E179" s="276"/>
      <c r="F179" s="276"/>
      <c r="G179" s="276"/>
      <c r="H179" s="276"/>
    </row>
    <row r="180" spans="1:10">
      <c r="A180" s="272" t="s">
        <v>5578</v>
      </c>
      <c r="B180" s="276" t="str">
        <f>COUNTIF(B161:B168,"Yes")&amp;" / 8 Complete"</f>
        <v>0 / 8 Complete</v>
      </c>
      <c r="C180" s="276"/>
      <c r="D180" s="276"/>
      <c r="E180" s="276"/>
      <c r="F180" s="276"/>
      <c r="G180" s="276"/>
      <c r="H180" s="276"/>
    </row>
    <row r="181" spans="1:10" ht="90">
      <c r="A181" s="277" t="s">
        <v>5579</v>
      </c>
      <c r="B181" s="278" t="s">
        <v>5580</v>
      </c>
      <c r="C181" s="278"/>
      <c r="D181" s="278"/>
      <c r="E181" s="278"/>
      <c r="F181" s="278"/>
      <c r="G181" s="278"/>
      <c r="H181" s="278"/>
    </row>
    <row r="182" spans="1:10">
      <c r="A182" s="277"/>
      <c r="B182" s="278"/>
      <c r="C182" s="278"/>
      <c r="D182" s="278"/>
      <c r="E182" s="278"/>
      <c r="F182" s="278"/>
      <c r="G182" s="278"/>
      <c r="H182" s="278"/>
    </row>
    <row r="183" spans="1:10" ht="64.5">
      <c r="A183" s="277" t="s">
        <v>5581</v>
      </c>
      <c r="B183" s="278" t="s">
        <v>5582</v>
      </c>
      <c r="C183" s="278"/>
      <c r="D183" s="278"/>
      <c r="E183" s="278"/>
      <c r="F183" s="278"/>
      <c r="G183" s="278"/>
      <c r="H183" s="278"/>
    </row>
    <row r="184" spans="1:10">
      <c r="A184" s="575" t="s">
        <v>5694</v>
      </c>
      <c r="B184" s="575"/>
      <c r="C184" s="575"/>
      <c r="D184" s="575"/>
      <c r="E184" s="575"/>
      <c r="F184" s="575"/>
      <c r="G184" s="575"/>
      <c r="H184" s="575"/>
      <c r="I184" s="575"/>
      <c r="J184" s="575"/>
    </row>
    <row r="185" spans="1:10">
      <c r="A185" s="336"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5" t="s">
        <v>5695</v>
      </c>
      <c r="B195" s="575"/>
      <c r="C195" s="575"/>
      <c r="D195" s="575"/>
      <c r="E195" s="575"/>
      <c r="F195" s="575"/>
      <c r="G195" s="575"/>
      <c r="H195" s="575"/>
      <c r="I195" s="575"/>
      <c r="J195" s="575"/>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5" t="s">
        <v>5696</v>
      </c>
      <c r="B205" s="575"/>
      <c r="C205" s="575"/>
      <c r="D205" s="575"/>
      <c r="E205" s="575"/>
      <c r="F205" s="575"/>
      <c r="G205" s="575"/>
      <c r="H205" s="575"/>
      <c r="I205" s="575"/>
      <c r="J205" s="575"/>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5" t="s">
        <v>5697</v>
      </c>
      <c r="B217" s="575"/>
      <c r="C217" s="575"/>
      <c r="D217" s="575"/>
      <c r="E217" s="575"/>
      <c r="F217" s="575"/>
      <c r="G217" s="575"/>
      <c r="H217" s="575"/>
      <c r="I217" s="575"/>
      <c r="J217" s="575"/>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5692</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5693</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599"/>
      <c r="H239" s="599"/>
      <c r="I239" s="599"/>
      <c r="J239" s="599"/>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579" priority="21">
      <formula>B100="Complete"</formula>
    </cfRule>
    <cfRule type="expression" dxfId="578" priority="22">
      <formula>B100="In Progress"</formula>
    </cfRule>
    <cfRule type="expression" dxfId="577" priority="23">
      <formula>B100="At Risk"</formula>
    </cfRule>
    <cfRule type="expression" dxfId="576" priority="24">
      <formula>B100="Blocked"</formula>
    </cfRule>
    <cfRule type="expression" dxfId="575" priority="25">
      <formula>B100="Not Started"</formula>
    </cfRule>
  </conditionalFormatting>
  <conditionalFormatting sqref="B109:B116">
    <cfRule type="expression" dxfId="574" priority="1">
      <formula>B109="Complete"</formula>
    </cfRule>
    <cfRule type="expression" dxfId="573" priority="2">
      <formula>B109="In Progress"</formula>
    </cfRule>
    <cfRule type="expression" dxfId="572" priority="3">
      <formula>B109="At Risk"</formula>
    </cfRule>
    <cfRule type="expression" dxfId="571" priority="4">
      <formula>B109="Blocked"</formula>
    </cfRule>
    <cfRule type="expression" dxfId="570" priority="5">
      <formula>B109="Not Started"</formula>
    </cfRule>
  </conditionalFormatting>
  <conditionalFormatting sqref="B121:B125">
    <cfRule type="expression" dxfId="569" priority="30">
      <formula>B121="Not Started"</formula>
    </cfRule>
    <cfRule type="expression" dxfId="568" priority="29">
      <formula>B121="Blocked"</formula>
    </cfRule>
    <cfRule type="expression" dxfId="567" priority="28">
      <formula>B121="At Risk"</formula>
    </cfRule>
    <cfRule type="expression" dxfId="566" priority="27">
      <formula>B121="In Progress"</formula>
    </cfRule>
    <cfRule type="expression" dxfId="565" priority="26">
      <formula>B121="Complete"</formula>
    </cfRule>
  </conditionalFormatting>
  <conditionalFormatting sqref="B130:B133">
    <cfRule type="expression" dxfId="564" priority="6">
      <formula>B130="Complete"</formula>
    </cfRule>
    <cfRule type="expression" dxfId="563" priority="7">
      <formula>B130="In Progress"</formula>
    </cfRule>
    <cfRule type="expression" dxfId="562" priority="8">
      <formula>B130="At Risk"</formula>
    </cfRule>
    <cfRule type="expression" dxfId="561" priority="9">
      <formula>B130="Blocked"</formula>
    </cfRule>
    <cfRule type="expression" dxfId="560" priority="10">
      <formula>B130="Not Started"</formula>
    </cfRule>
  </conditionalFormatting>
  <conditionalFormatting sqref="B138:B143">
    <cfRule type="expression" dxfId="559" priority="11">
      <formula>B138="Complete"</formula>
    </cfRule>
    <cfRule type="expression" dxfId="558" priority="12">
      <formula>B138="In Progress"</formula>
    </cfRule>
    <cfRule type="expression" dxfId="557" priority="13">
      <formula>B138="At Risk"</formula>
    </cfRule>
    <cfRule type="expression" dxfId="556" priority="14">
      <formula>B138="Blocked"</formula>
    </cfRule>
    <cfRule type="expression" dxfId="555" priority="15">
      <formula>B138="Not Started"</formula>
    </cfRule>
  </conditionalFormatting>
  <conditionalFormatting sqref="B161:B168">
    <cfRule type="expression" dxfId="554" priority="82">
      <formula>B161="Yes"</formula>
    </cfRule>
    <cfRule type="expression" dxfId="553" priority="83">
      <formula>B161="N/A"</formula>
    </cfRule>
    <cfRule type="expression" dxfId="552" priority="84">
      <formula>B161="No"</formula>
    </cfRule>
  </conditionalFormatting>
  <conditionalFormatting sqref="B178:H178">
    <cfRule type="expression" dxfId="551" priority="86">
      <formula>COUNTIF($B$6:$B$13,"No")&gt;0</formula>
    </cfRule>
    <cfRule type="expression" dxfId="550" priority="85">
      <formula>COUNTIF($B$6:$B$13,"No")=0</formula>
    </cfRule>
  </conditionalFormatting>
  <conditionalFormatting sqref="C105:D105">
    <cfRule type="dataBar" priority="37">
      <dataBar>
        <cfvo type="num" val="0"/>
        <cfvo type="num" val="1"/>
        <color rgb="FF5B9BD5"/>
      </dataBar>
    </cfRule>
  </conditionalFormatting>
  <conditionalFormatting sqref="C109:D116">
    <cfRule type="expression" dxfId="549" priority="32">
      <formula>C109="No"</formula>
    </cfRule>
    <cfRule type="expression" dxfId="548" priority="31">
      <formula>C109="Yes"</formula>
    </cfRule>
    <cfRule type="expression" dxfId="54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46" priority="17">
      <formula>C138="No"</formula>
    </cfRule>
    <cfRule type="expression" dxfId="545" priority="16">
      <formula>C138="Yes"</formula>
    </cfRule>
    <cfRule type="expression" dxfId="54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43" priority="87">
      <formula>E5="Pass"</formula>
    </cfRule>
    <cfRule type="expression" dxfId="542" priority="88">
      <formula>E5="Verify"</formula>
    </cfRule>
    <cfRule type="expression" dxfId="541" priority="89">
      <formula>E5="Fail"</formula>
    </cfRule>
    <cfRule type="expression" dxfId="540" priority="90">
      <formula>E5="Not Started"</formula>
    </cfRule>
  </conditionalFormatting>
  <conditionalFormatting sqref="F3">
    <cfRule type="expression" dxfId="539" priority="91">
      <formula>F3="Yes"</formula>
    </cfRule>
    <cfRule type="expression" dxfId="538" priority="92">
      <formula>F3="No"</formula>
    </cfRule>
  </conditionalFormatting>
  <conditionalFormatting sqref="F121:F125">
    <cfRule type="expression" dxfId="537" priority="35">
      <formula>F121="Fail"</formula>
    </cfRule>
    <cfRule type="expression" dxfId="536" priority="36">
      <formula>F121="Pending"</formula>
    </cfRule>
    <cfRule type="expression" dxfId="535" priority="34">
      <formula>F121="Pass"</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Lookup_Lists!$L$37:$L$39</xm:f>
          </x14:formula1>
          <xm:sqref>C121:E125 J2</xm:sqref>
        </x14:dataValidation>
        <x14:dataValidation type="list" allowBlank="1" showInputMessage="1" showErrorMessage="1" xr:uid="{736EB1F5-915E-4DF5-AED9-AB5BA4D7D62C}">
          <x14:formula1>
            <xm:f>Lookup_Lists!$A$36:$A$42</xm:f>
          </x14:formula1>
          <xm:sqref>B100:B104 B109:B116 B138:B143</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topLeftCell="A50"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2986</v>
      </c>
      <c r="B1" s="896"/>
      <c r="C1" s="896"/>
      <c r="D1" s="896"/>
      <c r="E1" s="896"/>
      <c r="F1" s="896"/>
      <c r="G1" s="896"/>
      <c r="H1" s="896"/>
      <c r="I1" s="896"/>
      <c r="J1" s="896"/>
    </row>
    <row r="2" spans="1:10" s="223" customFormat="1">
      <c r="A2" s="219" t="s">
        <v>142</v>
      </c>
      <c r="B2" s="220" t="s">
        <v>707</v>
      </c>
      <c r="C2" s="219" t="s">
        <v>902</v>
      </c>
      <c r="D2" s="220" t="s">
        <v>1094</v>
      </c>
      <c r="E2" s="219" t="s">
        <v>151</v>
      </c>
      <c r="F2" s="220" t="s">
        <v>1095</v>
      </c>
      <c r="G2" s="219" t="s">
        <v>174</v>
      </c>
      <c r="H2" s="221">
        <v>0.5</v>
      </c>
      <c r="I2" s="219" t="s">
        <v>154</v>
      </c>
      <c r="J2" s="222" t="s">
        <v>1096</v>
      </c>
    </row>
    <row r="3" spans="1:10" s="227" customFormat="1" ht="25.5">
      <c r="A3" s="219" t="s">
        <v>903</v>
      </c>
      <c r="B3" s="224">
        <v>46198.716311979173</v>
      </c>
      <c r="C3" s="225" t="s">
        <v>904</v>
      </c>
      <c r="D3" s="226" t="s">
        <v>721</v>
      </c>
      <c r="E3" s="219" t="s">
        <v>905</v>
      </c>
      <c r="F3" s="226" t="s">
        <v>2987</v>
      </c>
      <c r="G3" s="219" t="s">
        <v>907</v>
      </c>
      <c r="H3" s="226" t="s">
        <v>908</v>
      </c>
      <c r="I3" s="219" t="s">
        <v>551</v>
      </c>
      <c r="J3" s="226" t="s">
        <v>2988</v>
      </c>
    </row>
    <row r="4" spans="1:10" s="227" customFormat="1" ht="216.75">
      <c r="A4" s="219" t="s">
        <v>161</v>
      </c>
      <c r="B4" s="226">
        <v>0</v>
      </c>
      <c r="C4" s="219" t="s">
        <v>199</v>
      </c>
      <c r="D4" s="226">
        <v>0</v>
      </c>
      <c r="E4" s="219" t="s">
        <v>179</v>
      </c>
      <c r="F4" s="226">
        <v>0</v>
      </c>
      <c r="G4" s="219" t="s">
        <v>870</v>
      </c>
      <c r="H4" s="228" t="s">
        <v>2989</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2.25" customHeight="1">
      <c r="A6" s="234" t="s">
        <v>916</v>
      </c>
      <c r="B6" s="221" t="s">
        <v>947</v>
      </c>
      <c r="C6" s="235" t="s">
        <v>869</v>
      </c>
      <c r="D6" s="604" t="s">
        <v>2990</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707</v>
      </c>
      <c r="B10" s="13" t="s">
        <v>714</v>
      </c>
      <c r="C10" s="13" t="s">
        <v>919</v>
      </c>
      <c r="D10" s="13" t="s">
        <v>2991</v>
      </c>
      <c r="E10" s="13" t="s">
        <v>2764</v>
      </c>
      <c r="F10" s="13">
        <v>1</v>
      </c>
      <c r="G10" s="13">
        <v>0</v>
      </c>
      <c r="H10" s="13" t="s">
        <v>677</v>
      </c>
      <c r="I10" s="13" t="s">
        <v>2992</v>
      </c>
      <c r="J10" s="13" t="s">
        <v>2993</v>
      </c>
    </row>
    <row r="11" spans="1:10" ht="89.25">
      <c r="A11" s="13" t="s">
        <v>707</v>
      </c>
      <c r="B11" s="13" t="s">
        <v>2994</v>
      </c>
      <c r="C11" s="13" t="s">
        <v>919</v>
      </c>
      <c r="D11" s="13" t="s">
        <v>2995</v>
      </c>
      <c r="E11" s="13" t="s">
        <v>925</v>
      </c>
      <c r="F11" s="13">
        <v>1</v>
      </c>
      <c r="G11" s="13">
        <v>0</v>
      </c>
      <c r="H11" s="13" t="s">
        <v>677</v>
      </c>
      <c r="I11" s="13" t="s">
        <v>2996</v>
      </c>
      <c r="J11" s="13" t="s">
        <v>2997</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714</v>
      </c>
      <c r="B15" s="13" t="s">
        <v>677</v>
      </c>
      <c r="C15" s="13" t="s">
        <v>677</v>
      </c>
      <c r="D15" s="13" t="s">
        <v>2998</v>
      </c>
      <c r="E15" s="13" t="s">
        <v>677</v>
      </c>
      <c r="F15" s="13" t="s">
        <v>947</v>
      </c>
      <c r="G15" s="13" t="s">
        <v>677</v>
      </c>
      <c r="H15" s="13" t="s">
        <v>677</v>
      </c>
      <c r="I15" s="13" t="s">
        <v>677</v>
      </c>
      <c r="J15" s="13" t="s">
        <v>2999</v>
      </c>
    </row>
    <row r="16" spans="1:10" ht="63.75">
      <c r="A16" s="13" t="s">
        <v>2994</v>
      </c>
      <c r="B16" s="13" t="s">
        <v>946</v>
      </c>
      <c r="C16" s="13" t="s">
        <v>946</v>
      </c>
      <c r="D16" s="13" t="s">
        <v>946</v>
      </c>
      <c r="E16" s="13" t="s">
        <v>677</v>
      </c>
      <c r="F16" s="13" t="s">
        <v>947</v>
      </c>
      <c r="G16" s="13" t="s">
        <v>677</v>
      </c>
      <c r="H16" s="13" t="s">
        <v>677</v>
      </c>
      <c r="I16" s="13" t="s">
        <v>677</v>
      </c>
      <c r="J16" s="13" t="s">
        <v>3000</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714</v>
      </c>
      <c r="B20" s="13" t="s">
        <v>2774</v>
      </c>
      <c r="C20" s="13" t="s">
        <v>679</v>
      </c>
      <c r="D20" s="13" t="s">
        <v>947</v>
      </c>
      <c r="E20" s="13" t="s">
        <v>947</v>
      </c>
      <c r="F20" s="13" t="s">
        <v>1238</v>
      </c>
      <c r="G20" s="13" t="s">
        <v>677</v>
      </c>
      <c r="H20" s="13" t="s">
        <v>677</v>
      </c>
      <c r="I20" s="13" t="s">
        <v>677</v>
      </c>
      <c r="J20" s="13" t="s">
        <v>3001</v>
      </c>
    </row>
    <row r="21" spans="1:10" ht="38.25">
      <c r="A21" s="13" t="s">
        <v>2994</v>
      </c>
      <c r="B21" s="13" t="s">
        <v>946</v>
      </c>
      <c r="C21" s="13" t="s">
        <v>679</v>
      </c>
      <c r="D21" s="13" t="s">
        <v>947</v>
      </c>
      <c r="E21" s="13" t="s">
        <v>947</v>
      </c>
      <c r="F21" s="13" t="s">
        <v>1238</v>
      </c>
      <c r="G21" s="13" t="s">
        <v>677</v>
      </c>
      <c r="H21" s="13" t="s">
        <v>677</v>
      </c>
      <c r="I21" s="13" t="s">
        <v>677</v>
      </c>
      <c r="J21" s="13" t="s">
        <v>3002</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714</v>
      </c>
      <c r="B25" s="13" t="s">
        <v>2777</v>
      </c>
      <c r="C25" s="13" t="s">
        <v>679</v>
      </c>
      <c r="D25" s="13" t="s">
        <v>679</v>
      </c>
      <c r="E25" s="13" t="s">
        <v>679</v>
      </c>
      <c r="F25" s="13" t="s">
        <v>679</v>
      </c>
      <c r="G25" s="13" t="s">
        <v>679</v>
      </c>
      <c r="H25" s="13" t="s">
        <v>679</v>
      </c>
      <c r="I25" s="13" t="s">
        <v>679</v>
      </c>
      <c r="J25" s="13" t="s">
        <v>3003</v>
      </c>
    </row>
    <row r="26" spans="1:10" ht="51">
      <c r="A26" s="13" t="s">
        <v>2994</v>
      </c>
      <c r="B26" s="13" t="s">
        <v>946</v>
      </c>
      <c r="C26" s="13" t="s">
        <v>677</v>
      </c>
      <c r="D26" s="13" t="s">
        <v>677</v>
      </c>
      <c r="E26" s="13" t="s">
        <v>677</v>
      </c>
      <c r="F26" s="13" t="s">
        <v>677</v>
      </c>
      <c r="G26" s="13" t="s">
        <v>677</v>
      </c>
      <c r="H26" s="13" t="s">
        <v>677</v>
      </c>
      <c r="I26" s="13" t="s">
        <v>677</v>
      </c>
      <c r="J26" s="13" t="s">
        <v>3004</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714</v>
      </c>
      <c r="B30" s="13" t="s">
        <v>677</v>
      </c>
      <c r="C30" s="13" t="s">
        <v>2780</v>
      </c>
      <c r="D30" s="13" t="s">
        <v>677</v>
      </c>
      <c r="E30" s="13" t="s">
        <v>677</v>
      </c>
      <c r="F30" s="13" t="s">
        <v>3005</v>
      </c>
      <c r="G30" s="13" t="s">
        <v>677</v>
      </c>
      <c r="H30" s="13" t="s">
        <v>677</v>
      </c>
      <c r="I30" s="13" t="s">
        <v>677</v>
      </c>
      <c r="J30" s="13" t="s">
        <v>3006</v>
      </c>
    </row>
    <row r="31" spans="1:10" ht="76.5">
      <c r="A31" s="13" t="s">
        <v>2994</v>
      </c>
      <c r="B31" s="13" t="s">
        <v>988</v>
      </c>
      <c r="C31" s="13" t="s">
        <v>3007</v>
      </c>
      <c r="D31" s="13" t="s">
        <v>988</v>
      </c>
      <c r="E31" s="13" t="s">
        <v>677</v>
      </c>
      <c r="F31" s="13" t="s">
        <v>946</v>
      </c>
      <c r="G31" s="13" t="s">
        <v>677</v>
      </c>
      <c r="H31" s="13" t="s">
        <v>677</v>
      </c>
      <c r="I31" s="13" t="s">
        <v>677</v>
      </c>
      <c r="J31" s="13" t="s">
        <v>3008</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89.25">
      <c r="A35" s="13" t="s">
        <v>714</v>
      </c>
      <c r="B35" s="13" t="s">
        <v>677</v>
      </c>
      <c r="C35" s="13" t="s">
        <v>677</v>
      </c>
      <c r="D35" s="13" t="s">
        <v>677</v>
      </c>
      <c r="E35" s="13" t="s">
        <v>677</v>
      </c>
      <c r="F35" s="13" t="s">
        <v>677</v>
      </c>
      <c r="G35" s="13" t="s">
        <v>677</v>
      </c>
      <c r="H35" s="13" t="s">
        <v>677</v>
      </c>
      <c r="I35" s="13" t="s">
        <v>677</v>
      </c>
      <c r="J35" s="13" t="s">
        <v>3009</v>
      </c>
    </row>
    <row r="36" spans="1:10" ht="76.5">
      <c r="A36" s="13" t="s">
        <v>2994</v>
      </c>
      <c r="B36" s="13" t="s">
        <v>988</v>
      </c>
      <c r="C36" s="13" t="s">
        <v>988</v>
      </c>
      <c r="D36" s="13" t="s">
        <v>988</v>
      </c>
      <c r="E36" s="13" t="s">
        <v>677</v>
      </c>
      <c r="F36" s="13" t="s">
        <v>677</v>
      </c>
      <c r="G36" s="13" t="s">
        <v>677</v>
      </c>
      <c r="H36" s="13" t="s">
        <v>677</v>
      </c>
      <c r="I36" s="13" t="s">
        <v>677</v>
      </c>
      <c r="J36" s="13" t="s">
        <v>3010</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1238</v>
      </c>
      <c r="C40" s="13" t="s">
        <v>1238</v>
      </c>
      <c r="D40" s="13" t="s">
        <v>1238</v>
      </c>
      <c r="E40" s="13" t="s">
        <v>1238</v>
      </c>
      <c r="F40" s="13" t="s">
        <v>947</v>
      </c>
      <c r="G40" s="13" t="s">
        <v>947</v>
      </c>
      <c r="H40" s="13" t="s">
        <v>677</v>
      </c>
      <c r="I40" s="13" t="s">
        <v>677</v>
      </c>
      <c r="J40" s="13" t="s">
        <v>3011</v>
      </c>
    </row>
    <row r="41" spans="1:10" ht="38.25">
      <c r="A41" s="13" t="s">
        <v>2994</v>
      </c>
      <c r="B41" s="13" t="s">
        <v>1238</v>
      </c>
      <c r="C41" s="13" t="s">
        <v>1238</v>
      </c>
      <c r="D41" s="13" t="s">
        <v>1238</v>
      </c>
      <c r="E41" s="13" t="s">
        <v>1238</v>
      </c>
      <c r="F41" s="13" t="s">
        <v>947</v>
      </c>
      <c r="G41" s="13" t="s">
        <v>947</v>
      </c>
      <c r="H41" s="13" t="s">
        <v>677</v>
      </c>
      <c r="I41" s="13" t="s">
        <v>677</v>
      </c>
      <c r="J41" s="13" t="s">
        <v>3012</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3013</v>
      </c>
      <c r="B45" s="13" t="s">
        <v>575</v>
      </c>
      <c r="C45" s="13" t="s">
        <v>3014</v>
      </c>
      <c r="D45" s="13" t="s">
        <v>391</v>
      </c>
      <c r="E45" s="13" t="s">
        <v>488</v>
      </c>
      <c r="F45" s="13">
        <v>6</v>
      </c>
      <c r="G45" s="13" t="s">
        <v>1381</v>
      </c>
      <c r="H45" s="13" t="s">
        <v>1023</v>
      </c>
      <c r="I45" s="13" t="s">
        <v>502</v>
      </c>
      <c r="J45" s="13" t="s">
        <v>3015</v>
      </c>
    </row>
    <row r="46" spans="1:10" ht="76.5">
      <c r="A46" s="13" t="s">
        <v>3016</v>
      </c>
      <c r="B46" s="13" t="s">
        <v>3017</v>
      </c>
      <c r="C46" s="13" t="s">
        <v>3018</v>
      </c>
      <c r="D46" s="13" t="s">
        <v>492</v>
      </c>
      <c r="E46" s="13" t="s">
        <v>488</v>
      </c>
      <c r="F46" s="13">
        <v>8</v>
      </c>
      <c r="G46" s="13" t="s">
        <v>1025</v>
      </c>
      <c r="H46" s="13" t="s">
        <v>584</v>
      </c>
      <c r="I46" s="13" t="s">
        <v>502</v>
      </c>
      <c r="J46" s="13" t="s">
        <v>3019</v>
      </c>
    </row>
    <row r="47" spans="1:10" ht="76.5">
      <c r="A47" s="13" t="s">
        <v>3020</v>
      </c>
      <c r="B47" s="13" t="s">
        <v>714</v>
      </c>
      <c r="C47" s="13" t="s">
        <v>3021</v>
      </c>
      <c r="D47" s="13" t="s">
        <v>488</v>
      </c>
      <c r="E47" s="13" t="s">
        <v>488</v>
      </c>
      <c r="F47" s="13">
        <v>4</v>
      </c>
      <c r="G47" s="13" t="s">
        <v>3022</v>
      </c>
      <c r="H47" s="13" t="s">
        <v>2798</v>
      </c>
      <c r="I47" s="13" t="s">
        <v>502</v>
      </c>
      <c r="J47" s="13" t="s">
        <v>3023</v>
      </c>
    </row>
    <row r="48" spans="1:10" ht="63.75">
      <c r="A48" s="13" t="s">
        <v>3024</v>
      </c>
      <c r="B48" s="13" t="s">
        <v>714</v>
      </c>
      <c r="C48" s="13" t="s">
        <v>3025</v>
      </c>
      <c r="D48" s="13" t="s">
        <v>391</v>
      </c>
      <c r="E48" s="13" t="s">
        <v>488</v>
      </c>
      <c r="F48" s="13">
        <v>6</v>
      </c>
      <c r="G48" s="13" t="s">
        <v>3026</v>
      </c>
      <c r="H48" s="13" t="s">
        <v>2803</v>
      </c>
      <c r="I48" s="13" t="s">
        <v>502</v>
      </c>
      <c r="J48" s="13" t="s">
        <v>2804</v>
      </c>
    </row>
    <row r="49" spans="1:10" ht="63.75">
      <c r="A49" s="13" t="s">
        <v>3027</v>
      </c>
      <c r="B49" s="13" t="s">
        <v>714</v>
      </c>
      <c r="C49" s="13" t="s">
        <v>2806</v>
      </c>
      <c r="D49" s="13" t="s">
        <v>391</v>
      </c>
      <c r="E49" s="13" t="s">
        <v>488</v>
      </c>
      <c r="F49" s="13">
        <v>6</v>
      </c>
      <c r="G49" s="13" t="s">
        <v>2807</v>
      </c>
      <c r="H49" s="13" t="s">
        <v>2808</v>
      </c>
      <c r="I49" s="13" t="s">
        <v>502</v>
      </c>
      <c r="J49" s="13" t="s">
        <v>2809</v>
      </c>
    </row>
    <row r="50" spans="1:10" ht="76.5">
      <c r="A50" s="13" t="s">
        <v>3028</v>
      </c>
      <c r="B50" s="13" t="s">
        <v>575</v>
      </c>
      <c r="C50" s="13" t="s">
        <v>3029</v>
      </c>
      <c r="D50" s="13" t="s">
        <v>391</v>
      </c>
      <c r="E50" s="13" t="s">
        <v>488</v>
      </c>
      <c r="F50" s="13">
        <v>6</v>
      </c>
      <c r="G50" s="13" t="s">
        <v>2812</v>
      </c>
      <c r="H50" s="13" t="s">
        <v>1037</v>
      </c>
      <c r="I50" s="13" t="s">
        <v>502</v>
      </c>
      <c r="J50" s="13" t="s">
        <v>3030</v>
      </c>
    </row>
    <row r="51" spans="1:10" ht="89.25">
      <c r="A51" s="13" t="s">
        <v>3031</v>
      </c>
      <c r="B51" s="13" t="s">
        <v>575</v>
      </c>
      <c r="C51" s="13" t="s">
        <v>2815</v>
      </c>
      <c r="D51" s="13" t="s">
        <v>391</v>
      </c>
      <c r="E51" s="13" t="s">
        <v>488</v>
      </c>
      <c r="F51" s="13">
        <v>6</v>
      </c>
      <c r="G51" s="13" t="s">
        <v>2816</v>
      </c>
      <c r="H51" s="13" t="s">
        <v>622</v>
      </c>
      <c r="I51" s="13" t="s">
        <v>502</v>
      </c>
      <c r="J51" s="13" t="s">
        <v>3032</v>
      </c>
    </row>
    <row r="52" spans="1:10" ht="76.5">
      <c r="A52" s="13" t="s">
        <v>3033</v>
      </c>
      <c r="B52" s="13" t="s">
        <v>3034</v>
      </c>
      <c r="C52" s="13" t="s">
        <v>3035</v>
      </c>
      <c r="D52" s="13" t="s">
        <v>391</v>
      </c>
      <c r="E52" s="13" t="s">
        <v>488</v>
      </c>
      <c r="F52" s="13">
        <v>6</v>
      </c>
      <c r="G52" s="13" t="s">
        <v>3036</v>
      </c>
      <c r="H52" s="13" t="s">
        <v>584</v>
      </c>
      <c r="I52" s="13" t="s">
        <v>502</v>
      </c>
      <c r="J52" s="13" t="s">
        <v>3037</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3038</v>
      </c>
      <c r="B56" s="13" t="s">
        <v>3039</v>
      </c>
      <c r="C56" s="13" t="s">
        <v>579</v>
      </c>
      <c r="D56" s="13" t="s">
        <v>502</v>
      </c>
      <c r="E56" s="13"/>
      <c r="F56" s="13"/>
      <c r="G56" s="13" t="s">
        <v>2619</v>
      </c>
      <c r="H56" s="13"/>
      <c r="I56" s="13"/>
      <c r="J56" s="13"/>
    </row>
    <row r="57" spans="1:10" ht="51">
      <c r="A57" s="13" t="s">
        <v>3040</v>
      </c>
      <c r="B57" s="13" t="s">
        <v>3041</v>
      </c>
      <c r="C57" s="13" t="s">
        <v>587</v>
      </c>
      <c r="D57" s="13" t="s">
        <v>502</v>
      </c>
      <c r="E57" s="13"/>
      <c r="F57" s="13"/>
      <c r="G57" s="13" t="s">
        <v>588</v>
      </c>
      <c r="H57" s="13"/>
      <c r="I57" s="13"/>
      <c r="J57" s="13"/>
    </row>
    <row r="58" spans="1:10" ht="89.25">
      <c r="A58" s="13" t="s">
        <v>3042</v>
      </c>
      <c r="B58" s="13" t="s">
        <v>3043</v>
      </c>
      <c r="C58" s="13" t="s">
        <v>616</v>
      </c>
      <c r="D58" s="13" t="s">
        <v>502</v>
      </c>
      <c r="E58" s="13"/>
      <c r="F58" s="13"/>
      <c r="G58" s="13" t="s">
        <v>617</v>
      </c>
      <c r="H58" s="13"/>
      <c r="I58" s="13"/>
      <c r="J58" s="13"/>
    </row>
    <row r="59" spans="1:10" ht="89.25">
      <c r="A59" s="13" t="s">
        <v>3044</v>
      </c>
      <c r="B59" s="13" t="s">
        <v>3045</v>
      </c>
      <c r="C59" s="13" t="s">
        <v>2830</v>
      </c>
      <c r="D59" s="13" t="s">
        <v>502</v>
      </c>
      <c r="E59" s="13"/>
      <c r="F59" s="13"/>
      <c r="G59" s="13" t="s">
        <v>2831</v>
      </c>
      <c r="H59" s="13"/>
      <c r="I59" s="13"/>
      <c r="J59" s="13"/>
    </row>
    <row r="60" spans="1:10" ht="76.5">
      <c r="A60" s="13" t="s">
        <v>3046</v>
      </c>
      <c r="B60" s="13" t="s">
        <v>3047</v>
      </c>
      <c r="C60" s="13" t="s">
        <v>2834</v>
      </c>
      <c r="D60" s="13" t="s">
        <v>502</v>
      </c>
      <c r="E60" s="13"/>
      <c r="F60" s="13"/>
      <c r="G60" s="13" t="s">
        <v>2835</v>
      </c>
      <c r="H60" s="13"/>
      <c r="I60" s="13"/>
      <c r="J60" s="13"/>
    </row>
    <row r="61" spans="1:10" ht="63.75">
      <c r="A61" s="13" t="s">
        <v>3048</v>
      </c>
      <c r="B61" s="13" t="s">
        <v>3049</v>
      </c>
      <c r="C61" s="13" t="s">
        <v>2838</v>
      </c>
      <c r="D61" s="13" t="s">
        <v>502</v>
      </c>
      <c r="E61" s="13"/>
      <c r="F61" s="13"/>
      <c r="G61" s="13" t="s">
        <v>2839</v>
      </c>
      <c r="H61" s="13"/>
      <c r="I61" s="13"/>
      <c r="J61" s="13"/>
    </row>
    <row r="62" spans="1:10" ht="89.25">
      <c r="A62" s="13" t="s">
        <v>3050</v>
      </c>
      <c r="B62" s="13" t="s">
        <v>2841</v>
      </c>
      <c r="C62" s="13" t="s">
        <v>584</v>
      </c>
      <c r="D62" s="13" t="s">
        <v>502</v>
      </c>
      <c r="E62" s="13"/>
      <c r="F62" s="13"/>
      <c r="G62" s="13" t="s">
        <v>2842</v>
      </c>
      <c r="H62" s="13"/>
      <c r="I62" s="13"/>
      <c r="J62" s="13"/>
    </row>
    <row r="63" spans="1:10" ht="63.75">
      <c r="A63" s="13" t="s">
        <v>3051</v>
      </c>
      <c r="B63" s="13" t="s">
        <v>3052</v>
      </c>
      <c r="C63" s="13" t="s">
        <v>579</v>
      </c>
      <c r="D63" s="13" t="s">
        <v>502</v>
      </c>
      <c r="E63" s="13"/>
      <c r="F63" s="13"/>
      <c r="G63" s="13" t="s">
        <v>3053</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3054</v>
      </c>
      <c r="B67" s="13" t="s">
        <v>714</v>
      </c>
      <c r="C67" s="13" t="s">
        <v>269</v>
      </c>
      <c r="D67" s="13" t="s">
        <v>3055</v>
      </c>
      <c r="E67" s="13"/>
      <c r="F67" s="13" t="s">
        <v>229</v>
      </c>
      <c r="G67" s="13"/>
      <c r="H67" s="13" t="s">
        <v>3056</v>
      </c>
      <c r="I67" s="13" t="s">
        <v>502</v>
      </c>
      <c r="J67" s="13"/>
    </row>
    <row r="68" spans="1:10" ht="102">
      <c r="A68" s="13" t="s">
        <v>3057</v>
      </c>
      <c r="B68" s="13" t="s">
        <v>2994</v>
      </c>
      <c r="C68" s="13" t="s">
        <v>269</v>
      </c>
      <c r="D68" s="13" t="s">
        <v>3058</v>
      </c>
      <c r="E68" s="13"/>
      <c r="F68" s="13" t="s">
        <v>229</v>
      </c>
      <c r="G68" s="13"/>
      <c r="H68" s="13" t="s">
        <v>3059</v>
      </c>
      <c r="I68" s="13" t="s">
        <v>502</v>
      </c>
      <c r="J68" s="13"/>
    </row>
    <row r="69" spans="1:10" ht="76.5">
      <c r="A69" s="13" t="s">
        <v>3060</v>
      </c>
      <c r="B69" s="13" t="s">
        <v>3034</v>
      </c>
      <c r="C69" s="13" t="s">
        <v>1058</v>
      </c>
      <c r="D69" s="13" t="s">
        <v>3061</v>
      </c>
      <c r="E69" s="13"/>
      <c r="F69" s="13" t="s">
        <v>229</v>
      </c>
      <c r="G69" s="13"/>
      <c r="H69" s="13" t="s">
        <v>3033</v>
      </c>
      <c r="I69" s="13" t="s">
        <v>502</v>
      </c>
      <c r="J69" s="13"/>
    </row>
    <row r="70" spans="1:10" ht="102">
      <c r="A70" s="13" t="s">
        <v>3062</v>
      </c>
      <c r="B70" s="13" t="s">
        <v>3017</v>
      </c>
      <c r="C70" s="13" t="s">
        <v>2640</v>
      </c>
      <c r="D70" s="13" t="s">
        <v>3063</v>
      </c>
      <c r="E70" s="13"/>
      <c r="F70" s="13" t="s">
        <v>229</v>
      </c>
      <c r="G70" s="13"/>
      <c r="H70" s="13" t="s">
        <v>3064</v>
      </c>
      <c r="I70" s="13" t="s">
        <v>502</v>
      </c>
      <c r="J70" s="13"/>
    </row>
    <row r="71" spans="1:10" ht="76.5">
      <c r="A71" s="13" t="s">
        <v>3065</v>
      </c>
      <c r="B71" s="13" t="s">
        <v>714</v>
      </c>
      <c r="C71" s="13" t="s">
        <v>153</v>
      </c>
      <c r="D71" s="13" t="s">
        <v>2970</v>
      </c>
      <c r="E71" s="13"/>
      <c r="F71" s="13" t="s">
        <v>229</v>
      </c>
      <c r="G71" s="13"/>
      <c r="H71" s="13" t="s">
        <v>3027</v>
      </c>
      <c r="I71" s="13" t="s">
        <v>502</v>
      </c>
      <c r="J71" s="13"/>
    </row>
    <row r="72" spans="1:10" ht="89.25">
      <c r="A72" s="13" t="s">
        <v>3066</v>
      </c>
      <c r="B72" s="13" t="s">
        <v>3017</v>
      </c>
      <c r="C72" s="13" t="s">
        <v>155</v>
      </c>
      <c r="D72" s="13" t="s">
        <v>3067</v>
      </c>
      <c r="E72" s="13"/>
      <c r="F72" s="13" t="s">
        <v>229</v>
      </c>
      <c r="G72" s="13"/>
      <c r="H72" s="13" t="s">
        <v>3068</v>
      </c>
      <c r="I72" s="13" t="s">
        <v>502</v>
      </c>
      <c r="J72" s="13"/>
    </row>
    <row r="73" spans="1:10" ht="63.75">
      <c r="A73" s="13" t="s">
        <v>3069</v>
      </c>
      <c r="B73" s="13" t="s">
        <v>575</v>
      </c>
      <c r="C73" s="13" t="s">
        <v>957</v>
      </c>
      <c r="D73" s="13" t="s">
        <v>2975</v>
      </c>
      <c r="E73" s="13"/>
      <c r="F73" s="13" t="s">
        <v>229</v>
      </c>
      <c r="G73" s="13"/>
      <c r="H73" s="13" t="s">
        <v>3031</v>
      </c>
      <c r="I73" s="13" t="s">
        <v>502</v>
      </c>
      <c r="J73" s="13"/>
    </row>
    <row r="74" spans="1:10" ht="76.5">
      <c r="A74" s="13" t="s">
        <v>3070</v>
      </c>
      <c r="B74" s="13" t="s">
        <v>575</v>
      </c>
      <c r="C74" s="13" t="s">
        <v>2865</v>
      </c>
      <c r="D74" s="13" t="s">
        <v>2866</v>
      </c>
      <c r="E74" s="13"/>
      <c r="F74" s="13" t="s">
        <v>229</v>
      </c>
      <c r="G74" s="13"/>
      <c r="H74" s="13" t="s">
        <v>3033</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714</v>
      </c>
      <c r="B78" s="13">
        <v>0.5</v>
      </c>
      <c r="C78" s="13">
        <v>0.5</v>
      </c>
      <c r="D78" s="13" t="s">
        <v>1238</v>
      </c>
      <c r="E78" s="13">
        <v>0.5</v>
      </c>
      <c r="F78" s="13">
        <v>0.5</v>
      </c>
      <c r="G78" s="13" t="s">
        <v>677</v>
      </c>
      <c r="H78" s="13">
        <v>0.5</v>
      </c>
      <c r="I78" s="13" t="s">
        <v>1201</v>
      </c>
      <c r="J78" s="13" t="s">
        <v>3071</v>
      </c>
    </row>
    <row r="79" spans="1:10" ht="38.25">
      <c r="A79" s="13" t="s">
        <v>2994</v>
      </c>
      <c r="B79" s="13">
        <v>0.5</v>
      </c>
      <c r="C79" s="13">
        <v>0.5</v>
      </c>
      <c r="D79" s="13">
        <v>0.5</v>
      </c>
      <c r="E79" s="13">
        <v>0.5</v>
      </c>
      <c r="F79" s="13">
        <v>0.5</v>
      </c>
      <c r="G79" s="13" t="s">
        <v>677</v>
      </c>
      <c r="H79" s="13">
        <v>0.5</v>
      </c>
      <c r="I79" s="13" t="s">
        <v>1201</v>
      </c>
      <c r="J79" s="13" t="s">
        <v>3072</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38.25">
      <c r="A82" s="50" t="s">
        <v>905</v>
      </c>
      <c r="B82" s="50" t="s">
        <v>824</v>
      </c>
      <c r="C82" s="50"/>
      <c r="D82" s="50"/>
      <c r="E82" s="50"/>
      <c r="F82" s="50"/>
      <c r="G82" s="50"/>
      <c r="H82" s="50"/>
      <c r="I82" s="50"/>
      <c r="J82" s="50"/>
    </row>
    <row r="83" spans="1:10" ht="204">
      <c r="A83" s="13" t="s">
        <v>1086</v>
      </c>
      <c r="B83" s="13" t="s">
        <v>3073</v>
      </c>
      <c r="C83" s="13"/>
      <c r="D83" s="13"/>
      <c r="E83" s="13"/>
      <c r="F83" s="13"/>
      <c r="G83" s="13"/>
      <c r="H83" s="13"/>
      <c r="I83" s="13"/>
      <c r="J83" s="13"/>
    </row>
    <row r="84" spans="1:10" ht="89.25">
      <c r="A84" s="13" t="s">
        <v>2194</v>
      </c>
      <c r="B84" s="13" t="s">
        <v>3074</v>
      </c>
      <c r="C84" s="13"/>
      <c r="D84" s="13"/>
      <c r="E84" s="13"/>
      <c r="F84" s="13"/>
      <c r="G84" s="13"/>
      <c r="H84" s="13"/>
      <c r="I84" s="13"/>
      <c r="J84" s="13"/>
    </row>
    <row r="85" spans="1:10" ht="293.25">
      <c r="A85" s="13" t="s">
        <v>1088</v>
      </c>
      <c r="B85" s="13" t="s">
        <v>3075</v>
      </c>
      <c r="C85" s="13"/>
      <c r="D85" s="13"/>
      <c r="E85" s="13"/>
      <c r="F85" s="13"/>
      <c r="G85" s="13"/>
      <c r="H85" s="13"/>
      <c r="I85" s="13"/>
      <c r="J85" s="13"/>
    </row>
    <row r="86" spans="1:10" ht="165.75">
      <c r="A86" s="13" t="s">
        <v>3076</v>
      </c>
      <c r="B86" s="13" t="s">
        <v>3077</v>
      </c>
      <c r="C86" s="13"/>
      <c r="D86" s="13"/>
      <c r="E86" s="13"/>
      <c r="F86" s="13"/>
      <c r="G86" s="13"/>
      <c r="H86" s="13"/>
      <c r="I86" s="13"/>
      <c r="J86" s="13"/>
    </row>
    <row r="87" spans="1:10" ht="127.5">
      <c r="A87" s="13" t="s">
        <v>1090</v>
      </c>
      <c r="B87" s="13" t="s">
        <v>3078</v>
      </c>
      <c r="C87" s="13"/>
      <c r="D87" s="13"/>
      <c r="E87" s="13"/>
      <c r="F87" s="13"/>
      <c r="G87" s="13"/>
      <c r="H87" s="13"/>
      <c r="I87" s="13"/>
      <c r="J87" s="13"/>
    </row>
    <row r="88" spans="1:10" ht="178.5">
      <c r="A88" s="13" t="s">
        <v>1563</v>
      </c>
      <c r="B88" s="13" t="s">
        <v>2874</v>
      </c>
      <c r="C88" s="13"/>
      <c r="D88" s="13"/>
      <c r="E88" s="13"/>
      <c r="F88" s="13"/>
      <c r="G88" s="13"/>
      <c r="H88" s="13"/>
      <c r="I88" s="13"/>
      <c r="J88" s="13"/>
    </row>
    <row r="89" spans="1:10" ht="127.5">
      <c r="A89" s="13" t="s">
        <v>1092</v>
      </c>
      <c r="B89" s="13" t="s">
        <v>3079</v>
      </c>
      <c r="C89" s="13"/>
      <c r="D89" s="13"/>
      <c r="E89" s="13"/>
      <c r="F89" s="13"/>
      <c r="G89" s="13"/>
      <c r="H89" s="13"/>
      <c r="I89" s="13"/>
      <c r="J89" s="13"/>
    </row>
    <row r="91" spans="1:10" ht="15.75" thickBot="1"/>
    <row r="92" spans="1:10">
      <c r="A92" s="605" t="s">
        <v>5668</v>
      </c>
      <c r="B92" s="602"/>
      <c r="C92" s="602"/>
      <c r="D92" s="606"/>
      <c r="E92" s="602"/>
      <c r="F92" s="602"/>
      <c r="G92" s="606"/>
      <c r="H92" s="606"/>
      <c r="I92" s="606"/>
      <c r="J92" s="607"/>
    </row>
    <row r="93" spans="1:10">
      <c r="A93" s="321" t="s">
        <v>5610</v>
      </c>
      <c r="B93" s="322" t="s">
        <v>77</v>
      </c>
      <c r="C93" s="322" t="s">
        <v>5611</v>
      </c>
      <c r="D93" s="322" t="s">
        <v>5612</v>
      </c>
      <c r="E93" s="322" t="s">
        <v>5634</v>
      </c>
      <c r="F93" s="322" t="s">
        <v>5601</v>
      </c>
      <c r="G93" s="578" t="s">
        <v>5635</v>
      </c>
      <c r="H93" s="578"/>
      <c r="I93" s="578"/>
      <c r="J93" s="579"/>
    </row>
    <row r="94" spans="1:10" ht="25.5">
      <c r="A94" s="323" t="s">
        <v>5613</v>
      </c>
      <c r="B94" s="333" t="s">
        <v>484</v>
      </c>
      <c r="C94" s="325">
        <v>0</v>
      </c>
      <c r="D94" s="325">
        <v>0</v>
      </c>
      <c r="E94" s="192" t="s">
        <v>5674</v>
      </c>
      <c r="F94" s="325">
        <f>IF(AND(C94&lt;&gt;"",D94&lt;&gt;""),D94-C94,"")</f>
        <v>0</v>
      </c>
      <c r="G94" s="608"/>
      <c r="H94" s="608"/>
      <c r="I94" s="608"/>
      <c r="J94" s="609"/>
    </row>
    <row r="95" spans="1:10" ht="25.5">
      <c r="A95" s="326" t="s">
        <v>5614</v>
      </c>
      <c r="B95" s="333" t="s">
        <v>484</v>
      </c>
      <c r="C95" s="327">
        <v>1</v>
      </c>
      <c r="D95" s="327">
        <v>0</v>
      </c>
      <c r="E95" s="310" t="s">
        <v>5675</v>
      </c>
      <c r="F95" s="327">
        <f>IF(AND(C95&lt;&gt;"",D95&lt;&gt;""),D95-C95,"")</f>
        <v>-1</v>
      </c>
      <c r="G95" s="610"/>
      <c r="H95" s="610"/>
      <c r="I95" s="610"/>
      <c r="J95" s="611"/>
    </row>
    <row r="96" spans="1:10">
      <c r="A96" s="323" t="s">
        <v>5615</v>
      </c>
      <c r="B96" s="333" t="s">
        <v>484</v>
      </c>
      <c r="C96" s="327">
        <v>1</v>
      </c>
      <c r="D96" s="327">
        <v>0</v>
      </c>
      <c r="E96" s="310" t="s">
        <v>5675</v>
      </c>
      <c r="F96" s="325">
        <f>IF(AND(C96&lt;&gt;"",D96&lt;&gt;""),D96-C96,"")</f>
        <v>-1</v>
      </c>
      <c r="G96" s="328"/>
      <c r="H96" s="227"/>
      <c r="I96" s="227"/>
      <c r="J96" s="329"/>
    </row>
    <row r="97" spans="1:10">
      <c r="A97" s="326" t="s">
        <v>5616</v>
      </c>
      <c r="B97" s="333" t="s">
        <v>484</v>
      </c>
      <c r="C97" s="327">
        <v>1</v>
      </c>
      <c r="D97" s="327">
        <v>0</v>
      </c>
      <c r="E97" s="310" t="s">
        <v>5675</v>
      </c>
      <c r="F97" s="327">
        <f>IF(AND(C97&lt;&gt;"",D97&lt;&gt;""),D97-C97,"")</f>
        <v>-1</v>
      </c>
      <c r="G97" s="610"/>
      <c r="H97" s="610"/>
      <c r="I97" s="610"/>
      <c r="J97" s="611"/>
    </row>
    <row r="98" spans="1:10">
      <c r="A98" s="323" t="s">
        <v>5168</v>
      </c>
      <c r="B98" s="333" t="s">
        <v>484</v>
      </c>
      <c r="C98" s="327">
        <v>1</v>
      </c>
      <c r="D98" s="327">
        <v>0</v>
      </c>
      <c r="E98" s="310" t="s">
        <v>5675</v>
      </c>
      <c r="F98" s="325">
        <f>IF(AND(C98&lt;&gt;"",D98&lt;&gt;""),D98-C98,"")</f>
        <v>-1</v>
      </c>
      <c r="G98" s="328"/>
      <c r="H98" s="227"/>
      <c r="I98" s="227"/>
      <c r="J98" s="329"/>
    </row>
    <row r="99" spans="1:10" ht="15.75">
      <c r="A99" s="585" t="s">
        <v>5636</v>
      </c>
      <c r="B99" s="586"/>
      <c r="C99" s="330">
        <f>IFERROR(AVERAGE(C94:C98),"")</f>
        <v>0.8</v>
      </c>
      <c r="D99" s="330">
        <f>IFERROR(AVERAGE(D94:D98),"")</f>
        <v>0</v>
      </c>
      <c r="E99" s="589" t="s">
        <v>5637</v>
      </c>
      <c r="F99" s="589"/>
      <c r="G99" s="589"/>
      <c r="H99" s="589"/>
      <c r="I99" s="589"/>
      <c r="J99" s="590"/>
    </row>
    <row r="100" spans="1:10">
      <c r="A100" s="331"/>
      <c r="B100" s="316"/>
      <c r="C100" s="316"/>
      <c r="D100" s="316"/>
      <c r="E100" s="316"/>
      <c r="F100" s="316"/>
      <c r="G100" s="316"/>
      <c r="H100" s="227"/>
      <c r="I100" s="227"/>
      <c r="J100" s="329"/>
    </row>
    <row r="101" spans="1:10">
      <c r="A101" s="574" t="s">
        <v>5669</v>
      </c>
      <c r="B101" s="582"/>
      <c r="C101" s="582"/>
      <c r="D101" s="575"/>
      <c r="E101" s="582"/>
      <c r="F101" s="582"/>
      <c r="G101" s="575"/>
      <c r="H101" s="575"/>
      <c r="I101" s="575"/>
      <c r="J101" s="576"/>
    </row>
    <row r="102" spans="1:10">
      <c r="A102" s="321" t="s">
        <v>4946</v>
      </c>
      <c r="B102" s="322" t="s">
        <v>77</v>
      </c>
      <c r="C102" s="322" t="s">
        <v>5676</v>
      </c>
      <c r="D102" s="322" t="s">
        <v>482</v>
      </c>
      <c r="E102" s="322" t="s">
        <v>572</v>
      </c>
      <c r="F102" s="322" t="s">
        <v>5639</v>
      </c>
      <c r="G102" s="578" t="s">
        <v>5640</v>
      </c>
      <c r="H102" s="578"/>
      <c r="I102" s="578"/>
      <c r="J102" s="579"/>
    </row>
    <row r="103" spans="1:10" ht="25.5">
      <c r="A103" s="326" t="s">
        <v>5602</v>
      </c>
      <c r="B103" s="333" t="s">
        <v>484</v>
      </c>
      <c r="C103" s="332" t="s">
        <v>679</v>
      </c>
      <c r="D103" s="324" t="s">
        <v>679</v>
      </c>
      <c r="E103" s="332">
        <f>IF(D103="Yes",1,0)</f>
        <v>0</v>
      </c>
      <c r="F103" s="580"/>
      <c r="G103" s="580"/>
      <c r="H103" s="580"/>
      <c r="I103" s="580"/>
      <c r="J103" s="581"/>
    </row>
    <row r="104" spans="1:10">
      <c r="A104" s="323" t="s">
        <v>995</v>
      </c>
      <c r="B104" s="333" t="s">
        <v>484</v>
      </c>
      <c r="C104" s="332" t="s">
        <v>679</v>
      </c>
      <c r="D104" s="324" t="s">
        <v>679</v>
      </c>
      <c r="E104" s="324">
        <f t="shared" ref="E104:E110" si="0">IF(D104="Yes",1,0)</f>
        <v>0</v>
      </c>
      <c r="F104" s="580"/>
      <c r="G104" s="580"/>
      <c r="H104" s="580"/>
      <c r="I104" s="580"/>
      <c r="J104" s="581"/>
    </row>
    <row r="105" spans="1:10">
      <c r="A105" s="326" t="s">
        <v>5603</v>
      </c>
      <c r="B105" s="333" t="s">
        <v>484</v>
      </c>
      <c r="C105" s="332" t="s">
        <v>679</v>
      </c>
      <c r="D105" s="324" t="s">
        <v>679</v>
      </c>
      <c r="E105" s="332">
        <f t="shared" si="0"/>
        <v>0</v>
      </c>
      <c r="F105" s="580"/>
      <c r="G105" s="580"/>
      <c r="H105" s="580"/>
      <c r="I105" s="580"/>
      <c r="J105" s="581"/>
    </row>
    <row r="106" spans="1:10">
      <c r="A106" s="323" t="s">
        <v>5617</v>
      </c>
      <c r="B106" s="333" t="s">
        <v>484</v>
      </c>
      <c r="C106" s="332" t="s">
        <v>679</v>
      </c>
      <c r="D106" s="324" t="s">
        <v>679</v>
      </c>
      <c r="E106" s="324">
        <f t="shared" si="0"/>
        <v>0</v>
      </c>
      <c r="F106" s="580"/>
      <c r="G106" s="580"/>
      <c r="H106" s="580"/>
      <c r="I106" s="580"/>
      <c r="J106" s="581"/>
    </row>
    <row r="107" spans="1:10" ht="38.25">
      <c r="A107" s="326" t="s">
        <v>5618</v>
      </c>
      <c r="B107" s="333" t="s">
        <v>484</v>
      </c>
      <c r="C107" s="332" t="s">
        <v>679</v>
      </c>
      <c r="D107" s="324" t="s">
        <v>679</v>
      </c>
      <c r="E107" s="332">
        <f t="shared" si="0"/>
        <v>0</v>
      </c>
      <c r="F107" s="580"/>
      <c r="G107" s="580"/>
      <c r="H107" s="580"/>
      <c r="I107" s="580"/>
      <c r="J107" s="581"/>
    </row>
    <row r="108" spans="1:10" ht="25.5">
      <c r="A108" s="323" t="s">
        <v>5619</v>
      </c>
      <c r="B108" s="333" t="s">
        <v>484</v>
      </c>
      <c r="C108" s="332" t="s">
        <v>679</v>
      </c>
      <c r="D108" s="324" t="s">
        <v>679</v>
      </c>
      <c r="E108" s="324">
        <f t="shared" si="0"/>
        <v>0</v>
      </c>
      <c r="F108" s="580"/>
      <c r="G108" s="580"/>
      <c r="H108" s="580"/>
      <c r="I108" s="580"/>
      <c r="J108" s="581"/>
    </row>
    <row r="109" spans="1:10">
      <c r="A109" s="326" t="s">
        <v>5604</v>
      </c>
      <c r="B109" s="333" t="s">
        <v>484</v>
      </c>
      <c r="C109" s="332" t="s">
        <v>679</v>
      </c>
      <c r="D109" s="324" t="s">
        <v>679</v>
      </c>
      <c r="E109" s="332">
        <f t="shared" si="0"/>
        <v>0</v>
      </c>
      <c r="F109" s="580"/>
      <c r="G109" s="580"/>
      <c r="H109" s="580"/>
      <c r="I109" s="580"/>
      <c r="J109" s="581"/>
    </row>
    <row r="110" spans="1:10" ht="25.5">
      <c r="A110" s="323" t="s">
        <v>5605</v>
      </c>
      <c r="B110" s="333" t="s">
        <v>484</v>
      </c>
      <c r="C110" s="332" t="s">
        <v>679</v>
      </c>
      <c r="D110" s="324" t="s">
        <v>679</v>
      </c>
      <c r="E110" s="324">
        <f t="shared" si="0"/>
        <v>0</v>
      </c>
      <c r="F110" s="580"/>
      <c r="G110" s="580"/>
      <c r="H110" s="580"/>
      <c r="I110" s="580"/>
      <c r="J110" s="581"/>
    </row>
    <row r="111" spans="1:10" ht="15.75">
      <c r="A111" s="585" t="s">
        <v>5641</v>
      </c>
      <c r="B111" s="586"/>
      <c r="C111" s="587" t="str">
        <f>IFERROR(SUM(E103:E110)/COUNTIF(C103:C110,"Yes"),"")</f>
        <v/>
      </c>
      <c r="D111" s="588"/>
      <c r="E111" s="589" t="s">
        <v>5642</v>
      </c>
      <c r="F111" s="589"/>
      <c r="G111" s="589"/>
      <c r="H111" s="589"/>
      <c r="I111" s="589"/>
      <c r="J111" s="590"/>
    </row>
    <row r="112" spans="1:10">
      <c r="A112" s="331"/>
      <c r="B112" s="316"/>
      <c r="C112" s="316"/>
      <c r="D112" s="316"/>
      <c r="E112" s="316"/>
      <c r="F112" s="316"/>
      <c r="G112" s="316"/>
      <c r="H112" s="227"/>
      <c r="I112" s="227"/>
      <c r="J112" s="329"/>
    </row>
    <row r="113" spans="1:10">
      <c r="A113" s="574" t="s">
        <v>5670</v>
      </c>
      <c r="B113" s="582"/>
      <c r="C113" s="582"/>
      <c r="D113" s="575"/>
      <c r="E113" s="582"/>
      <c r="F113" s="582"/>
      <c r="G113" s="575"/>
      <c r="H113" s="575"/>
      <c r="I113" s="575"/>
      <c r="J113" s="576"/>
    </row>
    <row r="114" spans="1:10">
      <c r="A114" s="321" t="s">
        <v>5643</v>
      </c>
      <c r="B114" s="322" t="s">
        <v>77</v>
      </c>
      <c r="C114" s="322" t="s">
        <v>5620</v>
      </c>
      <c r="D114" s="322" t="s">
        <v>5621</v>
      </c>
      <c r="E114" s="322" t="s">
        <v>5622</v>
      </c>
      <c r="F114" s="322" t="s">
        <v>5644</v>
      </c>
      <c r="G114" s="578" t="s">
        <v>5645</v>
      </c>
      <c r="H114" s="578"/>
      <c r="I114" s="578"/>
      <c r="J114" s="579"/>
    </row>
    <row r="115" spans="1:10" ht="25.5">
      <c r="A115" s="326" t="s">
        <v>5623</v>
      </c>
      <c r="B115" s="332" t="s">
        <v>484</v>
      </c>
      <c r="C115" s="332" t="s">
        <v>1096</v>
      </c>
      <c r="D115" s="332" t="s">
        <v>1096</v>
      </c>
      <c r="E115" s="332" t="s">
        <v>1096</v>
      </c>
      <c r="F115" s="332" t="s">
        <v>348</v>
      </c>
      <c r="G115" s="583"/>
      <c r="H115" s="583"/>
      <c r="I115" s="583"/>
      <c r="J115" s="584"/>
    </row>
    <row r="116" spans="1:10">
      <c r="A116" s="323" t="s">
        <v>5624</v>
      </c>
      <c r="B116" s="332" t="s">
        <v>484</v>
      </c>
      <c r="C116" s="332" t="s">
        <v>1096</v>
      </c>
      <c r="D116" s="332" t="s">
        <v>1096</v>
      </c>
      <c r="E116" s="332" t="s">
        <v>1096</v>
      </c>
      <c r="F116" s="332" t="s">
        <v>348</v>
      </c>
      <c r="G116" s="583"/>
      <c r="H116" s="583"/>
      <c r="I116" s="583"/>
      <c r="J116" s="584"/>
    </row>
    <row r="117" spans="1:10">
      <c r="A117" s="326" t="s">
        <v>5646</v>
      </c>
      <c r="B117" s="332" t="s">
        <v>484</v>
      </c>
      <c r="C117" s="332" t="s">
        <v>1096</v>
      </c>
      <c r="D117" s="332" t="s">
        <v>1096</v>
      </c>
      <c r="E117" s="332" t="s">
        <v>1096</v>
      </c>
      <c r="F117" s="332" t="s">
        <v>348</v>
      </c>
      <c r="G117" s="583"/>
      <c r="H117" s="583"/>
      <c r="I117" s="583"/>
      <c r="J117" s="584"/>
    </row>
    <row r="118" spans="1:10">
      <c r="A118" s="323" t="s">
        <v>5625</v>
      </c>
      <c r="B118" s="332" t="s">
        <v>484</v>
      </c>
      <c r="C118" s="332" t="s">
        <v>1096</v>
      </c>
      <c r="D118" s="332" t="s">
        <v>1096</v>
      </c>
      <c r="E118" s="332" t="s">
        <v>1096</v>
      </c>
      <c r="F118" s="332" t="s">
        <v>348</v>
      </c>
      <c r="G118" s="583"/>
      <c r="H118" s="583"/>
      <c r="I118" s="583"/>
      <c r="J118" s="584"/>
    </row>
    <row r="119" spans="1:10" ht="25.5">
      <c r="A119" s="326" t="s">
        <v>5626</v>
      </c>
      <c r="B119" s="332" t="s">
        <v>484</v>
      </c>
      <c r="C119" s="332" t="s">
        <v>1096</v>
      </c>
      <c r="D119" s="332" t="s">
        <v>1096</v>
      </c>
      <c r="E119" s="332" t="s">
        <v>1096</v>
      </c>
      <c r="F119" s="332" t="s">
        <v>348</v>
      </c>
      <c r="G119" s="583"/>
      <c r="H119" s="583"/>
      <c r="I119" s="583"/>
      <c r="J119" s="584"/>
    </row>
    <row r="120" spans="1:10" ht="15.75">
      <c r="A120" s="585" t="s">
        <v>5677</v>
      </c>
      <c r="B120" s="586"/>
      <c r="C120" s="587">
        <f>IFERROR(COUNTIF(E115:E119,"Yes")/COUNTA(A115:A119),"")</f>
        <v>0</v>
      </c>
      <c r="D120" s="588"/>
      <c r="E120" s="589" t="s">
        <v>5648</v>
      </c>
      <c r="F120" s="589"/>
      <c r="G120" s="589"/>
      <c r="H120" s="589"/>
      <c r="I120" s="589"/>
      <c r="J120" s="590"/>
    </row>
    <row r="121" spans="1:10">
      <c r="A121" s="331"/>
      <c r="B121" s="316"/>
      <c r="C121" s="316"/>
      <c r="D121" s="316"/>
      <c r="E121" s="316"/>
      <c r="F121" s="316"/>
      <c r="G121" s="599"/>
      <c r="H121" s="599"/>
      <c r="I121" s="599"/>
      <c r="J121" s="600"/>
    </row>
    <row r="122" spans="1:10">
      <c r="A122" s="574" t="s">
        <v>5671</v>
      </c>
      <c r="B122" s="582"/>
      <c r="C122" s="582"/>
      <c r="D122" s="575"/>
      <c r="E122" s="582"/>
      <c r="F122" s="582"/>
      <c r="G122" s="575"/>
      <c r="H122" s="575"/>
      <c r="I122" s="575"/>
      <c r="J122" s="576"/>
    </row>
    <row r="123" spans="1:10">
      <c r="A123" s="322" t="s">
        <v>5606</v>
      </c>
      <c r="B123" s="322" t="s">
        <v>77</v>
      </c>
      <c r="C123" s="322" t="s">
        <v>5627</v>
      </c>
      <c r="D123" s="322" t="s">
        <v>5628</v>
      </c>
      <c r="E123" s="322" t="s">
        <v>5629</v>
      </c>
      <c r="F123" s="322" t="s">
        <v>5630</v>
      </c>
      <c r="G123" s="578" t="s">
        <v>5678</v>
      </c>
      <c r="H123" s="578"/>
      <c r="I123" s="578"/>
      <c r="J123" s="578"/>
    </row>
    <row r="124" spans="1:10">
      <c r="A124" s="328" t="s">
        <v>153</v>
      </c>
      <c r="B124" s="324" t="s">
        <v>484</v>
      </c>
      <c r="C124" s="324"/>
      <c r="D124" s="324"/>
      <c r="E124" s="324"/>
      <c r="F124" s="325" t="str">
        <f>IFERROR(D124/C124,"")</f>
        <v/>
      </c>
      <c r="G124" s="572"/>
      <c r="H124" s="572"/>
      <c r="I124" s="572"/>
      <c r="J124" s="572"/>
    </row>
    <row r="125" spans="1:10">
      <c r="A125" s="335" t="s">
        <v>155</v>
      </c>
      <c r="B125" s="332" t="s">
        <v>484</v>
      </c>
      <c r="C125" s="332"/>
      <c r="D125" s="332"/>
      <c r="E125" s="332"/>
      <c r="F125" s="327" t="str">
        <f>IFERROR(D125/C125,"")</f>
        <v/>
      </c>
      <c r="G125" s="572"/>
      <c r="H125" s="572"/>
      <c r="I125" s="572"/>
      <c r="J125" s="572"/>
    </row>
    <row r="126" spans="1:10">
      <c r="A126" s="328" t="s">
        <v>4821</v>
      </c>
      <c r="B126" s="324" t="s">
        <v>484</v>
      </c>
      <c r="C126" s="324"/>
      <c r="D126" s="324"/>
      <c r="E126" s="324"/>
      <c r="F126" s="325" t="str">
        <f>IFERROR(D126/C126,"")</f>
        <v/>
      </c>
      <c r="G126" s="572"/>
      <c r="H126" s="572"/>
      <c r="I126" s="572"/>
      <c r="J126" s="572"/>
    </row>
    <row r="127" spans="1:10">
      <c r="A127" s="335" t="s">
        <v>957</v>
      </c>
      <c r="B127" s="332" t="s">
        <v>484</v>
      </c>
      <c r="C127" s="332"/>
      <c r="D127" s="332"/>
      <c r="E127" s="332"/>
      <c r="F127" s="327" t="str">
        <f>IFERROR(D127/C127,"")</f>
        <v/>
      </c>
      <c r="G127" s="572"/>
      <c r="H127" s="572"/>
      <c r="I127" s="572"/>
      <c r="J127" s="572"/>
    </row>
    <row r="128" spans="1:10">
      <c r="A128" s="597" t="s">
        <v>5649</v>
      </c>
      <c r="B128" s="597"/>
      <c r="C128" s="597"/>
      <c r="D128" s="597"/>
      <c r="E128" s="589" t="s">
        <v>5650</v>
      </c>
      <c r="F128" s="589"/>
      <c r="G128" s="589"/>
      <c r="H128" s="589"/>
      <c r="I128" s="589"/>
      <c r="J128" s="589"/>
    </row>
    <row r="129" spans="1:10">
      <c r="A129" s="597"/>
      <c r="B129" s="597"/>
      <c r="C129" s="597"/>
      <c r="D129" s="597"/>
      <c r="E129" s="589"/>
      <c r="F129" s="589"/>
      <c r="G129" s="589"/>
      <c r="H129" s="589"/>
      <c r="I129" s="589"/>
      <c r="J129" s="589"/>
    </row>
    <row r="130" spans="1:10">
      <c r="A130" s="575" t="s">
        <v>5672</v>
      </c>
      <c r="B130" s="575"/>
      <c r="C130" s="575"/>
      <c r="D130" s="575"/>
      <c r="E130" s="575"/>
      <c r="F130" s="575"/>
      <c r="G130" s="575"/>
      <c r="H130" s="575"/>
      <c r="I130" s="575"/>
      <c r="J130" s="575"/>
    </row>
    <row r="131" spans="1:10">
      <c r="A131" s="322" t="s">
        <v>4946</v>
      </c>
      <c r="B131" s="322" t="s">
        <v>77</v>
      </c>
      <c r="C131" s="322" t="s">
        <v>5638</v>
      </c>
      <c r="D131" s="322" t="s">
        <v>482</v>
      </c>
      <c r="E131" s="322" t="s">
        <v>572</v>
      </c>
      <c r="F131" s="322" t="s">
        <v>944</v>
      </c>
      <c r="G131" s="578" t="s">
        <v>5640</v>
      </c>
      <c r="H131" s="578"/>
      <c r="I131" s="578"/>
      <c r="J131" s="578"/>
    </row>
    <row r="132" spans="1:10" ht="25.5">
      <c r="A132" s="328" t="s">
        <v>5607</v>
      </c>
      <c r="B132" s="324" t="s">
        <v>484</v>
      </c>
      <c r="C132" s="324" t="s">
        <v>392</v>
      </c>
      <c r="D132" s="324" t="s">
        <v>1096</v>
      </c>
      <c r="E132" s="324">
        <f t="shared" ref="E132:E137" si="1">IF(D132="Yes",1,0)</f>
        <v>0</v>
      </c>
      <c r="F132" s="324"/>
      <c r="G132" s="572"/>
      <c r="H132" s="572"/>
      <c r="I132" s="572"/>
      <c r="J132" s="572"/>
    </row>
    <row r="133" spans="1:10">
      <c r="A133" s="335" t="s">
        <v>5608</v>
      </c>
      <c r="B133" s="324" t="s">
        <v>484</v>
      </c>
      <c r="C133" s="332" t="s">
        <v>392</v>
      </c>
      <c r="D133" s="324" t="s">
        <v>1096</v>
      </c>
      <c r="E133" s="332">
        <f t="shared" si="1"/>
        <v>0</v>
      </c>
      <c r="F133" s="332"/>
      <c r="G133" s="572"/>
      <c r="H133" s="572"/>
      <c r="I133" s="572"/>
      <c r="J133" s="572"/>
    </row>
    <row r="134" spans="1:10" ht="25.5">
      <c r="A134" s="328" t="s">
        <v>5609</v>
      </c>
      <c r="B134" s="324" t="s">
        <v>484</v>
      </c>
      <c r="C134" s="324" t="s">
        <v>392</v>
      </c>
      <c r="D134" s="324" t="s">
        <v>1096</v>
      </c>
      <c r="E134" s="324">
        <f t="shared" si="1"/>
        <v>0</v>
      </c>
      <c r="F134" s="324"/>
      <c r="G134" s="572"/>
      <c r="H134" s="572"/>
      <c r="I134" s="572"/>
      <c r="J134" s="572"/>
    </row>
    <row r="135" spans="1:10">
      <c r="A135" s="335" t="s">
        <v>5631</v>
      </c>
      <c r="B135" s="324" t="s">
        <v>484</v>
      </c>
      <c r="C135" s="332" t="s">
        <v>392</v>
      </c>
      <c r="D135" s="324" t="s">
        <v>1096</v>
      </c>
      <c r="E135" s="332">
        <f t="shared" si="1"/>
        <v>0</v>
      </c>
      <c r="F135" s="332"/>
      <c r="G135" s="572"/>
      <c r="H135" s="572"/>
      <c r="I135" s="572"/>
      <c r="J135" s="572"/>
    </row>
    <row r="136" spans="1:10" ht="25.5">
      <c r="A136" s="328" t="s">
        <v>5632</v>
      </c>
      <c r="B136" s="324" t="s">
        <v>484</v>
      </c>
      <c r="C136" s="324" t="s">
        <v>392</v>
      </c>
      <c r="D136" s="324" t="s">
        <v>1096</v>
      </c>
      <c r="E136" s="324">
        <f t="shared" si="1"/>
        <v>0</v>
      </c>
      <c r="F136" s="324"/>
      <c r="G136" s="572"/>
      <c r="H136" s="572"/>
      <c r="I136" s="572"/>
      <c r="J136" s="572"/>
    </row>
    <row r="137" spans="1:10" ht="25.5">
      <c r="A137" s="335" t="s">
        <v>5633</v>
      </c>
      <c r="B137" s="324" t="s">
        <v>484</v>
      </c>
      <c r="C137" s="332" t="s">
        <v>392</v>
      </c>
      <c r="D137" s="332" t="s">
        <v>1096</v>
      </c>
      <c r="E137" s="332">
        <f t="shared" si="1"/>
        <v>0</v>
      </c>
      <c r="F137" s="332"/>
      <c r="G137" s="572"/>
      <c r="H137" s="572"/>
      <c r="I137" s="572"/>
      <c r="J137" s="572"/>
    </row>
    <row r="138" spans="1:10" ht="15.75">
      <c r="A138" s="930" t="s">
        <v>5651</v>
      </c>
      <c r="B138" s="586"/>
      <c r="C138" s="587">
        <f>IFERROR(SUM(E132:E137)/COUNTIF(C132:C137,"Yes"),"")</f>
        <v>0</v>
      </c>
      <c r="D138" s="588"/>
      <c r="E138" s="589" t="s">
        <v>5652</v>
      </c>
      <c r="F138" s="589"/>
      <c r="G138" s="589"/>
      <c r="H138" s="589"/>
      <c r="I138" s="589"/>
      <c r="J138" s="589"/>
    </row>
    <row r="139" spans="1:10">
      <c r="A139" s="192"/>
      <c r="B139" s="192"/>
      <c r="C139" s="192"/>
      <c r="D139" s="192"/>
      <c r="E139" s="192"/>
      <c r="F139" s="192"/>
      <c r="G139" s="192"/>
      <c r="H139" s="192"/>
      <c r="I139" s="192"/>
      <c r="J139" s="192"/>
    </row>
    <row r="140" spans="1:10">
      <c r="A140" s="575" t="s">
        <v>5673</v>
      </c>
      <c r="B140" s="582"/>
      <c r="C140" s="582"/>
      <c r="D140" s="317"/>
      <c r="E140" s="317"/>
      <c r="F140" s="317"/>
      <c r="G140" s="317"/>
      <c r="H140" s="317"/>
      <c r="I140" s="317"/>
      <c r="J140" s="317"/>
    </row>
    <row r="141" spans="1:10" ht="38.25">
      <c r="A141" s="318" t="s">
        <v>905</v>
      </c>
      <c r="B141" s="318" t="s">
        <v>830</v>
      </c>
      <c r="C141" s="318"/>
      <c r="D141" s="318"/>
      <c r="E141" s="318"/>
      <c r="F141" s="318"/>
      <c r="G141" s="318"/>
      <c r="H141" s="318"/>
      <c r="I141" s="318"/>
      <c r="J141" s="318"/>
    </row>
    <row r="142" spans="1:10">
      <c r="A142" s="315" t="s">
        <v>1086</v>
      </c>
      <c r="B142" s="594" t="s">
        <v>3292</v>
      </c>
      <c r="C142" s="582"/>
      <c r="D142" s="582"/>
      <c r="E142" s="582"/>
      <c r="F142" s="582"/>
      <c r="G142" s="582"/>
      <c r="H142" s="582"/>
      <c r="I142" s="582"/>
      <c r="J142" s="582"/>
    </row>
    <row r="143" spans="1:10" ht="25.5">
      <c r="A143" s="315" t="s">
        <v>2090</v>
      </c>
      <c r="B143" s="594" t="s">
        <v>3293</v>
      </c>
      <c r="C143" s="582"/>
      <c r="D143" s="582"/>
      <c r="E143" s="582"/>
      <c r="F143" s="582"/>
      <c r="G143" s="582"/>
      <c r="H143" s="582"/>
      <c r="I143" s="582"/>
      <c r="J143" s="582"/>
    </row>
    <row r="144" spans="1:10">
      <c r="A144" s="315" t="s">
        <v>1089</v>
      </c>
      <c r="B144" s="594" t="s">
        <v>3294</v>
      </c>
      <c r="C144" s="582"/>
      <c r="D144" s="582"/>
      <c r="E144" s="582"/>
      <c r="F144" s="582"/>
      <c r="G144" s="582"/>
      <c r="H144" s="582"/>
      <c r="I144" s="582"/>
      <c r="J144" s="582"/>
    </row>
    <row r="145" spans="1:10">
      <c r="A145" s="315" t="s">
        <v>1090</v>
      </c>
      <c r="B145" s="594" t="s">
        <v>3295</v>
      </c>
      <c r="C145" s="582"/>
      <c r="D145" s="582"/>
      <c r="E145" s="582"/>
      <c r="F145" s="582"/>
      <c r="G145" s="582"/>
      <c r="H145" s="582"/>
      <c r="I145" s="582"/>
      <c r="J145" s="582"/>
    </row>
    <row r="146" spans="1:10">
      <c r="A146" s="315" t="s">
        <v>1088</v>
      </c>
      <c r="B146" s="594" t="s">
        <v>3296</v>
      </c>
      <c r="C146" s="582"/>
      <c r="D146" s="582"/>
      <c r="E146" s="582"/>
      <c r="F146" s="582"/>
      <c r="G146" s="582"/>
      <c r="H146" s="582"/>
      <c r="I146" s="582"/>
      <c r="J146" s="582"/>
    </row>
    <row r="147" spans="1:10" ht="25.5">
      <c r="A147" s="315" t="s">
        <v>3297</v>
      </c>
      <c r="B147" s="594" t="s">
        <v>3298</v>
      </c>
      <c r="C147" s="582"/>
      <c r="D147" s="582"/>
      <c r="E147" s="582"/>
      <c r="F147" s="582"/>
      <c r="G147" s="582"/>
      <c r="H147" s="582"/>
      <c r="I147" s="582"/>
      <c r="J147" s="582"/>
    </row>
    <row r="148" spans="1:10">
      <c r="A148" s="315" t="s">
        <v>1563</v>
      </c>
      <c r="B148" s="594" t="s">
        <v>1776</v>
      </c>
      <c r="C148" s="582"/>
      <c r="D148" s="582"/>
      <c r="E148" s="582"/>
      <c r="F148" s="582"/>
      <c r="G148" s="582"/>
      <c r="H148" s="582"/>
      <c r="I148" s="582"/>
      <c r="J148" s="582"/>
    </row>
    <row r="149" spans="1:10">
      <c r="A149" s="227"/>
      <c r="B149" s="227"/>
      <c r="C149" s="227"/>
      <c r="D149" s="227"/>
      <c r="E149" s="227"/>
      <c r="F149" s="227"/>
      <c r="G149" s="227"/>
      <c r="H149" s="227"/>
      <c r="I149" s="227"/>
      <c r="J149" s="227"/>
    </row>
    <row r="150" spans="1:10" ht="18">
      <c r="A150" s="598" t="s">
        <v>5562</v>
      </c>
      <c r="B150" s="598"/>
      <c r="C150" s="598"/>
      <c r="D150" s="598"/>
      <c r="E150" s="598"/>
      <c r="F150" s="598"/>
      <c r="G150" s="598"/>
      <c r="H150" s="598"/>
      <c r="I150" s="227"/>
      <c r="J150" s="227"/>
    </row>
    <row r="151" spans="1:10">
      <c r="A151" s="272" t="s">
        <v>2</v>
      </c>
      <c r="B151" s="591" t="s">
        <v>5563</v>
      </c>
      <c r="C151" s="591"/>
      <c r="D151" s="591"/>
      <c r="E151" s="591"/>
      <c r="F151" s="591"/>
      <c r="G151" s="591"/>
      <c r="H151" s="591"/>
      <c r="I151" s="227"/>
      <c r="J151" s="227"/>
    </row>
    <row r="152" spans="1:10">
      <c r="A152" s="272" t="s">
        <v>5564</v>
      </c>
      <c r="B152" s="591" t="s">
        <v>5565</v>
      </c>
      <c r="C152" s="591"/>
      <c r="D152" s="591"/>
      <c r="E152" s="591"/>
      <c r="F152" s="591"/>
      <c r="G152" s="591"/>
      <c r="H152" s="591"/>
      <c r="I152" s="227"/>
      <c r="J152" s="227"/>
    </row>
    <row r="153" spans="1:10">
      <c r="A153" s="192"/>
      <c r="B153" s="192"/>
      <c r="C153" s="192"/>
      <c r="D153" s="192"/>
      <c r="E153" s="192"/>
      <c r="F153" s="192"/>
      <c r="G153" s="192"/>
      <c r="H153" s="192"/>
      <c r="I153" s="227"/>
      <c r="J153" s="227"/>
    </row>
    <row r="154" spans="1:10">
      <c r="A154" s="319" t="s">
        <v>4946</v>
      </c>
      <c r="B154" s="319" t="s">
        <v>77</v>
      </c>
      <c r="C154" s="319" t="s">
        <v>5566</v>
      </c>
      <c r="D154" s="319" t="s">
        <v>263</v>
      </c>
      <c r="E154" s="319" t="s">
        <v>216</v>
      </c>
      <c r="F154" s="319" t="s">
        <v>5567</v>
      </c>
      <c r="G154" s="319" t="s">
        <v>5568</v>
      </c>
      <c r="H154" s="319" t="s">
        <v>5569</v>
      </c>
      <c r="I154" s="227"/>
      <c r="J154" s="227"/>
    </row>
    <row r="155" spans="1:10" ht="25.5">
      <c r="A155" s="273" t="s">
        <v>5570</v>
      </c>
      <c r="B155" s="274" t="s">
        <v>1096</v>
      </c>
      <c r="C155" s="273"/>
      <c r="D155" s="273"/>
      <c r="E155" s="273"/>
      <c r="F155" s="273"/>
      <c r="G155" s="275" t="str">
        <f t="shared" ref="G155:G162" si="2">IF(OR(B155="Yes",B155="N/A"),"🟢","🟡")</f>
        <v>🟡</v>
      </c>
      <c r="H155" s="273"/>
      <c r="I155" s="227"/>
      <c r="J155" s="227"/>
    </row>
    <row r="156" spans="1:10">
      <c r="A156" s="273" t="s">
        <v>5571</v>
      </c>
      <c r="B156" s="274" t="s">
        <v>1096</v>
      </c>
      <c r="C156" s="273"/>
      <c r="D156" s="273"/>
      <c r="E156" s="273"/>
      <c r="F156" s="273"/>
      <c r="G156" s="275" t="str">
        <f t="shared" si="2"/>
        <v>🟡</v>
      </c>
      <c r="H156" s="273"/>
      <c r="I156" s="227"/>
      <c r="J156" s="227"/>
    </row>
    <row r="157" spans="1:10">
      <c r="A157" s="273" t="s">
        <v>5572</v>
      </c>
      <c r="B157" s="274" t="s">
        <v>1096</v>
      </c>
      <c r="C157" s="273"/>
      <c r="D157" s="273"/>
      <c r="E157" s="273"/>
      <c r="F157" s="273"/>
      <c r="G157" s="275" t="str">
        <f t="shared" si="2"/>
        <v>🟡</v>
      </c>
      <c r="H157" s="273"/>
      <c r="I157" s="227"/>
      <c r="J157" s="227"/>
    </row>
    <row r="158" spans="1:10">
      <c r="A158" s="273" t="s">
        <v>5168</v>
      </c>
      <c r="B158" s="274" t="s">
        <v>1096</v>
      </c>
      <c r="C158" s="273"/>
      <c r="D158" s="273"/>
      <c r="E158" s="273"/>
      <c r="F158" s="273"/>
      <c r="G158" s="275" t="str">
        <f t="shared" si="2"/>
        <v>🟡</v>
      </c>
      <c r="H158" s="273"/>
      <c r="I158" s="227"/>
      <c r="J158" s="227"/>
    </row>
    <row r="159" spans="1:10">
      <c r="A159" s="273" t="s">
        <v>5573</v>
      </c>
      <c r="B159" s="274" t="s">
        <v>1096</v>
      </c>
      <c r="C159" s="273"/>
      <c r="D159" s="273"/>
      <c r="E159" s="273"/>
      <c r="F159" s="273"/>
      <c r="G159" s="275" t="str">
        <f t="shared" si="2"/>
        <v>🟡</v>
      </c>
      <c r="H159" s="273"/>
      <c r="I159" s="227"/>
      <c r="J159" s="227"/>
    </row>
    <row r="160" spans="1:10">
      <c r="A160" s="273" t="s">
        <v>5574</v>
      </c>
      <c r="B160" s="274" t="s">
        <v>1096</v>
      </c>
      <c r="C160" s="273"/>
      <c r="D160" s="273"/>
      <c r="E160" s="273"/>
      <c r="F160" s="273"/>
      <c r="G160" s="275" t="str">
        <f t="shared" si="2"/>
        <v>🟡</v>
      </c>
      <c r="H160" s="273"/>
      <c r="I160" s="227"/>
      <c r="J160" s="227"/>
    </row>
    <row r="161" spans="1:10">
      <c r="A161" s="273" t="s">
        <v>178</v>
      </c>
      <c r="B161" s="274" t="s">
        <v>1096</v>
      </c>
      <c r="C161" s="273"/>
      <c r="D161" s="273"/>
      <c r="E161" s="273"/>
      <c r="F161" s="273"/>
      <c r="G161" s="275" t="str">
        <f t="shared" si="2"/>
        <v>🟡</v>
      </c>
      <c r="H161" s="273"/>
      <c r="I161" s="227"/>
      <c r="J161" s="227"/>
    </row>
    <row r="162" spans="1:10" ht="25.5">
      <c r="A162" s="273" t="s">
        <v>5575</v>
      </c>
      <c r="B162" s="274" t="s">
        <v>1096</v>
      </c>
      <c r="C162" s="273"/>
      <c r="D162" s="273"/>
      <c r="E162" s="273"/>
      <c r="F162" s="273"/>
      <c r="G162" s="275" t="str">
        <f t="shared" si="2"/>
        <v>🟡</v>
      </c>
      <c r="H162" s="273"/>
      <c r="I162" s="227"/>
      <c r="J162" s="227"/>
    </row>
    <row r="163" spans="1:10">
      <c r="A163" s="320" t="s">
        <v>4946</v>
      </c>
      <c r="B163" s="320" t="s">
        <v>5583</v>
      </c>
      <c r="C163" s="192"/>
      <c r="D163" s="192"/>
      <c r="E163" s="320" t="s">
        <v>5584</v>
      </c>
      <c r="F163" s="192"/>
      <c r="G163" s="192"/>
      <c r="H163" s="192"/>
      <c r="I163" s="227"/>
      <c r="J163" s="227"/>
    </row>
    <row r="164" spans="1:10" ht="25.5">
      <c r="A164" s="287" t="s">
        <v>5570</v>
      </c>
      <c r="B164" s="577" t="s">
        <v>5585</v>
      </c>
      <c r="C164" s="577"/>
      <c r="D164" s="577"/>
      <c r="E164" s="577" t="s">
        <v>5586</v>
      </c>
      <c r="F164" s="577"/>
      <c r="G164" s="577"/>
      <c r="H164" s="192"/>
      <c r="I164" s="227"/>
      <c r="J164" s="227"/>
    </row>
    <row r="165" spans="1:10">
      <c r="A165" s="287" t="s">
        <v>5571</v>
      </c>
      <c r="B165" s="577" t="s">
        <v>5587</v>
      </c>
      <c r="C165" s="577"/>
      <c r="D165" s="577"/>
      <c r="E165" s="577" t="s">
        <v>5588</v>
      </c>
      <c r="F165" s="577"/>
      <c r="G165" s="577"/>
      <c r="H165" s="192"/>
      <c r="I165" s="227"/>
      <c r="J165" s="227"/>
    </row>
    <row r="166" spans="1:10">
      <c r="A166" s="287" t="s">
        <v>5572</v>
      </c>
      <c r="B166" s="577" t="s">
        <v>5589</v>
      </c>
      <c r="C166" s="577"/>
      <c r="D166" s="577"/>
      <c r="E166" s="577" t="s">
        <v>5590</v>
      </c>
      <c r="F166" s="577"/>
      <c r="G166" s="577"/>
      <c r="H166" s="192"/>
      <c r="I166" s="227"/>
      <c r="J166" s="227"/>
    </row>
    <row r="167" spans="1:10">
      <c r="A167" s="287" t="s">
        <v>5168</v>
      </c>
      <c r="B167" s="577" t="s">
        <v>5591</v>
      </c>
      <c r="C167" s="577"/>
      <c r="D167" s="577"/>
      <c r="E167" s="577" t="s">
        <v>5592</v>
      </c>
      <c r="F167" s="577"/>
      <c r="G167" s="577"/>
      <c r="H167" s="192"/>
      <c r="I167" s="227"/>
      <c r="J167" s="227"/>
    </row>
    <row r="168" spans="1:10">
      <c r="A168" s="287" t="s">
        <v>5573</v>
      </c>
      <c r="B168" s="577" t="s">
        <v>5593</v>
      </c>
      <c r="C168" s="577"/>
      <c r="D168" s="577"/>
      <c r="E168" s="577" t="s">
        <v>5594</v>
      </c>
      <c r="F168" s="577"/>
      <c r="G168" s="577"/>
      <c r="H168" s="192"/>
      <c r="I168" s="227"/>
      <c r="J168" s="227"/>
    </row>
    <row r="169" spans="1:10">
      <c r="A169" s="287" t="s">
        <v>5574</v>
      </c>
      <c r="B169" s="577" t="s">
        <v>5595</v>
      </c>
      <c r="C169" s="577"/>
      <c r="D169" s="577"/>
      <c r="E169" s="577" t="s">
        <v>5596</v>
      </c>
      <c r="F169" s="577"/>
      <c r="G169" s="577"/>
      <c r="H169" s="192"/>
      <c r="I169" s="227"/>
      <c r="J169" s="227"/>
    </row>
    <row r="170" spans="1:10">
      <c r="A170" s="287" t="s">
        <v>178</v>
      </c>
      <c r="B170" s="577" t="s">
        <v>5597</v>
      </c>
      <c r="C170" s="577"/>
      <c r="D170" s="577"/>
      <c r="E170" s="577" t="s">
        <v>5598</v>
      </c>
      <c r="F170" s="577"/>
      <c r="G170" s="577"/>
      <c r="H170" s="192"/>
      <c r="I170" s="227"/>
      <c r="J170" s="227"/>
    </row>
    <row r="171" spans="1:10" ht="25.5">
      <c r="A171" s="287" t="s">
        <v>5575</v>
      </c>
      <c r="B171" s="577" t="s">
        <v>5599</v>
      </c>
      <c r="C171" s="577"/>
      <c r="D171" s="577"/>
      <c r="E171" s="577" t="s">
        <v>5600</v>
      </c>
      <c r="F171" s="577"/>
      <c r="G171" s="577"/>
      <c r="H171" s="192"/>
      <c r="I171" s="227"/>
      <c r="J171" s="227"/>
    </row>
    <row r="172" spans="1:10">
      <c r="A172" s="272" t="s">
        <v>5576</v>
      </c>
      <c r="B172" s="276" t="str">
        <f>IF(COUNTIF(B155:B162,"No")=0,"🟢 PILOT COMPLETE / ACCEPTANCE READY","🟡 NOT COMPLETE — ACCEPTANCE GATES OPEN")</f>
        <v>🟡 NOT COMPLETE — ACCEPTANCE GATES OPEN</v>
      </c>
      <c r="C172" s="276"/>
      <c r="D172" s="276"/>
      <c r="E172" s="276"/>
      <c r="F172" s="276"/>
      <c r="G172" s="276"/>
      <c r="H172" s="276"/>
    </row>
    <row r="173" spans="1:10">
      <c r="A173" s="272" t="s">
        <v>5577</v>
      </c>
      <c r="B173" s="276">
        <f>COUNTIF(B155:B162,"No")</f>
        <v>8</v>
      </c>
      <c r="C173" s="276"/>
      <c r="D173" s="276"/>
      <c r="E173" s="276"/>
      <c r="F173" s="276"/>
      <c r="G173" s="276"/>
      <c r="H173" s="276"/>
    </row>
    <row r="174" spans="1:10">
      <c r="A174" s="272" t="s">
        <v>5578</v>
      </c>
      <c r="B174" s="276" t="str">
        <f>COUNTIF(B155:B162,"Yes")&amp;" / 8 Complete"</f>
        <v>0 / 8 Complete</v>
      </c>
      <c r="C174" s="276"/>
      <c r="D174" s="276"/>
      <c r="E174" s="276"/>
      <c r="F174" s="276"/>
      <c r="G174" s="276"/>
      <c r="H174" s="276"/>
    </row>
    <row r="175" spans="1:10" ht="90">
      <c r="A175" s="277" t="s">
        <v>5579</v>
      </c>
      <c r="B175" s="278" t="s">
        <v>5580</v>
      </c>
      <c r="C175" s="278"/>
      <c r="D175" s="278"/>
      <c r="E175" s="278"/>
      <c r="F175" s="278"/>
      <c r="G175" s="278"/>
      <c r="H175" s="278"/>
    </row>
    <row r="176" spans="1:10">
      <c r="A176" s="277"/>
      <c r="B176" s="278"/>
      <c r="C176" s="278"/>
      <c r="D176" s="278"/>
      <c r="E176" s="278"/>
      <c r="F176" s="278"/>
      <c r="G176" s="278"/>
      <c r="H176" s="278"/>
    </row>
    <row r="177" spans="1:10" ht="64.5">
      <c r="A177" s="277" t="s">
        <v>5581</v>
      </c>
      <c r="B177" s="278" t="s">
        <v>5582</v>
      </c>
      <c r="C177" s="278"/>
      <c r="D177" s="278"/>
      <c r="E177" s="278"/>
      <c r="F177" s="278"/>
      <c r="G177" s="278"/>
      <c r="H177" s="278"/>
    </row>
    <row r="178" spans="1:10">
      <c r="A178" s="575" t="s">
        <v>5694</v>
      </c>
      <c r="B178" s="575"/>
      <c r="C178" s="575"/>
      <c r="D178" s="575"/>
      <c r="E178" s="575"/>
      <c r="F178" s="575"/>
      <c r="G178" s="575"/>
      <c r="H178" s="575"/>
      <c r="I178" s="575"/>
      <c r="J178" s="575"/>
    </row>
    <row r="179" spans="1:10">
      <c r="A179" s="336" t="s">
        <v>5679</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5680</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575" t="s">
        <v>5695</v>
      </c>
      <c r="B189" s="575"/>
      <c r="C189" s="575"/>
      <c r="D189" s="575"/>
      <c r="E189" s="575"/>
      <c r="F189" s="575"/>
      <c r="G189" s="575"/>
      <c r="H189" s="575"/>
      <c r="I189" s="575"/>
      <c r="J189" s="575"/>
    </row>
    <row r="190" spans="1:10">
      <c r="A190" s="192"/>
      <c r="B190" s="192"/>
      <c r="C190" s="192"/>
      <c r="D190" s="192"/>
      <c r="E190" s="192"/>
      <c r="F190" s="192"/>
      <c r="G190" s="192"/>
      <c r="H190" s="192"/>
      <c r="I190" s="192"/>
      <c r="J190" s="192"/>
    </row>
    <row r="191" spans="1:10">
      <c r="A191" s="192" t="s">
        <v>5683</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5" t="s">
        <v>5696</v>
      </c>
      <c r="B199" s="575"/>
      <c r="C199" s="575"/>
      <c r="D199" s="575"/>
      <c r="E199" s="575"/>
      <c r="F199" s="575"/>
      <c r="G199" s="575"/>
      <c r="H199" s="575"/>
      <c r="I199" s="575"/>
      <c r="J199" s="575"/>
    </row>
    <row r="200" spans="1:10">
      <c r="A200" s="192"/>
      <c r="B200" s="192"/>
      <c r="C200" s="192"/>
      <c r="D200" s="192"/>
      <c r="E200" s="192"/>
      <c r="F200" s="192"/>
      <c r="G200" s="192"/>
      <c r="H200" s="192"/>
      <c r="I200" s="192"/>
      <c r="J200" s="192"/>
    </row>
    <row r="201" spans="1:10">
      <c r="A201" s="192" t="s">
        <v>5686</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575" t="s">
        <v>5697</v>
      </c>
      <c r="B211" s="575"/>
      <c r="C211" s="575"/>
      <c r="D211" s="575"/>
      <c r="E211" s="575"/>
      <c r="F211" s="575"/>
      <c r="G211" s="575"/>
      <c r="H211" s="575"/>
      <c r="I211" s="575"/>
      <c r="J211" s="575"/>
    </row>
    <row r="212" spans="1:10">
      <c r="A212" s="192"/>
      <c r="B212" s="192"/>
      <c r="C212" s="192"/>
      <c r="D212" s="192"/>
      <c r="E212" s="192"/>
      <c r="F212" s="192"/>
      <c r="G212" s="192"/>
      <c r="H212" s="192"/>
      <c r="I212" s="192"/>
      <c r="J212" s="192"/>
    </row>
    <row r="213" spans="1:10">
      <c r="A213" s="192" t="s">
        <v>5690</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5693</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599"/>
      <c r="H233" s="599"/>
      <c r="I233" s="599"/>
      <c r="J233" s="599"/>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534" priority="21">
      <formula>B94="Complete"</formula>
    </cfRule>
    <cfRule type="expression" dxfId="533" priority="22">
      <formula>B94="In Progress"</formula>
    </cfRule>
    <cfRule type="expression" dxfId="532" priority="23">
      <formula>B94="At Risk"</formula>
    </cfRule>
    <cfRule type="expression" dxfId="531" priority="24">
      <formula>B94="Blocked"</formula>
    </cfRule>
    <cfRule type="expression" dxfId="530" priority="25">
      <formula>B94="Not Started"</formula>
    </cfRule>
  </conditionalFormatting>
  <conditionalFormatting sqref="B103:B110">
    <cfRule type="expression" dxfId="529" priority="1">
      <formula>B103="Complete"</formula>
    </cfRule>
    <cfRule type="expression" dxfId="528" priority="2">
      <formula>B103="In Progress"</formula>
    </cfRule>
    <cfRule type="expression" dxfId="527" priority="3">
      <formula>B103="At Risk"</formula>
    </cfRule>
    <cfRule type="expression" dxfId="526" priority="4">
      <formula>B103="Blocked"</formula>
    </cfRule>
    <cfRule type="expression" dxfId="525" priority="5">
      <formula>B103="Not Started"</formula>
    </cfRule>
  </conditionalFormatting>
  <conditionalFormatting sqref="B115:B119">
    <cfRule type="expression" dxfId="524" priority="30">
      <formula>B115="Not Started"</formula>
    </cfRule>
    <cfRule type="expression" dxfId="523" priority="29">
      <formula>B115="Blocked"</formula>
    </cfRule>
    <cfRule type="expression" dxfId="522" priority="28">
      <formula>B115="At Risk"</formula>
    </cfRule>
    <cfRule type="expression" dxfId="521" priority="27">
      <formula>B115="In Progress"</formula>
    </cfRule>
    <cfRule type="expression" dxfId="520" priority="26">
      <formula>B115="Complete"</formula>
    </cfRule>
  </conditionalFormatting>
  <conditionalFormatting sqref="B124:B127">
    <cfRule type="expression" dxfId="519" priority="6">
      <formula>B124="Complete"</formula>
    </cfRule>
    <cfRule type="expression" dxfId="518" priority="7">
      <formula>B124="In Progress"</formula>
    </cfRule>
    <cfRule type="expression" dxfId="517" priority="8">
      <formula>B124="At Risk"</formula>
    </cfRule>
    <cfRule type="expression" dxfId="516" priority="9">
      <formula>B124="Blocked"</formula>
    </cfRule>
    <cfRule type="expression" dxfId="515" priority="10">
      <formula>B124="Not Started"</formula>
    </cfRule>
  </conditionalFormatting>
  <conditionalFormatting sqref="B132:B137">
    <cfRule type="expression" dxfId="514" priority="11">
      <formula>B132="Complete"</formula>
    </cfRule>
    <cfRule type="expression" dxfId="513" priority="12">
      <formula>B132="In Progress"</formula>
    </cfRule>
    <cfRule type="expression" dxfId="512" priority="13">
      <formula>B132="At Risk"</formula>
    </cfRule>
    <cfRule type="expression" dxfId="511" priority="14">
      <formula>B132="Blocked"</formula>
    </cfRule>
    <cfRule type="expression" dxfId="510" priority="15">
      <formula>B132="Not Started"</formula>
    </cfRule>
  </conditionalFormatting>
  <conditionalFormatting sqref="B155:B162">
    <cfRule type="expression" dxfId="509" priority="82">
      <formula>B155="Yes"</formula>
    </cfRule>
    <cfRule type="expression" dxfId="508" priority="83">
      <formula>B155="N/A"</formula>
    </cfRule>
    <cfRule type="expression" dxfId="507" priority="84">
      <formula>B155="No"</formula>
    </cfRule>
  </conditionalFormatting>
  <conditionalFormatting sqref="B172:H172">
    <cfRule type="expression" dxfId="506" priority="86">
      <formula>COUNTIF($B$6:$B$13,"No")&gt;0</formula>
    </cfRule>
    <cfRule type="expression" dxfId="505"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504" priority="32">
      <formula>C103="No"</formula>
    </cfRule>
    <cfRule type="expression" dxfId="503" priority="31">
      <formula>C103="Yes"</formula>
    </cfRule>
    <cfRule type="expression" dxfId="502"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01" priority="17">
      <formula>C132="No"</formula>
    </cfRule>
    <cfRule type="expression" dxfId="500" priority="16">
      <formula>C132="Yes"</formula>
    </cfRule>
    <cfRule type="expression" dxfId="499"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498" priority="87">
      <formula>E5="Pass"</formula>
    </cfRule>
    <cfRule type="expression" dxfId="497" priority="88">
      <formula>E5="Verify"</formula>
    </cfRule>
    <cfRule type="expression" dxfId="496" priority="89">
      <formula>E5="Fail"</formula>
    </cfRule>
    <cfRule type="expression" dxfId="495" priority="90">
      <formula>E5="Not Started"</formula>
    </cfRule>
  </conditionalFormatting>
  <conditionalFormatting sqref="F3">
    <cfRule type="expression" dxfId="494" priority="91">
      <formula>F3="Yes"</formula>
    </cfRule>
    <cfRule type="expression" dxfId="493" priority="92">
      <formula>F3="No"</formula>
    </cfRule>
  </conditionalFormatting>
  <conditionalFormatting sqref="F115:F119">
    <cfRule type="expression" dxfId="492" priority="35">
      <formula>F115="Fail"</formula>
    </cfRule>
    <cfRule type="expression" dxfId="491" priority="36">
      <formula>F115="Pending"</formula>
    </cfRule>
    <cfRule type="expression" dxfId="490"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Lookup_Lists!$L$37:$L$39</xm:f>
          </x14:formula1>
          <xm:sqref>C115:E119 J2</xm:sqref>
        </x14:dataValidation>
        <x14:dataValidation type="list" allowBlank="1" showInputMessage="1" showErrorMessage="1" xr:uid="{DA1CD9C4-11D6-4A89-937F-A4A6EFFEB665}">
          <x14:formula1>
            <xm:f>Lookup_Lists!$A$36:$A$42</xm:f>
          </x14:formula1>
          <xm:sqref>B94:B98 B103:B110 B132:B137</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workbookViewId="0">
      <selection sqref="A1:J1"/>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3080</v>
      </c>
      <c r="B1" s="896"/>
      <c r="C1" s="896"/>
      <c r="D1" s="896"/>
      <c r="E1" s="896"/>
      <c r="F1" s="896"/>
      <c r="G1" s="896"/>
      <c r="H1" s="896"/>
      <c r="I1" s="896"/>
      <c r="J1" s="896"/>
    </row>
    <row r="2" spans="1:10" s="223" customFormat="1">
      <c r="A2" s="219" t="s">
        <v>142</v>
      </c>
      <c r="B2" s="220" t="s">
        <v>372</v>
      </c>
      <c r="C2" s="219" t="s">
        <v>902</v>
      </c>
      <c r="D2" s="220" t="s">
        <v>1094</v>
      </c>
      <c r="E2" s="219" t="s">
        <v>151</v>
      </c>
      <c r="F2" s="220" t="s">
        <v>1095</v>
      </c>
      <c r="G2" s="219" t="s">
        <v>174</v>
      </c>
      <c r="H2" s="221">
        <v>0.5</v>
      </c>
      <c r="I2" s="219" t="s">
        <v>154</v>
      </c>
      <c r="J2" s="222" t="s">
        <v>1096</v>
      </c>
    </row>
    <row r="3" spans="1:10" s="227" customFormat="1" ht="25.5">
      <c r="A3" s="219" t="s">
        <v>903</v>
      </c>
      <c r="B3" s="224">
        <v>46198.772415590283</v>
      </c>
      <c r="C3" s="225" t="s">
        <v>904</v>
      </c>
      <c r="D3" s="226" t="s">
        <v>721</v>
      </c>
      <c r="E3" s="219" t="s">
        <v>905</v>
      </c>
      <c r="F3" s="226" t="s">
        <v>3081</v>
      </c>
      <c r="G3" s="219" t="s">
        <v>907</v>
      </c>
      <c r="H3" s="226" t="s">
        <v>908</v>
      </c>
      <c r="I3" s="219" t="s">
        <v>551</v>
      </c>
      <c r="J3" s="226" t="s">
        <v>3082</v>
      </c>
    </row>
    <row r="4" spans="1:10" s="227" customFormat="1" ht="229.5">
      <c r="A4" s="219" t="s">
        <v>161</v>
      </c>
      <c r="B4" s="226">
        <v>0</v>
      </c>
      <c r="C4" s="219" t="s">
        <v>199</v>
      </c>
      <c r="D4" s="226">
        <v>0</v>
      </c>
      <c r="E4" s="219" t="s">
        <v>179</v>
      </c>
      <c r="F4" s="226">
        <v>0</v>
      </c>
      <c r="G4" s="219" t="s">
        <v>870</v>
      </c>
      <c r="H4" s="228" t="s">
        <v>3083</v>
      </c>
      <c r="I4" s="229"/>
      <c r="J4" s="229"/>
    </row>
    <row r="5" spans="1:10" s="227" customFormat="1">
      <c r="A5" s="230" t="s">
        <v>911</v>
      </c>
      <c r="B5" s="221" t="s">
        <v>2760</v>
      </c>
      <c r="C5" s="231" t="s">
        <v>912</v>
      </c>
      <c r="D5" s="221" t="s">
        <v>677</v>
      </c>
      <c r="E5" s="232" t="s">
        <v>913</v>
      </c>
      <c r="F5" s="221" t="s">
        <v>677</v>
      </c>
      <c r="G5" s="233" t="s">
        <v>914</v>
      </c>
      <c r="H5" s="221" t="s">
        <v>2761</v>
      </c>
      <c r="I5" s="233" t="s">
        <v>915</v>
      </c>
      <c r="J5" s="221" t="s">
        <v>947</v>
      </c>
    </row>
    <row r="6" spans="1:10" s="227" customFormat="1" ht="31.5" customHeight="1">
      <c r="A6" s="234" t="s">
        <v>916</v>
      </c>
      <c r="B6" s="221" t="s">
        <v>947</v>
      </c>
      <c r="C6" s="235" t="s">
        <v>869</v>
      </c>
      <c r="D6" s="604" t="s">
        <v>3084</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372</v>
      </c>
      <c r="B10" s="13" t="s">
        <v>428</v>
      </c>
      <c r="C10" s="13" t="s">
        <v>923</v>
      </c>
      <c r="D10" s="13" t="s">
        <v>3085</v>
      </c>
      <c r="E10" s="13" t="s">
        <v>2764</v>
      </c>
      <c r="F10" s="13">
        <v>1</v>
      </c>
      <c r="G10" s="13">
        <v>0</v>
      </c>
      <c r="H10" s="13" t="s">
        <v>677</v>
      </c>
      <c r="I10" s="13" t="s">
        <v>3086</v>
      </c>
      <c r="J10" s="13" t="s">
        <v>3087</v>
      </c>
    </row>
    <row r="11" spans="1:10" ht="114.75">
      <c r="A11" s="13" t="s">
        <v>372</v>
      </c>
      <c r="B11" s="13" t="s">
        <v>42</v>
      </c>
      <c r="C11" s="13" t="s">
        <v>3088</v>
      </c>
      <c r="D11" s="13" t="s">
        <v>3089</v>
      </c>
      <c r="E11" s="13" t="s">
        <v>925</v>
      </c>
      <c r="F11" s="13">
        <v>2</v>
      </c>
      <c r="G11" s="13">
        <v>0</v>
      </c>
      <c r="H11" s="13" t="s">
        <v>677</v>
      </c>
      <c r="I11" s="13" t="s">
        <v>3090</v>
      </c>
      <c r="J11" s="13" t="s">
        <v>3091</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428</v>
      </c>
      <c r="B15" s="13" t="s">
        <v>677</v>
      </c>
      <c r="C15" s="13" t="s">
        <v>677</v>
      </c>
      <c r="D15" s="13" t="s">
        <v>2771</v>
      </c>
      <c r="E15" s="13" t="s">
        <v>677</v>
      </c>
      <c r="F15" s="13" t="s">
        <v>947</v>
      </c>
      <c r="G15" s="13" t="s">
        <v>677</v>
      </c>
      <c r="H15" s="13" t="s">
        <v>677</v>
      </c>
      <c r="I15" s="13" t="s">
        <v>677</v>
      </c>
      <c r="J15" s="13" t="s">
        <v>3092</v>
      </c>
    </row>
    <row r="16" spans="1:10" ht="76.5">
      <c r="A16" s="13" t="s">
        <v>42</v>
      </c>
      <c r="B16" s="13" t="s">
        <v>946</v>
      </c>
      <c r="C16" s="13" t="s">
        <v>946</v>
      </c>
      <c r="D16" s="13" t="s">
        <v>946</v>
      </c>
      <c r="E16" s="13" t="s">
        <v>677</v>
      </c>
      <c r="F16" s="13" t="s">
        <v>947</v>
      </c>
      <c r="G16" s="13" t="s">
        <v>677</v>
      </c>
      <c r="H16" s="13" t="s">
        <v>677</v>
      </c>
      <c r="I16" s="13" t="s">
        <v>677</v>
      </c>
      <c r="J16" s="13" t="s">
        <v>3093</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428</v>
      </c>
      <c r="B20" s="13" t="s">
        <v>2774</v>
      </c>
      <c r="C20" s="13" t="s">
        <v>679</v>
      </c>
      <c r="D20" s="13" t="s">
        <v>947</v>
      </c>
      <c r="E20" s="13" t="s">
        <v>947</v>
      </c>
      <c r="F20" s="13" t="s">
        <v>1238</v>
      </c>
      <c r="G20" s="13" t="s">
        <v>677</v>
      </c>
      <c r="H20" s="13" t="s">
        <v>677</v>
      </c>
      <c r="I20" s="13" t="s">
        <v>677</v>
      </c>
      <c r="J20" s="13" t="s">
        <v>3094</v>
      </c>
    </row>
    <row r="21" spans="1:10" ht="38.25">
      <c r="A21" s="13" t="s">
        <v>42</v>
      </c>
      <c r="B21" s="13" t="s">
        <v>946</v>
      </c>
      <c r="C21" s="13" t="s">
        <v>679</v>
      </c>
      <c r="D21" s="13" t="s">
        <v>947</v>
      </c>
      <c r="E21" s="13" t="s">
        <v>947</v>
      </c>
      <c r="F21" s="13" t="s">
        <v>1238</v>
      </c>
      <c r="G21" s="13" t="s">
        <v>677</v>
      </c>
      <c r="H21" s="13" t="s">
        <v>677</v>
      </c>
      <c r="I21" s="13" t="s">
        <v>677</v>
      </c>
      <c r="J21" s="13" t="s">
        <v>3095</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428</v>
      </c>
      <c r="B25" s="13" t="s">
        <v>2777</v>
      </c>
      <c r="C25" s="13" t="s">
        <v>679</v>
      </c>
      <c r="D25" s="13" t="s">
        <v>679</v>
      </c>
      <c r="E25" s="13" t="s">
        <v>679</v>
      </c>
      <c r="F25" s="13" t="s">
        <v>679</v>
      </c>
      <c r="G25" s="13" t="s">
        <v>679</v>
      </c>
      <c r="H25" s="13" t="s">
        <v>679</v>
      </c>
      <c r="I25" s="13" t="s">
        <v>679</v>
      </c>
      <c r="J25" s="13" t="s">
        <v>3096</v>
      </c>
    </row>
    <row r="26" spans="1:10" ht="63.75">
      <c r="A26" s="13" t="s">
        <v>42</v>
      </c>
      <c r="B26" s="13" t="s">
        <v>2217</v>
      </c>
      <c r="C26" s="13" t="s">
        <v>677</v>
      </c>
      <c r="D26" s="13" t="s">
        <v>677</v>
      </c>
      <c r="E26" s="13" t="s">
        <v>677</v>
      </c>
      <c r="F26" s="13" t="s">
        <v>677</v>
      </c>
      <c r="G26" s="13" t="s">
        <v>677</v>
      </c>
      <c r="H26" s="13" t="s">
        <v>677</v>
      </c>
      <c r="I26" s="13" t="s">
        <v>677</v>
      </c>
      <c r="J26" s="13" t="s">
        <v>3097</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428</v>
      </c>
      <c r="B30" s="13" t="s">
        <v>677</v>
      </c>
      <c r="C30" s="13" t="s">
        <v>2780</v>
      </c>
      <c r="D30" s="13" t="s">
        <v>677</v>
      </c>
      <c r="E30" s="13" t="s">
        <v>677</v>
      </c>
      <c r="F30" s="13" t="s">
        <v>3098</v>
      </c>
      <c r="G30" s="13" t="s">
        <v>677</v>
      </c>
      <c r="H30" s="13" t="s">
        <v>677</v>
      </c>
      <c r="I30" s="13" t="s">
        <v>677</v>
      </c>
      <c r="J30" s="13" t="s">
        <v>3099</v>
      </c>
    </row>
    <row r="31" spans="1:10" ht="76.5">
      <c r="A31" s="13" t="s">
        <v>42</v>
      </c>
      <c r="B31" s="13" t="s">
        <v>988</v>
      </c>
      <c r="C31" s="13" t="s">
        <v>3100</v>
      </c>
      <c r="D31" s="13" t="s">
        <v>988</v>
      </c>
      <c r="E31" s="13" t="s">
        <v>677</v>
      </c>
      <c r="F31" s="13" t="s">
        <v>946</v>
      </c>
      <c r="G31" s="13" t="s">
        <v>677</v>
      </c>
      <c r="H31" s="13" t="s">
        <v>677</v>
      </c>
      <c r="I31" s="13" t="s">
        <v>677</v>
      </c>
      <c r="J31" s="13" t="s">
        <v>3101</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428</v>
      </c>
      <c r="B35" s="13" t="s">
        <v>677</v>
      </c>
      <c r="C35" s="13" t="s">
        <v>677</v>
      </c>
      <c r="D35" s="13" t="s">
        <v>677</v>
      </c>
      <c r="E35" s="13" t="s">
        <v>677</v>
      </c>
      <c r="F35" s="13" t="s">
        <v>677</v>
      </c>
      <c r="G35" s="13" t="s">
        <v>677</v>
      </c>
      <c r="H35" s="13" t="s">
        <v>677</v>
      </c>
      <c r="I35" s="13" t="s">
        <v>677</v>
      </c>
      <c r="J35" s="13" t="s">
        <v>3102</v>
      </c>
    </row>
    <row r="36" spans="1:10" ht="76.5">
      <c r="A36" s="13" t="s">
        <v>42</v>
      </c>
      <c r="B36" s="13" t="s">
        <v>988</v>
      </c>
      <c r="C36" s="13" t="s">
        <v>988</v>
      </c>
      <c r="D36" s="13" t="s">
        <v>988</v>
      </c>
      <c r="E36" s="13" t="s">
        <v>677</v>
      </c>
      <c r="F36" s="13" t="s">
        <v>677</v>
      </c>
      <c r="G36" s="13" t="s">
        <v>677</v>
      </c>
      <c r="H36" s="13" t="s">
        <v>677</v>
      </c>
      <c r="I36" s="13" t="s">
        <v>677</v>
      </c>
      <c r="J36" s="13" t="s">
        <v>3103</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3.75">
      <c r="A40" s="13" t="s">
        <v>428</v>
      </c>
      <c r="B40" s="13" t="s">
        <v>1238</v>
      </c>
      <c r="C40" s="13" t="s">
        <v>1238</v>
      </c>
      <c r="D40" s="13" t="s">
        <v>1238</v>
      </c>
      <c r="E40" s="13" t="s">
        <v>1238</v>
      </c>
      <c r="F40" s="13" t="s">
        <v>947</v>
      </c>
      <c r="G40" s="13" t="s">
        <v>947</v>
      </c>
      <c r="H40" s="13" t="s">
        <v>677</v>
      </c>
      <c r="I40" s="13" t="s">
        <v>677</v>
      </c>
      <c r="J40" s="13" t="s">
        <v>3104</v>
      </c>
    </row>
    <row r="41" spans="1:10" ht="63.75">
      <c r="A41" s="13" t="s">
        <v>42</v>
      </c>
      <c r="B41" s="13" t="s">
        <v>947</v>
      </c>
      <c r="C41" s="13" t="s">
        <v>947</v>
      </c>
      <c r="D41" s="13" t="s">
        <v>947</v>
      </c>
      <c r="E41" s="13" t="s">
        <v>947</v>
      </c>
      <c r="F41" s="13" t="s">
        <v>947</v>
      </c>
      <c r="G41" s="13" t="s">
        <v>947</v>
      </c>
      <c r="H41" s="13" t="s">
        <v>677</v>
      </c>
      <c r="I41" s="13" t="s">
        <v>677</v>
      </c>
      <c r="J41" s="13" t="s">
        <v>3105</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3106</v>
      </c>
      <c r="B45" s="13" t="s">
        <v>575</v>
      </c>
      <c r="C45" s="13" t="s">
        <v>3107</v>
      </c>
      <c r="D45" s="13" t="s">
        <v>391</v>
      </c>
      <c r="E45" s="13" t="s">
        <v>488</v>
      </c>
      <c r="F45" s="13">
        <v>6</v>
      </c>
      <c r="G45" s="13" t="s">
        <v>1381</v>
      </c>
      <c r="H45" s="13" t="s">
        <v>1023</v>
      </c>
      <c r="I45" s="13" t="s">
        <v>502</v>
      </c>
      <c r="J45" s="13" t="s">
        <v>3108</v>
      </c>
    </row>
    <row r="46" spans="1:10" ht="76.5">
      <c r="A46" s="13" t="s">
        <v>3109</v>
      </c>
      <c r="B46" s="13" t="s">
        <v>3110</v>
      </c>
      <c r="C46" s="13" t="s">
        <v>3111</v>
      </c>
      <c r="D46" s="13" t="s">
        <v>492</v>
      </c>
      <c r="E46" s="13" t="s">
        <v>488</v>
      </c>
      <c r="F46" s="13">
        <v>8</v>
      </c>
      <c r="G46" s="13" t="s">
        <v>1025</v>
      </c>
      <c r="H46" s="13" t="s">
        <v>584</v>
      </c>
      <c r="I46" s="13" t="s">
        <v>502</v>
      </c>
      <c r="J46" s="13" t="s">
        <v>3112</v>
      </c>
    </row>
    <row r="47" spans="1:10" ht="76.5">
      <c r="A47" s="13" t="s">
        <v>3113</v>
      </c>
      <c r="B47" s="13" t="s">
        <v>428</v>
      </c>
      <c r="C47" s="13" t="s">
        <v>3114</v>
      </c>
      <c r="D47" s="13" t="s">
        <v>488</v>
      </c>
      <c r="E47" s="13" t="s">
        <v>488</v>
      </c>
      <c r="F47" s="13">
        <v>4</v>
      </c>
      <c r="G47" s="13" t="s">
        <v>3022</v>
      </c>
      <c r="H47" s="13" t="s">
        <v>2798</v>
      </c>
      <c r="I47" s="13" t="s">
        <v>502</v>
      </c>
      <c r="J47" s="13" t="s">
        <v>3115</v>
      </c>
    </row>
    <row r="48" spans="1:10" ht="63.75">
      <c r="A48" s="13" t="s">
        <v>3116</v>
      </c>
      <c r="B48" s="13" t="s">
        <v>428</v>
      </c>
      <c r="C48" s="13" t="s">
        <v>3117</v>
      </c>
      <c r="D48" s="13" t="s">
        <v>391</v>
      </c>
      <c r="E48" s="13" t="s">
        <v>488</v>
      </c>
      <c r="F48" s="13">
        <v>6</v>
      </c>
      <c r="G48" s="13" t="s">
        <v>3026</v>
      </c>
      <c r="H48" s="13" t="s">
        <v>2803</v>
      </c>
      <c r="I48" s="13" t="s">
        <v>502</v>
      </c>
      <c r="J48" s="13" t="s">
        <v>2804</v>
      </c>
    </row>
    <row r="49" spans="1:10" ht="63.75">
      <c r="A49" s="13" t="s">
        <v>3118</v>
      </c>
      <c r="B49" s="13" t="s">
        <v>428</v>
      </c>
      <c r="C49" s="13" t="s">
        <v>2806</v>
      </c>
      <c r="D49" s="13" t="s">
        <v>391</v>
      </c>
      <c r="E49" s="13" t="s">
        <v>488</v>
      </c>
      <c r="F49" s="13">
        <v>6</v>
      </c>
      <c r="G49" s="13" t="s">
        <v>2807</v>
      </c>
      <c r="H49" s="13" t="s">
        <v>2808</v>
      </c>
      <c r="I49" s="13" t="s">
        <v>502</v>
      </c>
      <c r="J49" s="13" t="s">
        <v>2809</v>
      </c>
    </row>
    <row r="50" spans="1:10" ht="76.5">
      <c r="A50" s="13" t="s">
        <v>3119</v>
      </c>
      <c r="B50" s="13" t="s">
        <v>575</v>
      </c>
      <c r="C50" s="13" t="s">
        <v>3120</v>
      </c>
      <c r="D50" s="13" t="s">
        <v>391</v>
      </c>
      <c r="E50" s="13" t="s">
        <v>488</v>
      </c>
      <c r="F50" s="13">
        <v>6</v>
      </c>
      <c r="G50" s="13" t="s">
        <v>2812</v>
      </c>
      <c r="H50" s="13" t="s">
        <v>1037</v>
      </c>
      <c r="I50" s="13" t="s">
        <v>502</v>
      </c>
      <c r="J50" s="13" t="s">
        <v>3121</v>
      </c>
    </row>
    <row r="51" spans="1:10" ht="89.25">
      <c r="A51" s="13" t="s">
        <v>3122</v>
      </c>
      <c r="B51" s="13" t="s">
        <v>575</v>
      </c>
      <c r="C51" s="13" t="s">
        <v>2815</v>
      </c>
      <c r="D51" s="13" t="s">
        <v>391</v>
      </c>
      <c r="E51" s="13" t="s">
        <v>488</v>
      </c>
      <c r="F51" s="13">
        <v>6</v>
      </c>
      <c r="G51" s="13" t="s">
        <v>2816</v>
      </c>
      <c r="H51" s="13" t="s">
        <v>622</v>
      </c>
      <c r="I51" s="13" t="s">
        <v>502</v>
      </c>
      <c r="J51" s="13" t="s">
        <v>3123</v>
      </c>
    </row>
    <row r="52" spans="1:10" ht="76.5">
      <c r="A52" s="13" t="s">
        <v>3124</v>
      </c>
      <c r="B52" s="13" t="s">
        <v>3125</v>
      </c>
      <c r="C52" s="13" t="s">
        <v>3126</v>
      </c>
      <c r="D52" s="13" t="s">
        <v>391</v>
      </c>
      <c r="E52" s="13" t="s">
        <v>488</v>
      </c>
      <c r="F52" s="13">
        <v>6</v>
      </c>
      <c r="G52" s="13" t="s">
        <v>3127</v>
      </c>
      <c r="H52" s="13" t="s">
        <v>584</v>
      </c>
      <c r="I52" s="13" t="s">
        <v>502</v>
      </c>
      <c r="J52" s="13" t="s">
        <v>3128</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3129</v>
      </c>
      <c r="B56" s="13" t="s">
        <v>3130</v>
      </c>
      <c r="C56" s="13" t="s">
        <v>579</v>
      </c>
      <c r="D56" s="13" t="s">
        <v>502</v>
      </c>
      <c r="E56" s="13"/>
      <c r="F56" s="13"/>
      <c r="G56" s="13" t="s">
        <v>2619</v>
      </c>
      <c r="H56" s="13"/>
      <c r="I56" s="13"/>
      <c r="J56" s="13"/>
    </row>
    <row r="57" spans="1:10" ht="51">
      <c r="A57" s="13" t="s">
        <v>3131</v>
      </c>
      <c r="B57" s="13" t="s">
        <v>3132</v>
      </c>
      <c r="C57" s="13" t="s">
        <v>587</v>
      </c>
      <c r="D57" s="13" t="s">
        <v>502</v>
      </c>
      <c r="E57" s="13"/>
      <c r="F57" s="13"/>
      <c r="G57" s="13" t="s">
        <v>588</v>
      </c>
      <c r="H57" s="13"/>
      <c r="I57" s="13"/>
      <c r="J57" s="13"/>
    </row>
    <row r="58" spans="1:10" ht="76.5">
      <c r="A58" s="13" t="s">
        <v>3133</v>
      </c>
      <c r="B58" s="13" t="s">
        <v>3134</v>
      </c>
      <c r="C58" s="13" t="s">
        <v>616</v>
      </c>
      <c r="D58" s="13" t="s">
        <v>502</v>
      </c>
      <c r="E58" s="13"/>
      <c r="F58" s="13"/>
      <c r="G58" s="13" t="s">
        <v>617</v>
      </c>
      <c r="H58" s="13"/>
      <c r="I58" s="13"/>
      <c r="J58" s="13"/>
    </row>
    <row r="59" spans="1:10" ht="89.25">
      <c r="A59" s="13" t="s">
        <v>3135</v>
      </c>
      <c r="B59" s="13" t="s">
        <v>3136</v>
      </c>
      <c r="C59" s="13" t="s">
        <v>2830</v>
      </c>
      <c r="D59" s="13" t="s">
        <v>502</v>
      </c>
      <c r="E59" s="13"/>
      <c r="F59" s="13"/>
      <c r="G59" s="13" t="s">
        <v>2831</v>
      </c>
      <c r="H59" s="13"/>
      <c r="I59" s="13"/>
      <c r="J59" s="13"/>
    </row>
    <row r="60" spans="1:10" ht="89.25">
      <c r="A60" s="13" t="s">
        <v>3137</v>
      </c>
      <c r="B60" s="13" t="s">
        <v>3138</v>
      </c>
      <c r="C60" s="13" t="s">
        <v>2834</v>
      </c>
      <c r="D60" s="13" t="s">
        <v>502</v>
      </c>
      <c r="E60" s="13"/>
      <c r="F60" s="13"/>
      <c r="G60" s="13" t="s">
        <v>2835</v>
      </c>
      <c r="H60" s="13"/>
      <c r="I60" s="13"/>
      <c r="J60" s="13"/>
    </row>
    <row r="61" spans="1:10" ht="63.75">
      <c r="A61" s="13" t="s">
        <v>3139</v>
      </c>
      <c r="B61" s="13" t="s">
        <v>3140</v>
      </c>
      <c r="C61" s="13" t="s">
        <v>2838</v>
      </c>
      <c r="D61" s="13" t="s">
        <v>502</v>
      </c>
      <c r="E61" s="13"/>
      <c r="F61" s="13"/>
      <c r="G61" s="13" t="s">
        <v>2839</v>
      </c>
      <c r="H61" s="13"/>
      <c r="I61" s="13"/>
      <c r="J61" s="13"/>
    </row>
    <row r="62" spans="1:10" ht="89.25">
      <c r="A62" s="13" t="s">
        <v>3141</v>
      </c>
      <c r="B62" s="13" t="s">
        <v>2841</v>
      </c>
      <c r="C62" s="13" t="s">
        <v>584</v>
      </c>
      <c r="D62" s="13" t="s">
        <v>502</v>
      </c>
      <c r="E62" s="13"/>
      <c r="F62" s="13"/>
      <c r="G62" s="13" t="s">
        <v>2842</v>
      </c>
      <c r="H62" s="13"/>
      <c r="I62" s="13"/>
      <c r="J62" s="13"/>
    </row>
    <row r="63" spans="1:10" ht="63.75">
      <c r="A63" s="13" t="s">
        <v>3142</v>
      </c>
      <c r="B63" s="13" t="s">
        <v>3143</v>
      </c>
      <c r="C63" s="13" t="s">
        <v>579</v>
      </c>
      <c r="D63" s="13" t="s">
        <v>502</v>
      </c>
      <c r="E63" s="13"/>
      <c r="F63" s="13"/>
      <c r="G63" s="13" t="s">
        <v>3144</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3145</v>
      </c>
      <c r="B67" s="13" t="s">
        <v>428</v>
      </c>
      <c r="C67" s="13" t="s">
        <v>269</v>
      </c>
      <c r="D67" s="13" t="s">
        <v>3146</v>
      </c>
      <c r="E67" s="13"/>
      <c r="F67" s="13" t="s">
        <v>229</v>
      </c>
      <c r="G67" s="13"/>
      <c r="H67" s="13" t="s">
        <v>3147</v>
      </c>
      <c r="I67" s="13" t="s">
        <v>502</v>
      </c>
      <c r="J67" s="13"/>
    </row>
    <row r="68" spans="1:10" ht="114.75">
      <c r="A68" s="13" t="s">
        <v>3148</v>
      </c>
      <c r="B68" s="13" t="s">
        <v>42</v>
      </c>
      <c r="C68" s="13" t="s">
        <v>269</v>
      </c>
      <c r="D68" s="13" t="s">
        <v>3149</v>
      </c>
      <c r="E68" s="13"/>
      <c r="F68" s="13" t="s">
        <v>229</v>
      </c>
      <c r="G68" s="13"/>
      <c r="H68" s="13" t="s">
        <v>3150</v>
      </c>
      <c r="I68" s="13" t="s">
        <v>502</v>
      </c>
      <c r="J68" s="13"/>
    </row>
    <row r="69" spans="1:10" ht="102">
      <c r="A69" s="13" t="s">
        <v>3151</v>
      </c>
      <c r="B69" s="13" t="s">
        <v>42</v>
      </c>
      <c r="C69" s="13" t="s">
        <v>1058</v>
      </c>
      <c r="D69" s="13" t="s">
        <v>3152</v>
      </c>
      <c r="E69" s="13"/>
      <c r="F69" s="13" t="s">
        <v>229</v>
      </c>
      <c r="G69" s="13"/>
      <c r="H69" s="13" t="s">
        <v>3153</v>
      </c>
      <c r="I69" s="13" t="s">
        <v>502</v>
      </c>
      <c r="J69" s="13"/>
    </row>
    <row r="70" spans="1:10" ht="114.75">
      <c r="A70" s="13" t="s">
        <v>3154</v>
      </c>
      <c r="B70" s="13" t="s">
        <v>3110</v>
      </c>
      <c r="C70" s="13" t="s">
        <v>2640</v>
      </c>
      <c r="D70" s="13" t="s">
        <v>3155</v>
      </c>
      <c r="E70" s="13"/>
      <c r="F70" s="13" t="s">
        <v>229</v>
      </c>
      <c r="G70" s="13"/>
      <c r="H70" s="13" t="s">
        <v>3156</v>
      </c>
      <c r="I70" s="13" t="s">
        <v>502</v>
      </c>
      <c r="J70" s="13"/>
    </row>
    <row r="71" spans="1:10" ht="76.5">
      <c r="A71" s="13" t="s">
        <v>3157</v>
      </c>
      <c r="B71" s="13" t="s">
        <v>428</v>
      </c>
      <c r="C71" s="13" t="s">
        <v>153</v>
      </c>
      <c r="D71" s="13" t="s">
        <v>2970</v>
      </c>
      <c r="E71" s="13"/>
      <c r="F71" s="13" t="s">
        <v>229</v>
      </c>
      <c r="G71" s="13"/>
      <c r="H71" s="13" t="s">
        <v>3118</v>
      </c>
      <c r="I71" s="13" t="s">
        <v>502</v>
      </c>
      <c r="J71" s="13"/>
    </row>
    <row r="72" spans="1:10" ht="102">
      <c r="A72" s="13" t="s">
        <v>3158</v>
      </c>
      <c r="B72" s="13" t="s">
        <v>3110</v>
      </c>
      <c r="C72" s="13" t="s">
        <v>155</v>
      </c>
      <c r="D72" s="13" t="s">
        <v>3159</v>
      </c>
      <c r="E72" s="13"/>
      <c r="F72" s="13" t="s">
        <v>229</v>
      </c>
      <c r="G72" s="13"/>
      <c r="H72" s="13" t="s">
        <v>3153</v>
      </c>
      <c r="I72" s="13" t="s">
        <v>502</v>
      </c>
      <c r="J72" s="13"/>
    </row>
    <row r="73" spans="1:10" ht="63.75">
      <c r="A73" s="13" t="s">
        <v>3160</v>
      </c>
      <c r="B73" s="13" t="s">
        <v>575</v>
      </c>
      <c r="C73" s="13" t="s">
        <v>957</v>
      </c>
      <c r="D73" s="13" t="s">
        <v>2975</v>
      </c>
      <c r="E73" s="13"/>
      <c r="F73" s="13" t="s">
        <v>229</v>
      </c>
      <c r="G73" s="13"/>
      <c r="H73" s="13" t="s">
        <v>3122</v>
      </c>
      <c r="I73" s="13" t="s">
        <v>502</v>
      </c>
      <c r="J73" s="13"/>
    </row>
    <row r="74" spans="1:10" ht="76.5">
      <c r="A74" s="13" t="s">
        <v>3161</v>
      </c>
      <c r="B74" s="13" t="s">
        <v>3162</v>
      </c>
      <c r="C74" s="13" t="s">
        <v>2865</v>
      </c>
      <c r="D74" s="13" t="s">
        <v>3163</v>
      </c>
      <c r="E74" s="13"/>
      <c r="F74" s="13" t="s">
        <v>229</v>
      </c>
      <c r="G74" s="13"/>
      <c r="H74" s="13" t="s">
        <v>3124</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428</v>
      </c>
      <c r="B78" s="13">
        <v>0.5</v>
      </c>
      <c r="C78" s="13">
        <v>0.5</v>
      </c>
      <c r="D78" s="13" t="s">
        <v>1238</v>
      </c>
      <c r="E78" s="13">
        <v>0.5</v>
      </c>
      <c r="F78" s="13">
        <v>0.5</v>
      </c>
      <c r="G78" s="13" t="s">
        <v>677</v>
      </c>
      <c r="H78" s="13">
        <v>0.5</v>
      </c>
      <c r="I78" s="13" t="s">
        <v>1201</v>
      </c>
      <c r="J78" s="13" t="s">
        <v>3164</v>
      </c>
    </row>
    <row r="79" spans="1:10" ht="38.25">
      <c r="A79" s="13" t="s">
        <v>42</v>
      </c>
      <c r="B79" s="13">
        <v>0.5</v>
      </c>
      <c r="C79" s="13">
        <v>0.5</v>
      </c>
      <c r="D79" s="13">
        <v>0.5</v>
      </c>
      <c r="E79" s="13">
        <v>0.5</v>
      </c>
      <c r="F79" s="13">
        <v>0.5</v>
      </c>
      <c r="G79" s="13" t="s">
        <v>677</v>
      </c>
      <c r="H79" s="13">
        <v>0.5</v>
      </c>
      <c r="I79" s="13" t="s">
        <v>1201</v>
      </c>
      <c r="J79" s="13" t="s">
        <v>3165</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38.25">
      <c r="A82" s="50" t="s">
        <v>905</v>
      </c>
      <c r="B82" s="50" t="s">
        <v>827</v>
      </c>
      <c r="C82" s="50"/>
      <c r="D82" s="50"/>
      <c r="E82" s="50"/>
      <c r="F82" s="50"/>
      <c r="G82" s="50"/>
      <c r="H82" s="50"/>
      <c r="I82" s="50"/>
      <c r="J82" s="50"/>
    </row>
    <row r="83" spans="1:10">
      <c r="A83" s="13" t="s">
        <v>1086</v>
      </c>
      <c r="B83" s="594" t="s">
        <v>3166</v>
      </c>
      <c r="C83" s="896"/>
      <c r="D83" s="896"/>
      <c r="E83" s="896"/>
      <c r="F83" s="896"/>
      <c r="G83" s="896"/>
      <c r="H83" s="896"/>
      <c r="I83" s="896"/>
      <c r="J83" s="896"/>
    </row>
    <row r="84" spans="1:10">
      <c r="A84" s="13" t="s">
        <v>2194</v>
      </c>
      <c r="B84" s="594" t="s">
        <v>3167</v>
      </c>
      <c r="C84" s="896"/>
      <c r="D84" s="896"/>
      <c r="E84" s="896"/>
      <c r="F84" s="896"/>
      <c r="G84" s="896"/>
      <c r="H84" s="896"/>
      <c r="I84" s="896"/>
      <c r="J84" s="896"/>
    </row>
    <row r="85" spans="1:10">
      <c r="A85" s="13" t="s">
        <v>1088</v>
      </c>
      <c r="B85" s="594" t="s">
        <v>3168</v>
      </c>
      <c r="C85" s="896"/>
      <c r="D85" s="896"/>
      <c r="E85" s="896"/>
      <c r="F85" s="896"/>
      <c r="G85" s="896"/>
      <c r="H85" s="896"/>
      <c r="I85" s="896"/>
      <c r="J85" s="896"/>
    </row>
    <row r="86" spans="1:10" ht="25.5">
      <c r="A86" s="13" t="s">
        <v>3076</v>
      </c>
      <c r="B86" s="594" t="s">
        <v>3169</v>
      </c>
      <c r="C86" s="896"/>
      <c r="D86" s="896"/>
      <c r="E86" s="896"/>
      <c r="F86" s="896"/>
      <c r="G86" s="896"/>
      <c r="H86" s="896"/>
      <c r="I86" s="896"/>
      <c r="J86" s="896"/>
    </row>
    <row r="87" spans="1:10">
      <c r="A87" s="13" t="s">
        <v>1090</v>
      </c>
      <c r="B87" s="594" t="s">
        <v>3170</v>
      </c>
      <c r="C87" s="896"/>
      <c r="D87" s="896"/>
      <c r="E87" s="896"/>
      <c r="F87" s="896"/>
      <c r="G87" s="896"/>
      <c r="H87" s="896"/>
      <c r="I87" s="896"/>
      <c r="J87" s="896"/>
    </row>
    <row r="88" spans="1:10">
      <c r="A88" s="13" t="s">
        <v>1563</v>
      </c>
      <c r="B88" s="594" t="s">
        <v>2874</v>
      </c>
      <c r="C88" s="896"/>
      <c r="D88" s="896"/>
      <c r="E88" s="896"/>
      <c r="F88" s="896"/>
      <c r="G88" s="896"/>
      <c r="H88" s="896"/>
      <c r="I88" s="896"/>
      <c r="J88" s="896"/>
    </row>
    <row r="89" spans="1:10">
      <c r="A89" s="13" t="s">
        <v>1092</v>
      </c>
      <c r="B89" s="594" t="s">
        <v>3171</v>
      </c>
      <c r="C89" s="896"/>
      <c r="D89" s="896"/>
      <c r="E89" s="896"/>
      <c r="F89" s="896"/>
      <c r="G89" s="896"/>
      <c r="H89" s="896"/>
      <c r="I89" s="896"/>
      <c r="J89" s="896"/>
    </row>
    <row r="90" spans="1:10" ht="15.75" thickBot="1"/>
    <row r="91" spans="1:10">
      <c r="A91" s="605" t="s">
        <v>5668</v>
      </c>
      <c r="B91" s="602"/>
      <c r="C91" s="602"/>
      <c r="D91" s="606"/>
      <c r="E91" s="602"/>
      <c r="F91" s="602"/>
      <c r="G91" s="606"/>
      <c r="H91" s="606"/>
      <c r="I91" s="606"/>
      <c r="J91" s="607"/>
    </row>
    <row r="92" spans="1:10">
      <c r="A92" s="321" t="s">
        <v>5610</v>
      </c>
      <c r="B92" s="322" t="s">
        <v>77</v>
      </c>
      <c r="C92" s="322" t="s">
        <v>5611</v>
      </c>
      <c r="D92" s="322" t="s">
        <v>5612</v>
      </c>
      <c r="E92" s="322" t="s">
        <v>5634</v>
      </c>
      <c r="F92" s="322" t="s">
        <v>5601</v>
      </c>
      <c r="G92" s="578" t="s">
        <v>5635</v>
      </c>
      <c r="H92" s="578"/>
      <c r="I92" s="578"/>
      <c r="J92" s="579"/>
    </row>
    <row r="93" spans="1:10" ht="25.5">
      <c r="A93" s="323" t="s">
        <v>5613</v>
      </c>
      <c r="B93" s="333" t="s">
        <v>484</v>
      </c>
      <c r="C93" s="325">
        <v>0</v>
      </c>
      <c r="D93" s="325">
        <v>0</v>
      </c>
      <c r="E93" s="192" t="s">
        <v>5674</v>
      </c>
      <c r="F93" s="325">
        <f>IF(AND(C93&lt;&gt;"",D93&lt;&gt;""),D93-C93,"")</f>
        <v>0</v>
      </c>
      <c r="G93" s="608"/>
      <c r="H93" s="608"/>
      <c r="I93" s="608"/>
      <c r="J93" s="609"/>
    </row>
    <row r="94" spans="1:10" ht="25.5">
      <c r="A94" s="326" t="s">
        <v>5614</v>
      </c>
      <c r="B94" s="333" t="s">
        <v>484</v>
      </c>
      <c r="C94" s="327">
        <v>1</v>
      </c>
      <c r="D94" s="327">
        <v>0</v>
      </c>
      <c r="E94" s="310" t="s">
        <v>5675</v>
      </c>
      <c r="F94" s="327">
        <f>IF(AND(C94&lt;&gt;"",D94&lt;&gt;""),D94-C94,"")</f>
        <v>-1</v>
      </c>
      <c r="G94" s="610"/>
      <c r="H94" s="610"/>
      <c r="I94" s="610"/>
      <c r="J94" s="611"/>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610"/>
      <c r="H96" s="610"/>
      <c r="I96" s="610"/>
      <c r="J96" s="611"/>
    </row>
    <row r="97" spans="1:10">
      <c r="A97" s="323" t="s">
        <v>5168</v>
      </c>
      <c r="B97" s="333" t="s">
        <v>484</v>
      </c>
      <c r="C97" s="327">
        <v>1</v>
      </c>
      <c r="D97" s="327">
        <v>0</v>
      </c>
      <c r="E97" s="310" t="s">
        <v>5675</v>
      </c>
      <c r="F97" s="325">
        <f>IF(AND(C97&lt;&gt;"",D97&lt;&gt;""),D97-C97,"")</f>
        <v>-1</v>
      </c>
      <c r="G97" s="328"/>
      <c r="H97" s="227"/>
      <c r="I97" s="227"/>
      <c r="J97" s="329"/>
    </row>
    <row r="98" spans="1:10" ht="15.75">
      <c r="A98" s="585" t="s">
        <v>5636</v>
      </c>
      <c r="B98" s="586"/>
      <c r="C98" s="330">
        <f>IFERROR(AVERAGE(C93:C97),"")</f>
        <v>0.8</v>
      </c>
      <c r="D98" s="330">
        <f>IFERROR(AVERAGE(D93:D97),"")</f>
        <v>0</v>
      </c>
      <c r="E98" s="589" t="s">
        <v>5637</v>
      </c>
      <c r="F98" s="589"/>
      <c r="G98" s="589"/>
      <c r="H98" s="589"/>
      <c r="I98" s="589"/>
      <c r="J98" s="590"/>
    </row>
    <row r="99" spans="1:10">
      <c r="A99" s="331"/>
      <c r="B99" s="316"/>
      <c r="C99" s="316"/>
      <c r="D99" s="316"/>
      <c r="E99" s="316"/>
      <c r="F99" s="316"/>
      <c r="G99" s="316"/>
      <c r="H99" s="227"/>
      <c r="I99" s="227"/>
      <c r="J99" s="329"/>
    </row>
    <row r="100" spans="1:10">
      <c r="A100" s="574" t="s">
        <v>5669</v>
      </c>
      <c r="B100" s="582"/>
      <c r="C100" s="582"/>
      <c r="D100" s="575"/>
      <c r="E100" s="582"/>
      <c r="F100" s="582"/>
      <c r="G100" s="575"/>
      <c r="H100" s="575"/>
      <c r="I100" s="575"/>
      <c r="J100" s="576"/>
    </row>
    <row r="101" spans="1:10">
      <c r="A101" s="321" t="s">
        <v>4946</v>
      </c>
      <c r="B101" s="322" t="s">
        <v>77</v>
      </c>
      <c r="C101" s="322" t="s">
        <v>5676</v>
      </c>
      <c r="D101" s="322" t="s">
        <v>482</v>
      </c>
      <c r="E101" s="322" t="s">
        <v>572</v>
      </c>
      <c r="F101" s="322" t="s">
        <v>5639</v>
      </c>
      <c r="G101" s="578" t="s">
        <v>5640</v>
      </c>
      <c r="H101" s="578"/>
      <c r="I101" s="578"/>
      <c r="J101" s="579"/>
    </row>
    <row r="102" spans="1:10" ht="25.5">
      <c r="A102" s="326" t="s">
        <v>5602</v>
      </c>
      <c r="B102" s="333" t="s">
        <v>484</v>
      </c>
      <c r="C102" s="332" t="s">
        <v>679</v>
      </c>
      <c r="D102" s="324" t="s">
        <v>679</v>
      </c>
      <c r="E102" s="332">
        <f>IF(D102="Yes",1,0)</f>
        <v>0</v>
      </c>
      <c r="F102" s="580"/>
      <c r="G102" s="580"/>
      <c r="H102" s="580"/>
      <c r="I102" s="580"/>
      <c r="J102" s="581"/>
    </row>
    <row r="103" spans="1:10">
      <c r="A103" s="323" t="s">
        <v>995</v>
      </c>
      <c r="B103" s="333" t="s">
        <v>484</v>
      </c>
      <c r="C103" s="332" t="s">
        <v>679</v>
      </c>
      <c r="D103" s="324" t="s">
        <v>679</v>
      </c>
      <c r="E103" s="324">
        <f t="shared" ref="E103:E109" si="0">IF(D103="Yes",1,0)</f>
        <v>0</v>
      </c>
      <c r="F103" s="580"/>
      <c r="G103" s="580"/>
      <c r="H103" s="580"/>
      <c r="I103" s="580"/>
      <c r="J103" s="581"/>
    </row>
    <row r="104" spans="1:10">
      <c r="A104" s="326" t="s">
        <v>5603</v>
      </c>
      <c r="B104" s="333" t="s">
        <v>484</v>
      </c>
      <c r="C104" s="332" t="s">
        <v>679</v>
      </c>
      <c r="D104" s="324" t="s">
        <v>679</v>
      </c>
      <c r="E104" s="332">
        <f t="shared" si="0"/>
        <v>0</v>
      </c>
      <c r="F104" s="580"/>
      <c r="G104" s="580"/>
      <c r="H104" s="580"/>
      <c r="I104" s="580"/>
      <c r="J104" s="581"/>
    </row>
    <row r="105" spans="1:10">
      <c r="A105" s="323" t="s">
        <v>5617</v>
      </c>
      <c r="B105" s="333" t="s">
        <v>484</v>
      </c>
      <c r="C105" s="332" t="s">
        <v>679</v>
      </c>
      <c r="D105" s="324" t="s">
        <v>679</v>
      </c>
      <c r="E105" s="324">
        <f t="shared" si="0"/>
        <v>0</v>
      </c>
      <c r="F105" s="580"/>
      <c r="G105" s="580"/>
      <c r="H105" s="580"/>
      <c r="I105" s="580"/>
      <c r="J105" s="581"/>
    </row>
    <row r="106" spans="1:10" ht="38.25">
      <c r="A106" s="326" t="s">
        <v>5618</v>
      </c>
      <c r="B106" s="333" t="s">
        <v>484</v>
      </c>
      <c r="C106" s="332" t="s">
        <v>679</v>
      </c>
      <c r="D106" s="324" t="s">
        <v>679</v>
      </c>
      <c r="E106" s="332">
        <f t="shared" si="0"/>
        <v>0</v>
      </c>
      <c r="F106" s="580"/>
      <c r="G106" s="580"/>
      <c r="H106" s="580"/>
      <c r="I106" s="580"/>
      <c r="J106" s="581"/>
    </row>
    <row r="107" spans="1:10" ht="25.5">
      <c r="A107" s="323" t="s">
        <v>5619</v>
      </c>
      <c r="B107" s="333" t="s">
        <v>484</v>
      </c>
      <c r="C107" s="332" t="s">
        <v>679</v>
      </c>
      <c r="D107" s="324" t="s">
        <v>679</v>
      </c>
      <c r="E107" s="324">
        <f t="shared" si="0"/>
        <v>0</v>
      </c>
      <c r="F107" s="580"/>
      <c r="G107" s="580"/>
      <c r="H107" s="580"/>
      <c r="I107" s="580"/>
      <c r="J107" s="581"/>
    </row>
    <row r="108" spans="1:10">
      <c r="A108" s="326" t="s">
        <v>5604</v>
      </c>
      <c r="B108" s="333" t="s">
        <v>484</v>
      </c>
      <c r="C108" s="332" t="s">
        <v>679</v>
      </c>
      <c r="D108" s="324" t="s">
        <v>679</v>
      </c>
      <c r="E108" s="332">
        <f t="shared" si="0"/>
        <v>0</v>
      </c>
      <c r="F108" s="580"/>
      <c r="G108" s="580"/>
      <c r="H108" s="580"/>
      <c r="I108" s="580"/>
      <c r="J108" s="581"/>
    </row>
    <row r="109" spans="1:10" ht="25.5">
      <c r="A109" s="323" t="s">
        <v>5605</v>
      </c>
      <c r="B109" s="333" t="s">
        <v>484</v>
      </c>
      <c r="C109" s="332" t="s">
        <v>679</v>
      </c>
      <c r="D109" s="324" t="s">
        <v>679</v>
      </c>
      <c r="E109" s="324">
        <f t="shared" si="0"/>
        <v>0</v>
      </c>
      <c r="F109" s="580"/>
      <c r="G109" s="580"/>
      <c r="H109" s="580"/>
      <c r="I109" s="580"/>
      <c r="J109" s="581"/>
    </row>
    <row r="110" spans="1:10" ht="15.75">
      <c r="A110" s="585" t="s">
        <v>5641</v>
      </c>
      <c r="B110" s="586"/>
      <c r="C110" s="587" t="str">
        <f>IFERROR(SUM(E102:E109)/COUNTIF(C102:C109,"Yes"),"")</f>
        <v/>
      </c>
      <c r="D110" s="588"/>
      <c r="E110" s="589" t="s">
        <v>5642</v>
      </c>
      <c r="F110" s="589"/>
      <c r="G110" s="589"/>
      <c r="H110" s="589"/>
      <c r="I110" s="589"/>
      <c r="J110" s="590"/>
    </row>
    <row r="111" spans="1:10">
      <c r="A111" s="331"/>
      <c r="B111" s="316"/>
      <c r="C111" s="316"/>
      <c r="D111" s="316"/>
      <c r="E111" s="316"/>
      <c r="F111" s="316"/>
      <c r="G111" s="316"/>
      <c r="H111" s="227"/>
      <c r="I111" s="227"/>
      <c r="J111" s="329"/>
    </row>
    <row r="112" spans="1:10">
      <c r="A112" s="574" t="s">
        <v>5670</v>
      </c>
      <c r="B112" s="582"/>
      <c r="C112" s="582"/>
      <c r="D112" s="575"/>
      <c r="E112" s="582"/>
      <c r="F112" s="582"/>
      <c r="G112" s="575"/>
      <c r="H112" s="575"/>
      <c r="I112" s="575"/>
      <c r="J112" s="576"/>
    </row>
    <row r="113" spans="1:10">
      <c r="A113" s="321" t="s">
        <v>5643</v>
      </c>
      <c r="B113" s="322" t="s">
        <v>77</v>
      </c>
      <c r="C113" s="322" t="s">
        <v>5620</v>
      </c>
      <c r="D113" s="322" t="s">
        <v>5621</v>
      </c>
      <c r="E113" s="322" t="s">
        <v>5622</v>
      </c>
      <c r="F113" s="322" t="s">
        <v>5644</v>
      </c>
      <c r="G113" s="578" t="s">
        <v>5645</v>
      </c>
      <c r="H113" s="578"/>
      <c r="I113" s="578"/>
      <c r="J113" s="579"/>
    </row>
    <row r="114" spans="1:10" ht="25.5">
      <c r="A114" s="326" t="s">
        <v>5623</v>
      </c>
      <c r="B114" s="332" t="s">
        <v>484</v>
      </c>
      <c r="C114" s="332" t="s">
        <v>1096</v>
      </c>
      <c r="D114" s="332" t="s">
        <v>1096</v>
      </c>
      <c r="E114" s="332" t="s">
        <v>1096</v>
      </c>
      <c r="F114" s="332" t="s">
        <v>348</v>
      </c>
      <c r="G114" s="583"/>
      <c r="H114" s="583"/>
      <c r="I114" s="583"/>
      <c r="J114" s="584"/>
    </row>
    <row r="115" spans="1:10">
      <c r="A115" s="323" t="s">
        <v>5624</v>
      </c>
      <c r="B115" s="332" t="s">
        <v>484</v>
      </c>
      <c r="C115" s="332" t="s">
        <v>1096</v>
      </c>
      <c r="D115" s="332" t="s">
        <v>1096</v>
      </c>
      <c r="E115" s="332" t="s">
        <v>1096</v>
      </c>
      <c r="F115" s="332" t="s">
        <v>348</v>
      </c>
      <c r="G115" s="583"/>
      <c r="H115" s="583"/>
      <c r="I115" s="583"/>
      <c r="J115" s="584"/>
    </row>
    <row r="116" spans="1:10">
      <c r="A116" s="326" t="s">
        <v>5646</v>
      </c>
      <c r="B116" s="332" t="s">
        <v>484</v>
      </c>
      <c r="C116" s="332" t="s">
        <v>1096</v>
      </c>
      <c r="D116" s="332" t="s">
        <v>1096</v>
      </c>
      <c r="E116" s="332" t="s">
        <v>1096</v>
      </c>
      <c r="F116" s="332" t="s">
        <v>348</v>
      </c>
      <c r="G116" s="583"/>
      <c r="H116" s="583"/>
      <c r="I116" s="583"/>
      <c r="J116" s="584"/>
    </row>
    <row r="117" spans="1:10">
      <c r="A117" s="323" t="s">
        <v>5625</v>
      </c>
      <c r="B117" s="332" t="s">
        <v>484</v>
      </c>
      <c r="C117" s="332" t="s">
        <v>1096</v>
      </c>
      <c r="D117" s="332" t="s">
        <v>1096</v>
      </c>
      <c r="E117" s="332" t="s">
        <v>1096</v>
      </c>
      <c r="F117" s="332" t="s">
        <v>348</v>
      </c>
      <c r="G117" s="583"/>
      <c r="H117" s="583"/>
      <c r="I117" s="583"/>
      <c r="J117" s="584"/>
    </row>
    <row r="118" spans="1:10" ht="25.5">
      <c r="A118" s="326" t="s">
        <v>5626</v>
      </c>
      <c r="B118" s="332" t="s">
        <v>484</v>
      </c>
      <c r="C118" s="332" t="s">
        <v>1096</v>
      </c>
      <c r="D118" s="332" t="s">
        <v>1096</v>
      </c>
      <c r="E118" s="332" t="s">
        <v>1096</v>
      </c>
      <c r="F118" s="332" t="s">
        <v>348</v>
      </c>
      <c r="G118" s="583"/>
      <c r="H118" s="583"/>
      <c r="I118" s="583"/>
      <c r="J118" s="584"/>
    </row>
    <row r="119" spans="1:10" ht="15.75">
      <c r="A119" s="585" t="s">
        <v>5677</v>
      </c>
      <c r="B119" s="586"/>
      <c r="C119" s="587">
        <f>IFERROR(COUNTIF(E114:E118,"Yes")/COUNTA(A114:A118),"")</f>
        <v>0</v>
      </c>
      <c r="D119" s="588"/>
      <c r="E119" s="589" t="s">
        <v>5648</v>
      </c>
      <c r="F119" s="589"/>
      <c r="G119" s="589"/>
      <c r="H119" s="589"/>
      <c r="I119" s="589"/>
      <c r="J119" s="590"/>
    </row>
    <row r="120" spans="1:10">
      <c r="A120" s="331"/>
      <c r="B120" s="316"/>
      <c r="C120" s="316"/>
      <c r="D120" s="316"/>
      <c r="E120" s="316"/>
      <c r="F120" s="316"/>
      <c r="G120" s="599"/>
      <c r="H120" s="599"/>
      <c r="I120" s="599"/>
      <c r="J120" s="600"/>
    </row>
    <row r="121" spans="1:10">
      <c r="A121" s="574" t="s">
        <v>5671</v>
      </c>
      <c r="B121" s="582"/>
      <c r="C121" s="582"/>
      <c r="D121" s="575"/>
      <c r="E121" s="582"/>
      <c r="F121" s="582"/>
      <c r="G121" s="575"/>
      <c r="H121" s="575"/>
      <c r="I121" s="575"/>
      <c r="J121" s="576"/>
    </row>
    <row r="122" spans="1:10">
      <c r="A122" s="322" t="s">
        <v>5606</v>
      </c>
      <c r="B122" s="322" t="s">
        <v>77</v>
      </c>
      <c r="C122" s="322" t="s">
        <v>5627</v>
      </c>
      <c r="D122" s="322" t="s">
        <v>5628</v>
      </c>
      <c r="E122" s="322" t="s">
        <v>5629</v>
      </c>
      <c r="F122" s="322" t="s">
        <v>5630</v>
      </c>
      <c r="G122" s="578" t="s">
        <v>5678</v>
      </c>
      <c r="H122" s="578"/>
      <c r="I122" s="578"/>
      <c r="J122" s="578"/>
    </row>
    <row r="123" spans="1:10">
      <c r="A123" s="328" t="s">
        <v>153</v>
      </c>
      <c r="B123" s="324" t="s">
        <v>484</v>
      </c>
      <c r="C123" s="324"/>
      <c r="D123" s="324"/>
      <c r="E123" s="324"/>
      <c r="F123" s="325" t="str">
        <f>IFERROR(D123/C123,"")</f>
        <v/>
      </c>
      <c r="G123" s="572"/>
      <c r="H123" s="572"/>
      <c r="I123" s="572"/>
      <c r="J123" s="572"/>
    </row>
    <row r="124" spans="1:10">
      <c r="A124" s="335" t="s">
        <v>155</v>
      </c>
      <c r="B124" s="332" t="s">
        <v>484</v>
      </c>
      <c r="C124" s="332"/>
      <c r="D124" s="332"/>
      <c r="E124" s="332"/>
      <c r="F124" s="327" t="str">
        <f>IFERROR(D124/C124,"")</f>
        <v/>
      </c>
      <c r="G124" s="572"/>
      <c r="H124" s="572"/>
      <c r="I124" s="572"/>
      <c r="J124" s="572"/>
    </row>
    <row r="125" spans="1:10">
      <c r="A125" s="328" t="s">
        <v>4821</v>
      </c>
      <c r="B125" s="324" t="s">
        <v>484</v>
      </c>
      <c r="C125" s="324"/>
      <c r="D125" s="324"/>
      <c r="E125" s="324"/>
      <c r="F125" s="325" t="str">
        <f>IFERROR(D125/C125,"")</f>
        <v/>
      </c>
      <c r="G125" s="572"/>
      <c r="H125" s="572"/>
      <c r="I125" s="572"/>
      <c r="J125" s="572"/>
    </row>
    <row r="126" spans="1:10">
      <c r="A126" s="335" t="s">
        <v>957</v>
      </c>
      <c r="B126" s="332" t="s">
        <v>484</v>
      </c>
      <c r="C126" s="332"/>
      <c r="D126" s="332"/>
      <c r="E126" s="332"/>
      <c r="F126" s="327" t="str">
        <f>IFERROR(D126/C126,"")</f>
        <v/>
      </c>
      <c r="G126" s="572"/>
      <c r="H126" s="572"/>
      <c r="I126" s="572"/>
      <c r="J126" s="572"/>
    </row>
    <row r="127" spans="1:10">
      <c r="A127" s="597" t="s">
        <v>5649</v>
      </c>
      <c r="B127" s="597"/>
      <c r="C127" s="597"/>
      <c r="D127" s="597"/>
      <c r="E127" s="589" t="s">
        <v>5650</v>
      </c>
      <c r="F127" s="589"/>
      <c r="G127" s="589"/>
      <c r="H127" s="589"/>
      <c r="I127" s="589"/>
      <c r="J127" s="589"/>
    </row>
    <row r="128" spans="1:10">
      <c r="A128" s="597"/>
      <c r="B128" s="597"/>
      <c r="C128" s="597"/>
      <c r="D128" s="597"/>
      <c r="E128" s="589"/>
      <c r="F128" s="589"/>
      <c r="G128" s="589"/>
      <c r="H128" s="589"/>
      <c r="I128" s="589"/>
      <c r="J128" s="589"/>
    </row>
    <row r="129" spans="1:10">
      <c r="A129" s="575" t="s">
        <v>5672</v>
      </c>
      <c r="B129" s="575"/>
      <c r="C129" s="575"/>
      <c r="D129" s="575"/>
      <c r="E129" s="575"/>
      <c r="F129" s="575"/>
      <c r="G129" s="575"/>
      <c r="H129" s="575"/>
      <c r="I129" s="575"/>
      <c r="J129" s="575"/>
    </row>
    <row r="130" spans="1:10">
      <c r="A130" s="322" t="s">
        <v>4946</v>
      </c>
      <c r="B130" s="322" t="s">
        <v>77</v>
      </c>
      <c r="C130" s="322" t="s">
        <v>5638</v>
      </c>
      <c r="D130" s="322" t="s">
        <v>482</v>
      </c>
      <c r="E130" s="322" t="s">
        <v>572</v>
      </c>
      <c r="F130" s="322" t="s">
        <v>944</v>
      </c>
      <c r="G130" s="578" t="s">
        <v>5640</v>
      </c>
      <c r="H130" s="578"/>
      <c r="I130" s="578"/>
      <c r="J130" s="578"/>
    </row>
    <row r="131" spans="1:10" ht="25.5">
      <c r="A131" s="328" t="s">
        <v>5607</v>
      </c>
      <c r="B131" s="324" t="s">
        <v>484</v>
      </c>
      <c r="C131" s="324" t="s">
        <v>392</v>
      </c>
      <c r="D131" s="324" t="s">
        <v>1096</v>
      </c>
      <c r="E131" s="324">
        <f t="shared" ref="E131:E136" si="1">IF(D131="Yes",1,0)</f>
        <v>0</v>
      </c>
      <c r="F131" s="324"/>
      <c r="G131" s="572"/>
      <c r="H131" s="572"/>
      <c r="I131" s="572"/>
      <c r="J131" s="572"/>
    </row>
    <row r="132" spans="1:10">
      <c r="A132" s="335" t="s">
        <v>5608</v>
      </c>
      <c r="B132" s="324" t="s">
        <v>484</v>
      </c>
      <c r="C132" s="332" t="s">
        <v>392</v>
      </c>
      <c r="D132" s="324" t="s">
        <v>1096</v>
      </c>
      <c r="E132" s="332">
        <f t="shared" si="1"/>
        <v>0</v>
      </c>
      <c r="F132" s="332"/>
      <c r="G132" s="572"/>
      <c r="H132" s="572"/>
      <c r="I132" s="572"/>
      <c r="J132" s="572"/>
    </row>
    <row r="133" spans="1:10" ht="25.5">
      <c r="A133" s="328" t="s">
        <v>5609</v>
      </c>
      <c r="B133" s="324" t="s">
        <v>484</v>
      </c>
      <c r="C133" s="324" t="s">
        <v>392</v>
      </c>
      <c r="D133" s="324" t="s">
        <v>1096</v>
      </c>
      <c r="E133" s="324">
        <f t="shared" si="1"/>
        <v>0</v>
      </c>
      <c r="F133" s="324"/>
      <c r="G133" s="572"/>
      <c r="H133" s="572"/>
      <c r="I133" s="572"/>
      <c r="J133" s="572"/>
    </row>
    <row r="134" spans="1:10">
      <c r="A134" s="335" t="s">
        <v>5631</v>
      </c>
      <c r="B134" s="324" t="s">
        <v>484</v>
      </c>
      <c r="C134" s="332" t="s">
        <v>392</v>
      </c>
      <c r="D134" s="324" t="s">
        <v>1096</v>
      </c>
      <c r="E134" s="332">
        <f t="shared" si="1"/>
        <v>0</v>
      </c>
      <c r="F134" s="332"/>
      <c r="G134" s="572"/>
      <c r="H134" s="572"/>
      <c r="I134" s="572"/>
      <c r="J134" s="572"/>
    </row>
    <row r="135" spans="1:10" ht="25.5">
      <c r="A135" s="328" t="s">
        <v>5632</v>
      </c>
      <c r="B135" s="324" t="s">
        <v>484</v>
      </c>
      <c r="C135" s="324" t="s">
        <v>392</v>
      </c>
      <c r="D135" s="324" t="s">
        <v>1096</v>
      </c>
      <c r="E135" s="324">
        <f t="shared" si="1"/>
        <v>0</v>
      </c>
      <c r="F135" s="324"/>
      <c r="G135" s="572"/>
      <c r="H135" s="572"/>
      <c r="I135" s="572"/>
      <c r="J135" s="572"/>
    </row>
    <row r="136" spans="1:10" ht="25.5">
      <c r="A136" s="335" t="s">
        <v>5633</v>
      </c>
      <c r="B136" s="324" t="s">
        <v>484</v>
      </c>
      <c r="C136" s="332" t="s">
        <v>392</v>
      </c>
      <c r="D136" s="332" t="s">
        <v>1096</v>
      </c>
      <c r="E136" s="332">
        <f t="shared" si="1"/>
        <v>0</v>
      </c>
      <c r="F136" s="332"/>
      <c r="G136" s="572"/>
      <c r="H136" s="572"/>
      <c r="I136" s="572"/>
      <c r="J136" s="572"/>
    </row>
    <row r="137" spans="1:10" ht="15.75">
      <c r="A137" s="930" t="s">
        <v>5651</v>
      </c>
      <c r="B137" s="586"/>
      <c r="C137" s="587">
        <f>IFERROR(SUM(E131:E136)/COUNTIF(C131:C136,"Yes"),"")</f>
        <v>0</v>
      </c>
      <c r="D137" s="588"/>
      <c r="E137" s="589" t="s">
        <v>5652</v>
      </c>
      <c r="F137" s="589"/>
      <c r="G137" s="589"/>
      <c r="H137" s="589"/>
      <c r="I137" s="589"/>
      <c r="J137" s="589"/>
    </row>
    <row r="138" spans="1:10">
      <c r="A138" s="192"/>
      <c r="B138" s="192"/>
      <c r="C138" s="192"/>
      <c r="D138" s="192"/>
      <c r="E138" s="192"/>
      <c r="F138" s="192"/>
      <c r="G138" s="192"/>
      <c r="H138" s="192"/>
      <c r="I138" s="192"/>
      <c r="J138" s="192"/>
    </row>
    <row r="139" spans="1:10">
      <c r="A139" s="575" t="s">
        <v>5673</v>
      </c>
      <c r="B139" s="582"/>
      <c r="C139" s="582"/>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594" t="s">
        <v>3292</v>
      </c>
      <c r="C141" s="582"/>
      <c r="D141" s="582"/>
      <c r="E141" s="582"/>
      <c r="F141" s="582"/>
      <c r="G141" s="582"/>
      <c r="H141" s="582"/>
      <c r="I141" s="582"/>
      <c r="J141" s="582"/>
    </row>
    <row r="142" spans="1:10" ht="25.5">
      <c r="A142" s="315" t="s">
        <v>2090</v>
      </c>
      <c r="B142" s="594" t="s">
        <v>3293</v>
      </c>
      <c r="C142" s="582"/>
      <c r="D142" s="582"/>
      <c r="E142" s="582"/>
      <c r="F142" s="582"/>
      <c r="G142" s="582"/>
      <c r="H142" s="582"/>
      <c r="I142" s="582"/>
      <c r="J142" s="582"/>
    </row>
    <row r="143" spans="1:10">
      <c r="A143" s="315" t="s">
        <v>1089</v>
      </c>
      <c r="B143" s="594" t="s">
        <v>3294</v>
      </c>
      <c r="C143" s="582"/>
      <c r="D143" s="582"/>
      <c r="E143" s="582"/>
      <c r="F143" s="582"/>
      <c r="G143" s="582"/>
      <c r="H143" s="582"/>
      <c r="I143" s="582"/>
      <c r="J143" s="582"/>
    </row>
    <row r="144" spans="1:10">
      <c r="A144" s="315" t="s">
        <v>1090</v>
      </c>
      <c r="B144" s="594" t="s">
        <v>3295</v>
      </c>
      <c r="C144" s="582"/>
      <c r="D144" s="582"/>
      <c r="E144" s="582"/>
      <c r="F144" s="582"/>
      <c r="G144" s="582"/>
      <c r="H144" s="582"/>
      <c r="I144" s="582"/>
      <c r="J144" s="582"/>
    </row>
    <row r="145" spans="1:10">
      <c r="A145" s="315" t="s">
        <v>1088</v>
      </c>
      <c r="B145" s="594" t="s">
        <v>3296</v>
      </c>
      <c r="C145" s="582"/>
      <c r="D145" s="582"/>
      <c r="E145" s="582"/>
      <c r="F145" s="582"/>
      <c r="G145" s="582"/>
      <c r="H145" s="582"/>
      <c r="I145" s="582"/>
      <c r="J145" s="582"/>
    </row>
    <row r="146" spans="1:10" ht="25.5">
      <c r="A146" s="315" t="s">
        <v>3297</v>
      </c>
      <c r="B146" s="594" t="s">
        <v>3298</v>
      </c>
      <c r="C146" s="582"/>
      <c r="D146" s="582"/>
      <c r="E146" s="582"/>
      <c r="F146" s="582"/>
      <c r="G146" s="582"/>
      <c r="H146" s="582"/>
      <c r="I146" s="582"/>
      <c r="J146" s="582"/>
    </row>
    <row r="147" spans="1:10">
      <c r="A147" s="315" t="s">
        <v>1563</v>
      </c>
      <c r="B147" s="594" t="s">
        <v>1776</v>
      </c>
      <c r="C147" s="582"/>
      <c r="D147" s="582"/>
      <c r="E147" s="582"/>
      <c r="F147" s="582"/>
      <c r="G147" s="582"/>
      <c r="H147" s="582"/>
      <c r="I147" s="582"/>
      <c r="J147" s="582"/>
    </row>
    <row r="148" spans="1:10">
      <c r="A148" s="227"/>
      <c r="B148" s="227"/>
      <c r="C148" s="227"/>
      <c r="D148" s="227"/>
      <c r="E148" s="227"/>
      <c r="F148" s="227"/>
      <c r="G148" s="227"/>
      <c r="H148" s="227"/>
      <c r="I148" s="227"/>
      <c r="J148" s="227"/>
    </row>
    <row r="149" spans="1:10" ht="18">
      <c r="A149" s="598" t="s">
        <v>5562</v>
      </c>
      <c r="B149" s="598"/>
      <c r="C149" s="598"/>
      <c r="D149" s="598"/>
      <c r="E149" s="598"/>
      <c r="F149" s="598"/>
      <c r="G149" s="598"/>
      <c r="H149" s="598"/>
      <c r="I149" s="227"/>
      <c r="J149" s="227"/>
    </row>
    <row r="150" spans="1:10">
      <c r="A150" s="272" t="s">
        <v>2</v>
      </c>
      <c r="B150" s="591" t="s">
        <v>5563</v>
      </c>
      <c r="C150" s="591"/>
      <c r="D150" s="591"/>
      <c r="E150" s="591"/>
      <c r="F150" s="591"/>
      <c r="G150" s="591"/>
      <c r="H150" s="591"/>
      <c r="I150" s="227"/>
      <c r="J150" s="227"/>
    </row>
    <row r="151" spans="1:10">
      <c r="A151" s="272" t="s">
        <v>5564</v>
      </c>
      <c r="B151" s="591" t="s">
        <v>5565</v>
      </c>
      <c r="C151" s="591"/>
      <c r="D151" s="591"/>
      <c r="E151" s="591"/>
      <c r="F151" s="591"/>
      <c r="G151" s="591"/>
      <c r="H151" s="591"/>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577" t="s">
        <v>5585</v>
      </c>
      <c r="C163" s="577"/>
      <c r="D163" s="577"/>
      <c r="E163" s="577" t="s">
        <v>5586</v>
      </c>
      <c r="F163" s="577"/>
      <c r="G163" s="577"/>
      <c r="H163" s="192"/>
      <c r="I163" s="227"/>
      <c r="J163" s="227"/>
    </row>
    <row r="164" spans="1:10">
      <c r="A164" s="287" t="s">
        <v>5571</v>
      </c>
      <c r="B164" s="577" t="s">
        <v>5587</v>
      </c>
      <c r="C164" s="577"/>
      <c r="D164" s="577"/>
      <c r="E164" s="577" t="s">
        <v>5588</v>
      </c>
      <c r="F164" s="577"/>
      <c r="G164" s="577"/>
      <c r="H164" s="192"/>
      <c r="I164" s="227"/>
      <c r="J164" s="227"/>
    </row>
    <row r="165" spans="1:10">
      <c r="A165" s="287" t="s">
        <v>5572</v>
      </c>
      <c r="B165" s="577" t="s">
        <v>5589</v>
      </c>
      <c r="C165" s="577"/>
      <c r="D165" s="577"/>
      <c r="E165" s="577" t="s">
        <v>5590</v>
      </c>
      <c r="F165" s="577"/>
      <c r="G165" s="577"/>
      <c r="H165" s="192"/>
      <c r="I165" s="227"/>
      <c r="J165" s="227"/>
    </row>
    <row r="166" spans="1:10">
      <c r="A166" s="287" t="s">
        <v>5168</v>
      </c>
      <c r="B166" s="577" t="s">
        <v>5591</v>
      </c>
      <c r="C166" s="577"/>
      <c r="D166" s="577"/>
      <c r="E166" s="577" t="s">
        <v>5592</v>
      </c>
      <c r="F166" s="577"/>
      <c r="G166" s="577"/>
      <c r="H166" s="192"/>
      <c r="I166" s="227"/>
      <c r="J166" s="227"/>
    </row>
    <row r="167" spans="1:10">
      <c r="A167" s="287" t="s">
        <v>5573</v>
      </c>
      <c r="B167" s="577" t="s">
        <v>5593</v>
      </c>
      <c r="C167" s="577"/>
      <c r="D167" s="577"/>
      <c r="E167" s="577" t="s">
        <v>5594</v>
      </c>
      <c r="F167" s="577"/>
      <c r="G167" s="577"/>
      <c r="H167" s="192"/>
      <c r="I167" s="227"/>
      <c r="J167" s="227"/>
    </row>
    <row r="168" spans="1:10">
      <c r="A168" s="287" t="s">
        <v>5574</v>
      </c>
      <c r="B168" s="577" t="s">
        <v>5595</v>
      </c>
      <c r="C168" s="577"/>
      <c r="D168" s="577"/>
      <c r="E168" s="577" t="s">
        <v>5596</v>
      </c>
      <c r="F168" s="577"/>
      <c r="G168" s="577"/>
      <c r="H168" s="192"/>
      <c r="I168" s="227"/>
      <c r="J168" s="227"/>
    </row>
    <row r="169" spans="1:10">
      <c r="A169" s="287" t="s">
        <v>178</v>
      </c>
      <c r="B169" s="577" t="s">
        <v>5597</v>
      </c>
      <c r="C169" s="577"/>
      <c r="D169" s="577"/>
      <c r="E169" s="577" t="s">
        <v>5598</v>
      </c>
      <c r="F169" s="577"/>
      <c r="G169" s="577"/>
      <c r="H169" s="192"/>
      <c r="I169" s="227"/>
      <c r="J169" s="227"/>
    </row>
    <row r="170" spans="1:10" ht="25.5">
      <c r="A170" s="287" t="s">
        <v>5575</v>
      </c>
      <c r="B170" s="577" t="s">
        <v>5599</v>
      </c>
      <c r="C170" s="577"/>
      <c r="D170" s="577"/>
      <c r="E170" s="577" t="s">
        <v>5600</v>
      </c>
      <c r="F170" s="577"/>
      <c r="G170" s="577"/>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575" t="s">
        <v>5694</v>
      </c>
      <c r="B177" s="575"/>
      <c r="C177" s="575"/>
      <c r="D177" s="575"/>
      <c r="E177" s="575"/>
      <c r="F177" s="575"/>
      <c r="G177" s="575"/>
      <c r="H177" s="575"/>
      <c r="I177" s="575"/>
      <c r="J177" s="575"/>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5" t="s">
        <v>5695</v>
      </c>
      <c r="B188" s="575"/>
      <c r="C188" s="575"/>
      <c r="D188" s="575"/>
      <c r="E188" s="575"/>
      <c r="F188" s="575"/>
      <c r="G188" s="575"/>
      <c r="H188" s="575"/>
      <c r="I188" s="575"/>
      <c r="J188" s="575"/>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5" t="s">
        <v>5696</v>
      </c>
      <c r="B198" s="575"/>
      <c r="C198" s="575"/>
      <c r="D198" s="575"/>
      <c r="E198" s="575"/>
      <c r="F198" s="575"/>
      <c r="G198" s="575"/>
      <c r="H198" s="575"/>
      <c r="I198" s="575"/>
      <c r="J198" s="575"/>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5" t="s">
        <v>5697</v>
      </c>
      <c r="B210" s="575"/>
      <c r="C210" s="575"/>
      <c r="D210" s="575"/>
      <c r="E210" s="575"/>
      <c r="F210" s="575"/>
      <c r="G210" s="575"/>
      <c r="H210" s="575"/>
      <c r="I210" s="575"/>
      <c r="J210" s="575"/>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599"/>
      <c r="H232" s="599"/>
      <c r="I232" s="599"/>
      <c r="J232" s="599"/>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489" priority="21">
      <formula>B93="Complete"</formula>
    </cfRule>
    <cfRule type="expression" dxfId="488" priority="22">
      <formula>B93="In Progress"</formula>
    </cfRule>
    <cfRule type="expression" dxfId="487" priority="23">
      <formula>B93="At Risk"</formula>
    </cfRule>
    <cfRule type="expression" dxfId="486" priority="24">
      <formula>B93="Blocked"</formula>
    </cfRule>
    <cfRule type="expression" dxfId="485" priority="25">
      <formula>B93="Not Started"</formula>
    </cfRule>
  </conditionalFormatting>
  <conditionalFormatting sqref="B102:B109">
    <cfRule type="expression" dxfId="484" priority="1">
      <formula>B102="Complete"</formula>
    </cfRule>
    <cfRule type="expression" dxfId="483" priority="2">
      <formula>B102="In Progress"</formula>
    </cfRule>
    <cfRule type="expression" dxfId="482" priority="3">
      <formula>B102="At Risk"</formula>
    </cfRule>
    <cfRule type="expression" dxfId="481" priority="4">
      <formula>B102="Blocked"</formula>
    </cfRule>
    <cfRule type="expression" dxfId="480" priority="5">
      <formula>B102="Not Started"</formula>
    </cfRule>
  </conditionalFormatting>
  <conditionalFormatting sqref="B114:B118">
    <cfRule type="expression" dxfId="479" priority="30">
      <formula>B114="Not Started"</formula>
    </cfRule>
    <cfRule type="expression" dxfId="478" priority="29">
      <formula>B114="Blocked"</formula>
    </cfRule>
    <cfRule type="expression" dxfId="477" priority="28">
      <formula>B114="At Risk"</formula>
    </cfRule>
    <cfRule type="expression" dxfId="476" priority="27">
      <formula>B114="In Progress"</formula>
    </cfRule>
    <cfRule type="expression" dxfId="475" priority="26">
      <formula>B114="Complete"</formula>
    </cfRule>
  </conditionalFormatting>
  <conditionalFormatting sqref="B123:B126">
    <cfRule type="expression" dxfId="474" priority="6">
      <formula>B123="Complete"</formula>
    </cfRule>
    <cfRule type="expression" dxfId="473" priority="7">
      <formula>B123="In Progress"</formula>
    </cfRule>
    <cfRule type="expression" dxfId="472" priority="8">
      <formula>B123="At Risk"</formula>
    </cfRule>
    <cfRule type="expression" dxfId="471" priority="9">
      <formula>B123="Blocked"</formula>
    </cfRule>
    <cfRule type="expression" dxfId="470" priority="10">
      <formula>B123="Not Started"</formula>
    </cfRule>
  </conditionalFormatting>
  <conditionalFormatting sqref="B131:B136">
    <cfRule type="expression" dxfId="469" priority="11">
      <formula>B131="Complete"</formula>
    </cfRule>
    <cfRule type="expression" dxfId="468" priority="12">
      <formula>B131="In Progress"</formula>
    </cfRule>
    <cfRule type="expression" dxfId="467" priority="13">
      <formula>B131="At Risk"</formula>
    </cfRule>
    <cfRule type="expression" dxfId="466" priority="14">
      <formula>B131="Blocked"</formula>
    </cfRule>
    <cfRule type="expression" dxfId="465" priority="15">
      <formula>B131="Not Started"</formula>
    </cfRule>
  </conditionalFormatting>
  <conditionalFormatting sqref="B154:B161">
    <cfRule type="expression" dxfId="464" priority="82">
      <formula>B154="Yes"</formula>
    </cfRule>
    <cfRule type="expression" dxfId="463" priority="83">
      <formula>B154="N/A"</formula>
    </cfRule>
    <cfRule type="expression" dxfId="462" priority="84">
      <formula>B154="No"</formula>
    </cfRule>
  </conditionalFormatting>
  <conditionalFormatting sqref="B171:H171">
    <cfRule type="expression" dxfId="461" priority="86">
      <formula>COUNTIF($B$6:$B$13,"No")&gt;0</formula>
    </cfRule>
    <cfRule type="expression" dxfId="460"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459" priority="32">
      <formula>C102="No"</formula>
    </cfRule>
    <cfRule type="expression" dxfId="458" priority="31">
      <formula>C102="Yes"</formula>
    </cfRule>
    <cfRule type="expression" dxfId="457"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456" priority="17">
      <formula>C131="No"</formula>
    </cfRule>
    <cfRule type="expression" dxfId="455" priority="16">
      <formula>C131="Yes"</formula>
    </cfRule>
    <cfRule type="expression" dxfId="454"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453" priority="87">
      <formula>E5="Pass"</formula>
    </cfRule>
    <cfRule type="expression" dxfId="452" priority="88">
      <formula>E5="Verify"</formula>
    </cfRule>
    <cfRule type="expression" dxfId="451" priority="89">
      <formula>E5="Fail"</formula>
    </cfRule>
    <cfRule type="expression" dxfId="450" priority="90">
      <formula>E5="Not Started"</formula>
    </cfRule>
  </conditionalFormatting>
  <conditionalFormatting sqref="F3">
    <cfRule type="expression" dxfId="449" priority="91">
      <formula>F3="Yes"</formula>
    </cfRule>
    <cfRule type="expression" dxfId="448" priority="92">
      <formula>F3="No"</formula>
    </cfRule>
  </conditionalFormatting>
  <conditionalFormatting sqref="F114:F118">
    <cfRule type="expression" dxfId="447" priority="35">
      <formula>F114="Fail"</formula>
    </cfRule>
    <cfRule type="expression" dxfId="446" priority="36">
      <formula>F114="Pending"</formula>
    </cfRule>
    <cfRule type="expression" dxfId="445"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Lookup_Lists!$L$37:$L$39</xm:f>
          </x14:formula1>
          <xm:sqref>C114:E118 J2</xm:sqref>
        </x14:dataValidation>
        <x14:dataValidation type="list" allowBlank="1" showInputMessage="1" showErrorMessage="1" xr:uid="{130F8A96-35D8-4631-81FD-44D3A621BF22}">
          <x14:formula1>
            <xm:f>Lookup_Lists!$A$36:$A$42</xm:f>
          </x14:formula1>
          <xm:sqref>B93:B97 B102:B109 B131:B136</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topLeftCell="A46" workbookViewId="0">
      <selection activeCell="C82" sqref="C82:C86"/>
    </sheetView>
  </sheetViews>
  <sheetFormatPr defaultColWidth="8.710937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7109375" style="8" customWidth="1"/>
    <col min="14" max="16384" width="8.7109375" style="8"/>
  </cols>
  <sheetData>
    <row r="1" spans="1:10" ht="30" customHeight="1">
      <c r="A1" s="933" t="s">
        <v>3299</v>
      </c>
      <c r="B1" s="896"/>
      <c r="C1" s="896"/>
      <c r="D1" s="896"/>
      <c r="E1" s="896"/>
      <c r="F1" s="896"/>
      <c r="G1" s="896"/>
      <c r="H1" s="896"/>
      <c r="I1" s="896"/>
      <c r="J1" s="896"/>
    </row>
    <row r="2" spans="1:10" s="223" customFormat="1" ht="31.9" customHeight="1">
      <c r="A2" s="219" t="s">
        <v>142</v>
      </c>
      <c r="B2" s="220">
        <v>62</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46198.520956712957</v>
      </c>
      <c r="C3" s="225" t="s">
        <v>904</v>
      </c>
      <c r="D3" s="226" t="s">
        <v>721</v>
      </c>
      <c r="E3" s="219" t="s">
        <v>905</v>
      </c>
      <c r="F3" s="226" t="s">
        <v>3300</v>
      </c>
      <c r="G3" s="219" t="s">
        <v>907</v>
      </c>
      <c r="H3" s="226" t="s">
        <v>908</v>
      </c>
      <c r="I3" s="219" t="s">
        <v>551</v>
      </c>
      <c r="J3" s="226" t="s">
        <v>3301</v>
      </c>
    </row>
    <row r="4" spans="1:10" s="227" customFormat="1" ht="82.9" customHeight="1">
      <c r="A4" s="219" t="s">
        <v>161</v>
      </c>
      <c r="B4" s="226">
        <f>SUMPRODUCT(--(LEFT($A$1:$A$300,5)="B62-R"),--(($I$1:$I$300="Open")+($I$1:$I$300="In Progress")))</f>
        <v>0</v>
      </c>
      <c r="C4" s="219" t="s">
        <v>199</v>
      </c>
      <c r="D4" s="226">
        <v>0</v>
      </c>
      <c r="E4" s="219" t="s">
        <v>179</v>
      </c>
      <c r="F4" s="226">
        <v>0</v>
      </c>
      <c r="G4" s="219" t="s">
        <v>870</v>
      </c>
      <c r="H4" s="228" t="s">
        <v>3302</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604" t="s">
        <v>3303</v>
      </c>
      <c r="E6" s="582"/>
      <c r="F6" s="582"/>
      <c r="G6" s="582"/>
      <c r="H6" s="582"/>
      <c r="I6" s="582"/>
      <c r="J6" s="582"/>
    </row>
    <row r="7" spans="1:10" ht="14.25" customHeight="1">
      <c r="A7" s="129"/>
      <c r="B7" s="129"/>
      <c r="C7" s="129"/>
      <c r="D7" s="129"/>
      <c r="E7" s="129"/>
      <c r="F7" s="129"/>
      <c r="G7" s="129"/>
      <c r="H7" s="129"/>
      <c r="I7" s="129"/>
      <c r="J7" s="129"/>
    </row>
    <row r="8" spans="1:10" ht="17.25" customHeight="1">
      <c r="A8" s="575" t="s">
        <v>918</v>
      </c>
      <c r="B8" s="896"/>
      <c r="C8" s="896"/>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14.25" customHeight="1">
      <c r="A10" s="13" t="s">
        <v>376</v>
      </c>
      <c r="B10" s="13" t="s">
        <v>434</v>
      </c>
      <c r="C10" s="13" t="s">
        <v>923</v>
      </c>
      <c r="D10" s="13" t="s">
        <v>3304</v>
      </c>
      <c r="E10" s="13" t="s">
        <v>369</v>
      </c>
      <c r="F10" s="13">
        <v>1</v>
      </c>
      <c r="G10" s="13">
        <v>1</v>
      </c>
      <c r="H10" s="13" t="s">
        <v>677</v>
      </c>
      <c r="I10" s="13" t="s">
        <v>3305</v>
      </c>
      <c r="J10" s="13"/>
    </row>
    <row r="11" spans="1:10" ht="14.25" customHeight="1">
      <c r="A11" s="13" t="s">
        <v>376</v>
      </c>
      <c r="B11" s="13" t="s">
        <v>710</v>
      </c>
      <c r="C11" s="13" t="s">
        <v>919</v>
      </c>
      <c r="D11" s="13" t="s">
        <v>3306</v>
      </c>
      <c r="E11" s="13" t="s">
        <v>369</v>
      </c>
      <c r="F11" s="13">
        <v>1</v>
      </c>
      <c r="G11" s="13">
        <v>1</v>
      </c>
      <c r="H11" s="13" t="s">
        <v>677</v>
      </c>
      <c r="I11" s="13" t="s">
        <v>3305</v>
      </c>
      <c r="J11" s="13"/>
    </row>
    <row r="12" spans="1:10" ht="14.25" customHeight="1">
      <c r="A12" s="13" t="s">
        <v>376</v>
      </c>
      <c r="B12" s="13" t="s">
        <v>711</v>
      </c>
      <c r="C12" s="13" t="s">
        <v>933</v>
      </c>
      <c r="D12" s="13" t="s">
        <v>3307</v>
      </c>
      <c r="E12" s="13" t="s">
        <v>369</v>
      </c>
      <c r="F12" s="13">
        <v>1</v>
      </c>
      <c r="G12" s="13">
        <v>1</v>
      </c>
      <c r="H12" s="13" t="s">
        <v>677</v>
      </c>
      <c r="I12" s="13" t="s">
        <v>3305</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575" t="s">
        <v>936</v>
      </c>
      <c r="B15" s="896"/>
      <c r="C15" s="896"/>
      <c r="D15" s="85"/>
      <c r="E15" s="85"/>
      <c r="F15" s="85"/>
      <c r="G15" s="85"/>
      <c r="H15" s="85"/>
      <c r="I15" s="85"/>
      <c r="J15" s="85"/>
    </row>
    <row r="16" spans="1:10" ht="20.25" customHeight="1">
      <c r="A16" s="130" t="s">
        <v>275</v>
      </c>
      <c r="B16" s="130" t="s">
        <v>3308</v>
      </c>
      <c r="C16" s="130" t="s">
        <v>938</v>
      </c>
      <c r="D16" s="130" t="s">
        <v>884</v>
      </c>
      <c r="E16" s="130" t="s">
        <v>940</v>
      </c>
      <c r="F16" s="130" t="s">
        <v>941</v>
      </c>
      <c r="G16" s="130" t="s">
        <v>942</v>
      </c>
      <c r="H16" s="130" t="s">
        <v>943</v>
      </c>
      <c r="I16" s="130" t="s">
        <v>899</v>
      </c>
      <c r="J16" s="130" t="s">
        <v>944</v>
      </c>
    </row>
    <row r="17" spans="1:10" ht="14.25" customHeight="1">
      <c r="A17" s="13" t="s">
        <v>434</v>
      </c>
      <c r="B17" s="13" t="s">
        <v>677</v>
      </c>
      <c r="C17" s="13" t="s">
        <v>677</v>
      </c>
      <c r="D17" s="13" t="s">
        <v>677</v>
      </c>
      <c r="E17" s="13" t="s">
        <v>677</v>
      </c>
      <c r="F17" s="13" t="s">
        <v>677</v>
      </c>
      <c r="G17" s="13" t="s">
        <v>677</v>
      </c>
      <c r="H17" s="13" t="s">
        <v>546</v>
      </c>
      <c r="I17" s="13" t="str">
        <f>IF(COUNTIF(B17:H17,"Fail")&gt;0,"Fail",IF(COUNTIF(B17:H17,"Verify")&gt;0,"Verify",IF(COUNTIF(B17:H17,"Not Started")&gt;0,"Not Started","Pass")))</f>
        <v>Verify</v>
      </c>
      <c r="J17" s="13"/>
    </row>
    <row r="18" spans="1:10" ht="14.25" customHeight="1">
      <c r="A18" s="13" t="s">
        <v>710</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711</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575" t="s">
        <v>951</v>
      </c>
      <c r="B22" s="896"/>
      <c r="C22" s="896"/>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434</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710</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711</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575" t="s">
        <v>964</v>
      </c>
      <c r="B29" s="896"/>
      <c r="C29" s="896"/>
      <c r="D29" s="85"/>
      <c r="E29" s="85"/>
      <c r="F29" s="85"/>
      <c r="G29" s="85"/>
      <c r="H29" s="85"/>
      <c r="I29" s="85"/>
      <c r="J29" s="85"/>
    </row>
    <row r="30" spans="1:10" ht="20.25" customHeight="1">
      <c r="A30" s="130" t="s">
        <v>275</v>
      </c>
      <c r="B30" s="130" t="s">
        <v>965</v>
      </c>
      <c r="C30" s="130" t="s">
        <v>966</v>
      </c>
      <c r="D30" s="130" t="s">
        <v>967</v>
      </c>
      <c r="E30" s="130" t="s">
        <v>3309</v>
      </c>
      <c r="F30" s="130" t="s">
        <v>969</v>
      </c>
      <c r="G30" s="130" t="s">
        <v>970</v>
      </c>
      <c r="H30" s="130" t="s">
        <v>971</v>
      </c>
      <c r="I30" s="130" t="s">
        <v>899</v>
      </c>
      <c r="J30" s="130" t="s">
        <v>959</v>
      </c>
    </row>
    <row r="31" spans="1:10" ht="14.25" customHeight="1">
      <c r="A31" s="13" t="s">
        <v>434</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710</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711</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575" t="s">
        <v>977</v>
      </c>
      <c r="B36" s="896"/>
      <c r="C36" s="896"/>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434</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710</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711</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575" t="s">
        <v>3310</v>
      </c>
      <c r="B43" s="896"/>
      <c r="C43" s="896"/>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434</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710</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711</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575" t="s">
        <v>3311</v>
      </c>
      <c r="B50" s="896"/>
      <c r="C50" s="896"/>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39" customHeight="1">
      <c r="A52" s="13" t="s">
        <v>3312</v>
      </c>
      <c r="B52" s="13" t="s">
        <v>575</v>
      </c>
      <c r="C52" s="13" t="s">
        <v>3313</v>
      </c>
      <c r="D52" s="13" t="s">
        <v>391</v>
      </c>
      <c r="E52" s="13" t="s">
        <v>488</v>
      </c>
      <c r="F52" s="13">
        <f>IF(D52="Critical",4,IF(D52="High",3,IF(D52="Medium",2,1)))*IF(E52="High",3,IF(E52="Medium",2,1))</f>
        <v>6</v>
      </c>
      <c r="G52" s="13" t="s">
        <v>3314</v>
      </c>
      <c r="H52" s="13" t="s">
        <v>2798</v>
      </c>
      <c r="I52" s="13" t="s">
        <v>502</v>
      </c>
      <c r="J52" s="13"/>
    </row>
    <row r="53" spans="1:10" ht="39" customHeight="1">
      <c r="A53" s="13" t="s">
        <v>3315</v>
      </c>
      <c r="B53" s="13" t="s">
        <v>575</v>
      </c>
      <c r="C53" s="13" t="s">
        <v>3316</v>
      </c>
      <c r="D53" s="13" t="s">
        <v>391</v>
      </c>
      <c r="E53" s="13" t="s">
        <v>488</v>
      </c>
      <c r="F53" s="13">
        <f>IF(D53="Critical",4,IF(D53="High",3,IF(D53="Medium",2,1)))*IF(E53="High",3,IF(E53="Medium",2,1))</f>
        <v>6</v>
      </c>
      <c r="G53" s="13" t="s">
        <v>3317</v>
      </c>
      <c r="H53" s="13" t="s">
        <v>241</v>
      </c>
      <c r="I53" s="13" t="s">
        <v>502</v>
      </c>
      <c r="J53" s="13"/>
    </row>
    <row r="54" spans="1:10" ht="26.25" customHeight="1">
      <c r="A54" s="13" t="s">
        <v>3318</v>
      </c>
      <c r="B54" s="13" t="s">
        <v>575</v>
      </c>
      <c r="C54" s="13" t="s">
        <v>3319</v>
      </c>
      <c r="D54" s="13" t="s">
        <v>488</v>
      </c>
      <c r="E54" s="13" t="s">
        <v>391</v>
      </c>
      <c r="F54" s="13">
        <f>IF(D54="Critical",4,IF(D54="High",3,IF(D54="Medium",2,1)))*IF(E54="High",3,IF(E54="Medium",2,1))</f>
        <v>6</v>
      </c>
      <c r="G54" s="13" t="s">
        <v>3320</v>
      </c>
      <c r="H54" s="13" t="s">
        <v>241</v>
      </c>
      <c r="I54" s="13" t="s">
        <v>502</v>
      </c>
      <c r="J54" s="13"/>
    </row>
    <row r="55" spans="1:10" ht="26.25" customHeight="1">
      <c r="A55" s="13" t="s">
        <v>3321</v>
      </c>
      <c r="B55" s="13" t="s">
        <v>575</v>
      </c>
      <c r="C55" s="13" t="s">
        <v>3322</v>
      </c>
      <c r="D55" s="13" t="s">
        <v>391</v>
      </c>
      <c r="E55" s="13" t="s">
        <v>488</v>
      </c>
      <c r="F55" s="13">
        <f>IF(D55="Critical",4,IF(D55="High",3,IF(D55="Medium",2,1)))*IF(E55="High",3,IF(E55="Medium",2,1))</f>
        <v>6</v>
      </c>
      <c r="G55" s="13" t="s">
        <v>3323</v>
      </c>
      <c r="H55" s="13" t="s">
        <v>1023</v>
      </c>
      <c r="I55" s="13" t="s">
        <v>502</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575" t="s">
        <v>3324</v>
      </c>
      <c r="B58" s="896"/>
      <c r="C58" s="896"/>
      <c r="D58" s="85"/>
      <c r="E58" s="85"/>
      <c r="F58" s="85"/>
      <c r="G58" s="85"/>
      <c r="H58" s="85"/>
      <c r="I58" s="85"/>
      <c r="J58" s="85"/>
    </row>
    <row r="59" spans="1:10" ht="20.25" customHeight="1">
      <c r="A59" s="130" t="s">
        <v>221</v>
      </c>
      <c r="B59" s="130" t="s">
        <v>222</v>
      </c>
      <c r="C59" s="130" t="s">
        <v>265</v>
      </c>
      <c r="D59" s="130" t="s">
        <v>77</v>
      </c>
      <c r="E59" s="130" t="s">
        <v>878</v>
      </c>
      <c r="F59" s="130" t="s">
        <v>879</v>
      </c>
      <c r="G59" s="130" t="s">
        <v>880</v>
      </c>
      <c r="H59" s="130" t="s">
        <v>494</v>
      </c>
      <c r="I59" s="130" t="s">
        <v>881</v>
      </c>
      <c r="J59" s="130" t="s">
        <v>11</v>
      </c>
    </row>
    <row r="60" spans="1:10" ht="26.25" customHeight="1">
      <c r="A60" s="13" t="s">
        <v>3325</v>
      </c>
      <c r="B60" s="13" t="s">
        <v>3326</v>
      </c>
      <c r="C60" s="13" t="s">
        <v>3327</v>
      </c>
      <c r="D60" s="13" t="s">
        <v>502</v>
      </c>
      <c r="E60" s="13"/>
      <c r="F60" s="13"/>
      <c r="G60" s="13" t="s">
        <v>3328</v>
      </c>
      <c r="H60" s="13"/>
      <c r="I60" s="13"/>
      <c r="J60" s="13"/>
    </row>
    <row r="61" spans="1:10" ht="39" customHeight="1">
      <c r="A61" s="13" t="s">
        <v>3329</v>
      </c>
      <c r="B61" s="13" t="s">
        <v>3330</v>
      </c>
      <c r="C61" s="13" t="s">
        <v>3331</v>
      </c>
      <c r="D61" s="13" t="s">
        <v>502</v>
      </c>
      <c r="E61" s="13"/>
      <c r="F61" s="13"/>
      <c r="G61" s="13" t="s">
        <v>3332</v>
      </c>
      <c r="H61" s="13"/>
      <c r="I61" s="13"/>
      <c r="J61" s="13"/>
    </row>
    <row r="62" spans="1:10" ht="39" customHeight="1">
      <c r="A62" s="13" t="s">
        <v>3333</v>
      </c>
      <c r="B62" s="13" t="s">
        <v>3334</v>
      </c>
      <c r="C62" s="13" t="s">
        <v>3335</v>
      </c>
      <c r="D62" s="13" t="s">
        <v>502</v>
      </c>
      <c r="E62" s="13"/>
      <c r="F62" s="13"/>
      <c r="G62" s="13" t="s">
        <v>3336</v>
      </c>
      <c r="H62" s="13"/>
      <c r="I62" s="13"/>
      <c r="J62" s="13"/>
    </row>
    <row r="63" spans="1:10" ht="39" customHeight="1">
      <c r="A63" s="13" t="s">
        <v>3337</v>
      </c>
      <c r="B63" s="13" t="s">
        <v>3338</v>
      </c>
      <c r="C63" s="13" t="s">
        <v>3339</v>
      </c>
      <c r="D63" s="13" t="s">
        <v>502</v>
      </c>
      <c r="E63" s="13"/>
      <c r="F63" s="13"/>
      <c r="G63" s="13" t="s">
        <v>623</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575" t="s">
        <v>3340</v>
      </c>
      <c r="B66" s="896"/>
      <c r="C66" s="896"/>
      <c r="D66" s="85"/>
      <c r="E66" s="85"/>
      <c r="F66" s="85"/>
      <c r="G66" s="85"/>
      <c r="H66" s="85"/>
      <c r="I66" s="85"/>
      <c r="J66" s="85"/>
    </row>
    <row r="67" spans="1:10" ht="20.25" customHeight="1">
      <c r="A67" s="130" t="s">
        <v>291</v>
      </c>
      <c r="B67" s="130" t="s">
        <v>275</v>
      </c>
      <c r="C67" s="130" t="s">
        <v>493</v>
      </c>
      <c r="D67" s="130" t="s">
        <v>214</v>
      </c>
      <c r="E67" s="130" t="s">
        <v>263</v>
      </c>
      <c r="F67" s="130" t="s">
        <v>891</v>
      </c>
      <c r="G67" s="130" t="s">
        <v>892</v>
      </c>
      <c r="H67" s="130" t="s">
        <v>893</v>
      </c>
      <c r="I67" s="130" t="s">
        <v>77</v>
      </c>
      <c r="J67" s="130" t="s">
        <v>11</v>
      </c>
    </row>
    <row r="68" spans="1:10" ht="14.25" customHeight="1">
      <c r="A68" s="13" t="s">
        <v>3341</v>
      </c>
      <c r="B68" s="13" t="s">
        <v>434</v>
      </c>
      <c r="C68" s="13" t="s">
        <v>269</v>
      </c>
      <c r="D68" s="13" t="s">
        <v>3342</v>
      </c>
      <c r="E68" s="63"/>
      <c r="F68" s="13" t="s">
        <v>229</v>
      </c>
      <c r="G68" s="13"/>
      <c r="H68" s="13"/>
      <c r="I68" s="13" t="s">
        <v>502</v>
      </c>
      <c r="J68" s="13"/>
    </row>
    <row r="69" spans="1:10" ht="14.25" customHeight="1">
      <c r="A69" s="13" t="s">
        <v>3343</v>
      </c>
      <c r="B69" s="13" t="s">
        <v>710</v>
      </c>
      <c r="C69" s="13" t="s">
        <v>269</v>
      </c>
      <c r="D69" s="13" t="s">
        <v>3342</v>
      </c>
      <c r="E69" s="63"/>
      <c r="F69" s="13" t="s">
        <v>229</v>
      </c>
      <c r="G69" s="13"/>
      <c r="H69" s="13"/>
      <c r="I69" s="13" t="s">
        <v>502</v>
      </c>
      <c r="J69" s="13"/>
    </row>
    <row r="70" spans="1:10" ht="14.25" customHeight="1">
      <c r="A70" s="13" t="s">
        <v>3344</v>
      </c>
      <c r="B70" s="13" t="s">
        <v>711</v>
      </c>
      <c r="C70" s="13" t="s">
        <v>269</v>
      </c>
      <c r="D70" s="13" t="s">
        <v>3342</v>
      </c>
      <c r="E70" s="63"/>
      <c r="F70" s="13" t="s">
        <v>229</v>
      </c>
      <c r="G70" s="13"/>
      <c r="H70" s="13"/>
      <c r="I70" s="13" t="s">
        <v>502</v>
      </c>
      <c r="J70" s="13"/>
    </row>
    <row r="71" spans="1:10" ht="26.25" customHeight="1">
      <c r="A71" s="13" t="s">
        <v>3345</v>
      </c>
      <c r="B71" s="13" t="s">
        <v>575</v>
      </c>
      <c r="C71" s="13" t="s">
        <v>957</v>
      </c>
      <c r="D71" s="13" t="s">
        <v>3346</v>
      </c>
      <c r="E71" s="63"/>
      <c r="F71" s="13" t="s">
        <v>229</v>
      </c>
      <c r="G71" s="13"/>
      <c r="H71" s="13" t="s">
        <v>3315</v>
      </c>
      <c r="I71" s="13" t="s">
        <v>502</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575" t="s">
        <v>3347</v>
      </c>
      <c r="B74" s="896"/>
      <c r="C74" s="896"/>
      <c r="D74" s="85"/>
      <c r="E74" s="85"/>
      <c r="F74" s="85"/>
      <c r="G74" s="85"/>
      <c r="H74" s="85"/>
      <c r="I74" s="85"/>
      <c r="J74" s="85"/>
    </row>
    <row r="75" spans="1:10" ht="20.25" customHeight="1">
      <c r="A75" s="130" t="s">
        <v>275</v>
      </c>
      <c r="B75" s="130" t="s">
        <v>895</v>
      </c>
      <c r="C75" s="130" t="s">
        <v>896</v>
      </c>
      <c r="D75" s="130" t="s">
        <v>148</v>
      </c>
      <c r="E75" s="130" t="s">
        <v>153</v>
      </c>
      <c r="F75" s="130" t="s">
        <v>155</v>
      </c>
      <c r="G75" s="130" t="s">
        <v>491</v>
      </c>
      <c r="H75" s="130" t="s">
        <v>897</v>
      </c>
      <c r="I75" s="130" t="s">
        <v>174</v>
      </c>
      <c r="J75" s="130" t="s">
        <v>11</v>
      </c>
    </row>
    <row r="76" spans="1:10" ht="14.25" customHeight="1">
      <c r="A76" s="13" t="s">
        <v>434</v>
      </c>
      <c r="B76" s="126">
        <f>IF(I17="Pass",1,IF(I17="Verify",0.5,IF(I17="Not Started",0,IF(I17="N/A",1,0))))</f>
        <v>0.5</v>
      </c>
      <c r="C76" s="126">
        <f>IF(I24="Pass",1,IF(I24="Verify",0.5,IF(I24="Not Started",0,IF(I24="N/A",1,0))))</f>
        <v>0.5</v>
      </c>
      <c r="D76" s="126">
        <f>IF(I31="Pass",1,IF(I31="Verify",0.5,IF(I31="Not Started",0,IF(I31="N/A",1,0))))</f>
        <v>0.5</v>
      </c>
      <c r="E76" s="126">
        <f>IF(I38="Pass",1,IF(I38="Verify",0.5,IF(I38="Not Started",0,IF(I38="N/A",1,0))))</f>
        <v>0.5</v>
      </c>
      <c r="F76" s="126">
        <f>IF(I45="Pass",1,IF(I45="Verify",0.5,IF(I45="Not Started",0,IF(I45="N/A",1,0))))</f>
        <v>0.5</v>
      </c>
      <c r="G76" s="126" t="s">
        <v>677</v>
      </c>
      <c r="H76" s="126">
        <f>AVERAGE(B76:G76)</f>
        <v>0.5</v>
      </c>
      <c r="I76" s="13" t="str">
        <f>IF(H76&gt;=0.8,"Ready / Green",IF(H76&gt;=0.5,"Partial / Yellow","At Risk / Red"))</f>
        <v>Partial / Yellow</v>
      </c>
      <c r="J76" s="13"/>
    </row>
    <row r="77" spans="1:10" ht="14.25" customHeight="1">
      <c r="A77" s="13" t="s">
        <v>710</v>
      </c>
      <c r="B77" s="126">
        <f>IF(I18="Pass",1,IF(I18="Verify",0.5,IF(I18="Not Started",0,IF(I18="N/A",1,0))))</f>
        <v>0.5</v>
      </c>
      <c r="C77" s="126">
        <f>IF(I25="Pass",1,IF(I25="Verify",0.5,IF(I25="Not Started",0,IF(I25="N/A",1,0))))</f>
        <v>0.5</v>
      </c>
      <c r="D77" s="126">
        <f>IF(I32="Pass",1,IF(I32="Verify",0.5,IF(I32="Not Started",0,IF(I32="N/A",1,0))))</f>
        <v>0.5</v>
      </c>
      <c r="E77" s="126">
        <f>IF(I39="Pass",1,IF(I39="Verify",0.5,IF(I39="Not Started",0,IF(I39="N/A",1,0))))</f>
        <v>0.5</v>
      </c>
      <c r="F77" s="126">
        <f>IF(I46="Pass",1,IF(I46="Verify",0.5,IF(I46="Not Started",0,IF(I46="N/A",1,0))))</f>
        <v>0.5</v>
      </c>
      <c r="G77" s="126" t="s">
        <v>677</v>
      </c>
      <c r="H77" s="126">
        <f>AVERAGE(B77:G77)</f>
        <v>0.5</v>
      </c>
      <c r="I77" s="13" t="str">
        <f>IF(H77&gt;=0.8,"Ready / Green",IF(H77&gt;=0.5,"Partial / Yellow","At Risk / Red"))</f>
        <v>Partial / Yellow</v>
      </c>
      <c r="J77" s="13"/>
    </row>
    <row r="78" spans="1:10" ht="14.25" customHeight="1">
      <c r="A78" s="13" t="s">
        <v>711</v>
      </c>
      <c r="B78" s="126">
        <f>IF(I19="Pass",1,IF(I19="Verify",0.5,IF(I19="Not Started",0,IF(I19="N/A",1,0))))</f>
        <v>0.5</v>
      </c>
      <c r="C78" s="126">
        <f>IF(I26="Pass",1,IF(I26="Verify",0.5,IF(I26="Not Started",0,IF(I26="N/A",1,0))))</f>
        <v>0.5</v>
      </c>
      <c r="D78" s="126">
        <f>IF(I33="Pass",1,IF(I33="Verify",0.5,IF(I33="Not Started",0,IF(I33="N/A",1,0))))</f>
        <v>0.5</v>
      </c>
      <c r="E78" s="126">
        <f>IF(I40="Pass",1,IF(I40="Verify",0.5,IF(I40="Not Started",0,IF(I40="N/A",1,0))))</f>
        <v>0.5</v>
      </c>
      <c r="F78" s="126">
        <f>IF(I47="Pass",1,IF(I47="Verify",0.5,IF(I47="Not Started",0,IF(I47="N/A",1,0))))</f>
        <v>0.5</v>
      </c>
      <c r="G78" s="126" t="s">
        <v>677</v>
      </c>
      <c r="H78" s="126">
        <f>AVERAGE(B78:G78)</f>
        <v>0.5</v>
      </c>
      <c r="I78" s="13" t="str">
        <f>IF(H78&gt;=0.8,"Ready / Green",IF(H78&gt;=0.5,"Partial / Yellow","At Risk / Red"))</f>
        <v>Partial / Yellow</v>
      </c>
      <c r="J78" s="13"/>
    </row>
    <row r="79" spans="1:10" ht="14.25" customHeight="1" thickBot="1">
      <c r="A79" s="129"/>
      <c r="B79" s="129"/>
      <c r="C79" s="129"/>
      <c r="D79" s="129"/>
      <c r="E79" s="129"/>
      <c r="F79" s="129"/>
      <c r="G79" s="129"/>
      <c r="H79" s="129"/>
      <c r="I79" s="129"/>
      <c r="J79" s="129"/>
    </row>
    <row r="80" spans="1:10" ht="15" customHeight="1">
      <c r="A80" s="605" t="s">
        <v>5668</v>
      </c>
      <c r="B80" s="602"/>
      <c r="C80" s="602"/>
      <c r="D80" s="606"/>
      <c r="E80" s="602"/>
      <c r="F80" s="602"/>
      <c r="G80" s="606"/>
      <c r="H80" s="606"/>
      <c r="I80" s="606"/>
      <c r="J80" s="607"/>
    </row>
    <row r="81" spans="1:10" ht="30" customHeight="1">
      <c r="A81" s="321" t="s">
        <v>5610</v>
      </c>
      <c r="B81" s="322" t="s">
        <v>77</v>
      </c>
      <c r="C81" s="322" t="s">
        <v>5611</v>
      </c>
      <c r="D81" s="322" t="s">
        <v>5612</v>
      </c>
      <c r="E81" s="322" t="s">
        <v>5634</v>
      </c>
      <c r="F81" s="322" t="s">
        <v>5601</v>
      </c>
      <c r="G81" s="578" t="s">
        <v>5635</v>
      </c>
      <c r="H81" s="578"/>
      <c r="I81" s="578"/>
      <c r="J81" s="579"/>
    </row>
    <row r="82" spans="1:10" ht="25.5" customHeight="1">
      <c r="A82" s="323" t="s">
        <v>5613</v>
      </c>
      <c r="B82" s="333" t="s">
        <v>484</v>
      </c>
      <c r="C82" s="325">
        <v>0</v>
      </c>
      <c r="D82" s="325">
        <v>0</v>
      </c>
      <c r="E82" s="192" t="s">
        <v>5674</v>
      </c>
      <c r="F82" s="325">
        <f>IF(AND(C82&lt;&gt;"",D82&lt;&gt;""),D82-C82,"")</f>
        <v>0</v>
      </c>
      <c r="G82" s="608"/>
      <c r="H82" s="608"/>
      <c r="I82" s="608"/>
      <c r="J82" s="609"/>
    </row>
    <row r="83" spans="1:10" ht="25.5" customHeight="1">
      <c r="A83" s="326" t="s">
        <v>5614</v>
      </c>
      <c r="B83" s="333" t="s">
        <v>484</v>
      </c>
      <c r="C83" s="325">
        <v>0</v>
      </c>
      <c r="D83" s="327">
        <v>0</v>
      </c>
      <c r="E83" s="310" t="s">
        <v>5675</v>
      </c>
      <c r="F83" s="327">
        <f>IF(AND(C83&lt;&gt;"",D83&lt;&gt;""),D83-C83,"")</f>
        <v>0</v>
      </c>
      <c r="G83" s="610"/>
      <c r="H83" s="610"/>
      <c r="I83" s="610"/>
      <c r="J83" s="611"/>
    </row>
    <row r="84" spans="1:10" ht="15" customHeight="1">
      <c r="A84" s="323" t="s">
        <v>5615</v>
      </c>
      <c r="B84" s="333" t="s">
        <v>484</v>
      </c>
      <c r="C84" s="325">
        <v>0</v>
      </c>
      <c r="D84" s="327">
        <v>0</v>
      </c>
      <c r="E84" s="310" t="s">
        <v>5675</v>
      </c>
      <c r="F84" s="325">
        <f>IF(AND(C84&lt;&gt;"",D84&lt;&gt;""),D84-C84,"")</f>
        <v>0</v>
      </c>
      <c r="G84" s="328"/>
      <c r="H84" s="227"/>
      <c r="I84" s="227"/>
      <c r="J84" s="329"/>
    </row>
    <row r="85" spans="1:10" ht="15" customHeight="1">
      <c r="A85" s="326" t="s">
        <v>5616</v>
      </c>
      <c r="B85" s="333" t="s">
        <v>484</v>
      </c>
      <c r="C85" s="325">
        <v>0</v>
      </c>
      <c r="D85" s="327">
        <v>0</v>
      </c>
      <c r="E85" s="310" t="s">
        <v>5675</v>
      </c>
      <c r="F85" s="327">
        <f>IF(AND(C85&lt;&gt;"",D85&lt;&gt;""),D85-C85,"")</f>
        <v>0</v>
      </c>
      <c r="G85" s="610"/>
      <c r="H85" s="610"/>
      <c r="I85" s="610"/>
      <c r="J85" s="611"/>
    </row>
    <row r="86" spans="1:10" ht="15" customHeight="1">
      <c r="A86" s="323" t="s">
        <v>5168</v>
      </c>
      <c r="B86" s="333" t="s">
        <v>484</v>
      </c>
      <c r="C86" s="325">
        <v>0</v>
      </c>
      <c r="D86" s="327">
        <v>0</v>
      </c>
      <c r="E86" s="310" t="s">
        <v>5675</v>
      </c>
      <c r="F86" s="325">
        <f>IF(AND(C86&lt;&gt;"",D86&lt;&gt;""),D86-C86,"")</f>
        <v>0</v>
      </c>
      <c r="G86" s="328"/>
      <c r="H86" s="227"/>
      <c r="I86" s="227"/>
      <c r="J86" s="329"/>
    </row>
    <row r="87" spans="1:10" ht="15.75" customHeight="1">
      <c r="A87" s="585" t="s">
        <v>5636</v>
      </c>
      <c r="B87" s="586"/>
      <c r="C87" s="330">
        <f>IFERROR(AVERAGE(C82:C86),"")</f>
        <v>0</v>
      </c>
      <c r="D87" s="330">
        <f>IFERROR(AVERAGE(D82:D86),"")</f>
        <v>0</v>
      </c>
      <c r="E87" s="589" t="s">
        <v>5637</v>
      </c>
      <c r="F87" s="589"/>
      <c r="G87" s="589"/>
      <c r="H87" s="589"/>
      <c r="I87" s="589"/>
      <c r="J87" s="590"/>
    </row>
    <row r="88" spans="1:10" ht="20.25" customHeight="1">
      <c r="A88" s="331"/>
      <c r="B88" s="316"/>
      <c r="C88" s="316"/>
      <c r="D88" s="316"/>
      <c r="E88" s="316"/>
      <c r="F88" s="316"/>
      <c r="G88" s="316"/>
      <c r="H88" s="227"/>
      <c r="I88" s="227"/>
      <c r="J88" s="329"/>
    </row>
    <row r="89" spans="1:10">
      <c r="A89" s="574" t="s">
        <v>5669</v>
      </c>
      <c r="B89" s="582"/>
      <c r="C89" s="582"/>
      <c r="D89" s="575"/>
      <c r="E89" s="582"/>
      <c r="F89" s="582"/>
      <c r="G89" s="575"/>
      <c r="H89" s="575"/>
      <c r="I89" s="575"/>
      <c r="J89" s="576"/>
    </row>
    <row r="90" spans="1:10">
      <c r="A90" s="321" t="s">
        <v>4946</v>
      </c>
      <c r="B90" s="322" t="s">
        <v>77</v>
      </c>
      <c r="C90" s="322" t="s">
        <v>5676</v>
      </c>
      <c r="D90" s="322" t="s">
        <v>482</v>
      </c>
      <c r="E90" s="322" t="s">
        <v>572</v>
      </c>
      <c r="F90" s="322" t="s">
        <v>5639</v>
      </c>
      <c r="G90" s="578" t="s">
        <v>5640</v>
      </c>
      <c r="H90" s="578"/>
      <c r="I90" s="578"/>
      <c r="J90" s="579"/>
    </row>
    <row r="91" spans="1:10" ht="31.5" customHeight="1">
      <c r="A91" s="326" t="s">
        <v>5602</v>
      </c>
      <c r="B91" s="333" t="s">
        <v>484</v>
      </c>
      <c r="C91" s="332" t="s">
        <v>679</v>
      </c>
      <c r="D91" s="324" t="s">
        <v>679</v>
      </c>
      <c r="E91" s="332">
        <f>IF(D91="Yes",1,0)</f>
        <v>0</v>
      </c>
      <c r="F91" s="580"/>
      <c r="G91" s="580"/>
      <c r="H91" s="580"/>
      <c r="I91" s="580"/>
      <c r="J91" s="581"/>
    </row>
    <row r="92" spans="1:10" ht="20.25" customHeight="1">
      <c r="A92" s="323" t="s">
        <v>995</v>
      </c>
      <c r="B92" s="333" t="s">
        <v>484</v>
      </c>
      <c r="C92" s="332" t="s">
        <v>679</v>
      </c>
      <c r="D92" s="324" t="s">
        <v>679</v>
      </c>
      <c r="E92" s="324">
        <f t="shared" ref="E92:E98" si="0">IF(D92="Yes",1,0)</f>
        <v>0</v>
      </c>
      <c r="F92" s="580"/>
      <c r="G92" s="580"/>
      <c r="H92" s="580"/>
      <c r="I92" s="580"/>
      <c r="J92" s="581"/>
    </row>
    <row r="93" spans="1:10" ht="24.75" customHeight="1">
      <c r="A93" s="326" t="s">
        <v>5603</v>
      </c>
      <c r="B93" s="333" t="s">
        <v>484</v>
      </c>
      <c r="C93" s="332" t="s">
        <v>679</v>
      </c>
      <c r="D93" s="324" t="s">
        <v>679</v>
      </c>
      <c r="E93" s="332">
        <f t="shared" si="0"/>
        <v>0</v>
      </c>
      <c r="F93" s="580"/>
      <c r="G93" s="580"/>
      <c r="H93" s="580"/>
      <c r="I93" s="580"/>
      <c r="J93" s="581"/>
    </row>
    <row r="94" spans="1:10">
      <c r="A94" s="323" t="s">
        <v>5617</v>
      </c>
      <c r="B94" s="333" t="s">
        <v>484</v>
      </c>
      <c r="C94" s="332" t="s">
        <v>679</v>
      </c>
      <c r="D94" s="324" t="s">
        <v>679</v>
      </c>
      <c r="E94" s="324">
        <f t="shared" si="0"/>
        <v>0</v>
      </c>
      <c r="F94" s="580"/>
      <c r="G94" s="580"/>
      <c r="H94" s="580"/>
      <c r="I94" s="580"/>
      <c r="J94" s="581"/>
    </row>
    <row r="95" spans="1:10" ht="38.25">
      <c r="A95" s="326" t="s">
        <v>5618</v>
      </c>
      <c r="B95" s="333" t="s">
        <v>484</v>
      </c>
      <c r="C95" s="332" t="s">
        <v>679</v>
      </c>
      <c r="D95" s="324" t="s">
        <v>679</v>
      </c>
      <c r="E95" s="332">
        <f t="shared" si="0"/>
        <v>0</v>
      </c>
      <c r="F95" s="580"/>
      <c r="G95" s="580"/>
      <c r="H95" s="580"/>
      <c r="I95" s="580"/>
      <c r="J95" s="581"/>
    </row>
    <row r="96" spans="1:10" ht="25.5">
      <c r="A96" s="323" t="s">
        <v>5619</v>
      </c>
      <c r="B96" s="333" t="s">
        <v>484</v>
      </c>
      <c r="C96" s="332" t="s">
        <v>679</v>
      </c>
      <c r="D96" s="324" t="s">
        <v>679</v>
      </c>
      <c r="E96" s="324">
        <f t="shared" si="0"/>
        <v>0</v>
      </c>
      <c r="F96" s="580"/>
      <c r="G96" s="580"/>
      <c r="H96" s="580"/>
      <c r="I96" s="580"/>
      <c r="J96" s="581"/>
    </row>
    <row r="97" spans="1:10" ht="18.75" customHeight="1">
      <c r="A97" s="326" t="s">
        <v>5604</v>
      </c>
      <c r="B97" s="333" t="s">
        <v>484</v>
      </c>
      <c r="C97" s="332" t="s">
        <v>679</v>
      </c>
      <c r="D97" s="324" t="s">
        <v>679</v>
      </c>
      <c r="E97" s="332">
        <f t="shared" si="0"/>
        <v>0</v>
      </c>
      <c r="F97" s="580"/>
      <c r="G97" s="580"/>
      <c r="H97" s="580"/>
      <c r="I97" s="580"/>
      <c r="J97" s="581"/>
    </row>
    <row r="98" spans="1:10" ht="25.5">
      <c r="A98" s="323" t="s">
        <v>5605</v>
      </c>
      <c r="B98" s="333" t="s">
        <v>484</v>
      </c>
      <c r="C98" s="332" t="s">
        <v>679</v>
      </c>
      <c r="D98" s="324" t="s">
        <v>679</v>
      </c>
      <c r="E98" s="324">
        <f t="shared" si="0"/>
        <v>0</v>
      </c>
      <c r="F98" s="580"/>
      <c r="G98" s="580"/>
      <c r="H98" s="580"/>
      <c r="I98" s="580"/>
      <c r="J98" s="581"/>
    </row>
    <row r="99" spans="1:10" ht="28.5" customHeight="1">
      <c r="A99" s="585" t="s">
        <v>5641</v>
      </c>
      <c r="B99" s="586"/>
      <c r="C99" s="587" t="str">
        <f>IFERROR(SUM(E91:E98)/COUNTIF(C91:C98,"Yes"),"")</f>
        <v/>
      </c>
      <c r="D99" s="588"/>
      <c r="E99" s="589" t="s">
        <v>5642</v>
      </c>
      <c r="F99" s="589"/>
      <c r="G99" s="589"/>
      <c r="H99" s="589"/>
      <c r="I99" s="589"/>
      <c r="J99" s="590"/>
    </row>
    <row r="100" spans="1:10" ht="20.25" customHeight="1">
      <c r="A100" s="331"/>
      <c r="B100" s="316"/>
      <c r="C100" s="316"/>
      <c r="D100" s="316"/>
      <c r="E100" s="316"/>
      <c r="F100" s="316"/>
      <c r="G100" s="316"/>
      <c r="H100" s="227"/>
      <c r="I100" s="227"/>
      <c r="J100" s="329"/>
    </row>
    <row r="101" spans="1:10">
      <c r="A101" s="574" t="s">
        <v>5670</v>
      </c>
      <c r="B101" s="582"/>
      <c r="C101" s="582"/>
      <c r="D101" s="575"/>
      <c r="E101" s="582"/>
      <c r="F101" s="582"/>
      <c r="G101" s="575"/>
      <c r="H101" s="575"/>
      <c r="I101" s="575"/>
      <c r="J101" s="576"/>
    </row>
    <row r="102" spans="1:10" ht="30" customHeight="1">
      <c r="A102" s="321" t="s">
        <v>5643</v>
      </c>
      <c r="B102" s="322" t="s">
        <v>77</v>
      </c>
      <c r="C102" s="322" t="s">
        <v>5620</v>
      </c>
      <c r="D102" s="322" t="s">
        <v>5621</v>
      </c>
      <c r="E102" s="322" t="s">
        <v>5622</v>
      </c>
      <c r="F102" s="322" t="s">
        <v>5644</v>
      </c>
      <c r="G102" s="578" t="s">
        <v>5645</v>
      </c>
      <c r="H102" s="578"/>
      <c r="I102" s="578"/>
      <c r="J102" s="579"/>
    </row>
    <row r="103" spans="1:10" ht="25.5">
      <c r="A103" s="326" t="s">
        <v>5623</v>
      </c>
      <c r="B103" s="332" t="s">
        <v>484</v>
      </c>
      <c r="C103" s="332" t="s">
        <v>1096</v>
      </c>
      <c r="D103" s="332" t="s">
        <v>1096</v>
      </c>
      <c r="E103" s="332" t="s">
        <v>1096</v>
      </c>
      <c r="F103" s="332" t="s">
        <v>348</v>
      </c>
      <c r="G103" s="583"/>
      <c r="H103" s="583"/>
      <c r="I103" s="583"/>
      <c r="J103" s="584"/>
    </row>
    <row r="104" spans="1:10" ht="53.45" customHeight="1">
      <c r="A104" s="323" t="s">
        <v>5624</v>
      </c>
      <c r="B104" s="332" t="s">
        <v>484</v>
      </c>
      <c r="C104" s="332" t="s">
        <v>1096</v>
      </c>
      <c r="D104" s="332" t="s">
        <v>1096</v>
      </c>
      <c r="E104" s="332" t="s">
        <v>1096</v>
      </c>
      <c r="F104" s="332" t="s">
        <v>348</v>
      </c>
      <c r="G104" s="583"/>
      <c r="H104" s="583"/>
      <c r="I104" s="583"/>
      <c r="J104" s="584"/>
    </row>
    <row r="105" spans="1:10" ht="53.45" customHeight="1">
      <c r="A105" s="326" t="s">
        <v>5646</v>
      </c>
      <c r="B105" s="332" t="s">
        <v>484</v>
      </c>
      <c r="C105" s="332" t="s">
        <v>1096</v>
      </c>
      <c r="D105" s="332" t="s">
        <v>1096</v>
      </c>
      <c r="E105" s="332" t="s">
        <v>1096</v>
      </c>
      <c r="F105" s="332" t="s">
        <v>348</v>
      </c>
      <c r="G105" s="583"/>
      <c r="H105" s="583"/>
      <c r="I105" s="583"/>
      <c r="J105" s="584"/>
    </row>
    <row r="106" spans="1:10" ht="53.45" customHeight="1">
      <c r="A106" s="323" t="s">
        <v>5625</v>
      </c>
      <c r="B106" s="332" t="s">
        <v>484</v>
      </c>
      <c r="C106" s="332" t="s">
        <v>1096</v>
      </c>
      <c r="D106" s="332" t="s">
        <v>1096</v>
      </c>
      <c r="E106" s="332" t="s">
        <v>1096</v>
      </c>
      <c r="F106" s="332" t="s">
        <v>348</v>
      </c>
      <c r="G106" s="583"/>
      <c r="H106" s="583"/>
      <c r="I106" s="583"/>
      <c r="J106" s="584"/>
    </row>
    <row r="107" spans="1:10" ht="53.45" customHeight="1">
      <c r="A107" s="326" t="s">
        <v>5626</v>
      </c>
      <c r="B107" s="332" t="s">
        <v>484</v>
      </c>
      <c r="C107" s="332" t="s">
        <v>1096</v>
      </c>
      <c r="D107" s="332" t="s">
        <v>1096</v>
      </c>
      <c r="E107" s="332" t="s">
        <v>1096</v>
      </c>
      <c r="F107" s="332" t="s">
        <v>348</v>
      </c>
      <c r="G107" s="583"/>
      <c r="H107" s="583"/>
      <c r="I107" s="583"/>
      <c r="J107" s="584"/>
    </row>
    <row r="108" spans="1:10" ht="53.45" customHeight="1">
      <c r="A108" s="585" t="s">
        <v>5677</v>
      </c>
      <c r="B108" s="586"/>
      <c r="C108" s="587">
        <f>IFERROR(COUNTIF(E103:E107,"Yes")/COUNTA(A103:A107),"")</f>
        <v>0</v>
      </c>
      <c r="D108" s="588"/>
      <c r="E108" s="589" t="s">
        <v>5648</v>
      </c>
      <c r="F108" s="589"/>
      <c r="G108" s="589"/>
      <c r="H108" s="589"/>
      <c r="I108" s="589"/>
      <c r="J108" s="590"/>
    </row>
    <row r="109" spans="1:10" ht="20.25" customHeight="1">
      <c r="A109" s="331"/>
      <c r="B109" s="316"/>
      <c r="C109" s="316"/>
      <c r="D109" s="316"/>
      <c r="E109" s="316"/>
      <c r="F109" s="316"/>
      <c r="G109" s="599"/>
      <c r="H109" s="599"/>
      <c r="I109" s="599"/>
      <c r="J109" s="600"/>
    </row>
    <row r="110" spans="1:10" ht="53.45" customHeight="1">
      <c r="A110" s="574" t="s">
        <v>5671</v>
      </c>
      <c r="B110" s="582"/>
      <c r="C110" s="582"/>
      <c r="D110" s="575"/>
      <c r="E110" s="582"/>
      <c r="F110" s="582"/>
      <c r="G110" s="575"/>
      <c r="H110" s="575"/>
      <c r="I110" s="575"/>
      <c r="J110" s="576"/>
    </row>
    <row r="111" spans="1:10" ht="53.45" customHeight="1">
      <c r="A111" s="322" t="s">
        <v>5606</v>
      </c>
      <c r="B111" s="322" t="s">
        <v>77</v>
      </c>
      <c r="C111" s="322" t="s">
        <v>5627</v>
      </c>
      <c r="D111" s="322" t="s">
        <v>5628</v>
      </c>
      <c r="E111" s="322" t="s">
        <v>5629</v>
      </c>
      <c r="F111" s="322" t="s">
        <v>5630</v>
      </c>
      <c r="G111" s="578" t="s">
        <v>5678</v>
      </c>
      <c r="H111" s="578"/>
      <c r="I111" s="578"/>
      <c r="J111" s="578"/>
    </row>
    <row r="112" spans="1:10">
      <c r="A112" s="328" t="s">
        <v>153</v>
      </c>
      <c r="B112" s="324" t="s">
        <v>484</v>
      </c>
      <c r="C112" s="324"/>
      <c r="D112" s="324"/>
      <c r="E112" s="324"/>
      <c r="F112" s="325" t="str">
        <f>IFERROR(D112/C112,"")</f>
        <v/>
      </c>
      <c r="G112" s="572"/>
      <c r="H112" s="572"/>
      <c r="I112" s="572"/>
      <c r="J112" s="572"/>
    </row>
    <row r="113" spans="1:10">
      <c r="A113" s="335" t="s">
        <v>155</v>
      </c>
      <c r="B113" s="332" t="s">
        <v>484</v>
      </c>
      <c r="C113" s="332"/>
      <c r="D113" s="332"/>
      <c r="E113" s="332"/>
      <c r="F113" s="327" t="str">
        <f>IFERROR(D113/C113,"")</f>
        <v/>
      </c>
      <c r="G113" s="572"/>
      <c r="H113" s="572"/>
      <c r="I113" s="572"/>
      <c r="J113" s="572"/>
    </row>
    <row r="114" spans="1:10">
      <c r="A114" s="328" t="s">
        <v>4821</v>
      </c>
      <c r="B114" s="324" t="s">
        <v>484</v>
      </c>
      <c r="C114" s="324"/>
      <c r="D114" s="324"/>
      <c r="E114" s="324"/>
      <c r="F114" s="325" t="str">
        <f>IFERROR(D114/C114,"")</f>
        <v/>
      </c>
      <c r="G114" s="572"/>
      <c r="H114" s="572"/>
      <c r="I114" s="572"/>
      <c r="J114" s="572"/>
    </row>
    <row r="115" spans="1:10">
      <c r="A115" s="335" t="s">
        <v>957</v>
      </c>
      <c r="B115" s="332" t="s">
        <v>484</v>
      </c>
      <c r="C115" s="332"/>
      <c r="D115" s="332"/>
      <c r="E115" s="332"/>
      <c r="F115" s="327" t="str">
        <f>IFERROR(D115/C115,"")</f>
        <v/>
      </c>
      <c r="G115" s="572"/>
      <c r="H115" s="572"/>
      <c r="I115" s="572"/>
      <c r="J115" s="572"/>
    </row>
    <row r="116" spans="1:10">
      <c r="A116" s="597" t="s">
        <v>5649</v>
      </c>
      <c r="B116" s="597"/>
      <c r="C116" s="597"/>
      <c r="D116" s="597"/>
      <c r="E116" s="589" t="s">
        <v>5650</v>
      </c>
      <c r="F116" s="589"/>
      <c r="G116" s="589"/>
      <c r="H116" s="589"/>
      <c r="I116" s="589"/>
      <c r="J116" s="589"/>
    </row>
    <row r="117" spans="1:10">
      <c r="A117" s="597"/>
      <c r="B117" s="597"/>
      <c r="C117" s="597"/>
      <c r="D117" s="597"/>
      <c r="E117" s="589"/>
      <c r="F117" s="589"/>
      <c r="G117" s="589"/>
      <c r="H117" s="589"/>
      <c r="I117" s="589"/>
      <c r="J117" s="589"/>
    </row>
    <row r="118" spans="1:10">
      <c r="A118" s="575" t="s">
        <v>5672</v>
      </c>
      <c r="B118" s="575"/>
      <c r="C118" s="575"/>
      <c r="D118" s="575"/>
      <c r="E118" s="575"/>
      <c r="F118" s="575"/>
      <c r="G118" s="575"/>
      <c r="H118" s="575"/>
      <c r="I118" s="575"/>
      <c r="J118" s="575"/>
    </row>
    <row r="119" spans="1:10">
      <c r="A119" s="322" t="s">
        <v>4946</v>
      </c>
      <c r="B119" s="322" t="s">
        <v>77</v>
      </c>
      <c r="C119" s="322" t="s">
        <v>5638</v>
      </c>
      <c r="D119" s="322" t="s">
        <v>482</v>
      </c>
      <c r="E119" s="322" t="s">
        <v>572</v>
      </c>
      <c r="F119" s="322" t="s">
        <v>944</v>
      </c>
      <c r="G119" s="578" t="s">
        <v>5640</v>
      </c>
      <c r="H119" s="578"/>
      <c r="I119" s="578"/>
      <c r="J119" s="578"/>
    </row>
    <row r="120" spans="1:10" ht="25.5">
      <c r="A120" s="328" t="s">
        <v>5607</v>
      </c>
      <c r="B120" s="324" t="s">
        <v>484</v>
      </c>
      <c r="C120" s="324" t="s">
        <v>392</v>
      </c>
      <c r="D120" s="324" t="s">
        <v>1096</v>
      </c>
      <c r="E120" s="324">
        <f t="shared" ref="E120:E125" si="1">IF(D120="Yes",1,0)</f>
        <v>0</v>
      </c>
      <c r="F120" s="324"/>
      <c r="G120" s="572"/>
      <c r="H120" s="572"/>
      <c r="I120" s="572"/>
      <c r="J120" s="572"/>
    </row>
    <row r="121" spans="1:10">
      <c r="A121" s="335" t="s">
        <v>5608</v>
      </c>
      <c r="B121" s="324" t="s">
        <v>484</v>
      </c>
      <c r="C121" s="332" t="s">
        <v>392</v>
      </c>
      <c r="D121" s="324" t="s">
        <v>1096</v>
      </c>
      <c r="E121" s="332">
        <f t="shared" si="1"/>
        <v>0</v>
      </c>
      <c r="F121" s="332"/>
      <c r="G121" s="572"/>
      <c r="H121" s="572"/>
      <c r="I121" s="572"/>
      <c r="J121" s="572"/>
    </row>
    <row r="122" spans="1:10" ht="25.5">
      <c r="A122" s="328" t="s">
        <v>5609</v>
      </c>
      <c r="B122" s="324" t="s">
        <v>484</v>
      </c>
      <c r="C122" s="324" t="s">
        <v>392</v>
      </c>
      <c r="D122" s="324" t="s">
        <v>1096</v>
      </c>
      <c r="E122" s="324">
        <f t="shared" si="1"/>
        <v>0</v>
      </c>
      <c r="F122" s="324"/>
      <c r="G122" s="572"/>
      <c r="H122" s="572"/>
      <c r="I122" s="572"/>
      <c r="J122" s="572"/>
    </row>
    <row r="123" spans="1:10">
      <c r="A123" s="335" t="s">
        <v>5631</v>
      </c>
      <c r="B123" s="324" t="s">
        <v>484</v>
      </c>
      <c r="C123" s="332" t="s">
        <v>392</v>
      </c>
      <c r="D123" s="324" t="s">
        <v>1096</v>
      </c>
      <c r="E123" s="332">
        <f t="shared" si="1"/>
        <v>0</v>
      </c>
      <c r="F123" s="332"/>
      <c r="G123" s="572"/>
      <c r="H123" s="572"/>
      <c r="I123" s="572"/>
      <c r="J123" s="572"/>
    </row>
    <row r="124" spans="1:10" ht="27.75" customHeight="1">
      <c r="A124" s="328" t="s">
        <v>5632</v>
      </c>
      <c r="B124" s="324" t="s">
        <v>484</v>
      </c>
      <c r="C124" s="324" t="s">
        <v>392</v>
      </c>
      <c r="D124" s="324" t="s">
        <v>1096</v>
      </c>
      <c r="E124" s="324">
        <f t="shared" si="1"/>
        <v>0</v>
      </c>
      <c r="F124" s="324"/>
      <c r="G124" s="572"/>
      <c r="H124" s="572"/>
      <c r="I124" s="572"/>
      <c r="J124" s="572"/>
    </row>
    <row r="125" spans="1:10" ht="29.25" customHeight="1">
      <c r="A125" s="335" t="s">
        <v>5633</v>
      </c>
      <c r="B125" s="324" t="s">
        <v>484</v>
      </c>
      <c r="C125" s="332" t="s">
        <v>392</v>
      </c>
      <c r="D125" s="332" t="s">
        <v>1096</v>
      </c>
      <c r="E125" s="332">
        <f t="shared" si="1"/>
        <v>0</v>
      </c>
      <c r="F125" s="332"/>
      <c r="G125" s="572"/>
      <c r="H125" s="572"/>
      <c r="I125" s="572"/>
      <c r="J125" s="572"/>
    </row>
    <row r="126" spans="1:10" ht="15.75">
      <c r="A126" s="930" t="s">
        <v>5651</v>
      </c>
      <c r="B126" s="586"/>
      <c r="C126" s="587">
        <f>IFERROR(SUM(E120:E125)/COUNTIF(C120:C125,"Yes"),"")</f>
        <v>0</v>
      </c>
      <c r="D126" s="588"/>
      <c r="E126" s="589" t="s">
        <v>5652</v>
      </c>
      <c r="F126" s="589"/>
      <c r="G126" s="589"/>
      <c r="H126" s="589"/>
      <c r="I126" s="589"/>
      <c r="J126" s="589"/>
    </row>
    <row r="127" spans="1:10" ht="20.25" customHeight="1">
      <c r="A127" s="192"/>
      <c r="B127" s="192"/>
      <c r="C127" s="192"/>
      <c r="D127" s="192"/>
      <c r="E127" s="192"/>
      <c r="F127" s="192"/>
      <c r="G127" s="192"/>
      <c r="H127" s="192"/>
      <c r="I127" s="192"/>
      <c r="J127" s="192"/>
    </row>
    <row r="128" spans="1:10" hidden="1">
      <c r="A128" s="575" t="s">
        <v>5673</v>
      </c>
      <c r="B128" s="582"/>
      <c r="C128" s="582"/>
      <c r="D128" s="317"/>
      <c r="E128" s="317"/>
      <c r="F128" s="317"/>
      <c r="G128" s="317"/>
      <c r="H128" s="317"/>
      <c r="I128" s="317"/>
      <c r="J128" s="317"/>
    </row>
    <row r="129" spans="1:10" ht="38.25" hidden="1">
      <c r="A129" s="318" t="s">
        <v>905</v>
      </c>
      <c r="B129" s="318" t="s">
        <v>830</v>
      </c>
      <c r="C129" s="318"/>
      <c r="D129" s="318"/>
      <c r="E129" s="318"/>
      <c r="F129" s="318"/>
      <c r="G129" s="318"/>
      <c r="H129" s="318"/>
      <c r="I129" s="318"/>
      <c r="J129" s="318"/>
    </row>
    <row r="130" spans="1:10" hidden="1">
      <c r="A130" s="315" t="s">
        <v>1086</v>
      </c>
      <c r="B130" s="594" t="s">
        <v>3292</v>
      </c>
      <c r="C130" s="582"/>
      <c r="D130" s="582"/>
      <c r="E130" s="582"/>
      <c r="F130" s="582"/>
      <c r="G130" s="582"/>
      <c r="H130" s="582"/>
      <c r="I130" s="582"/>
      <c r="J130" s="582"/>
    </row>
    <row r="131" spans="1:10" ht="25.5" hidden="1">
      <c r="A131" s="315" t="s">
        <v>2090</v>
      </c>
      <c r="B131" s="594" t="s">
        <v>3293</v>
      </c>
      <c r="C131" s="582"/>
      <c r="D131" s="582"/>
      <c r="E131" s="582"/>
      <c r="F131" s="582"/>
      <c r="G131" s="582"/>
      <c r="H131" s="582"/>
      <c r="I131" s="582"/>
      <c r="J131" s="582"/>
    </row>
    <row r="132" spans="1:10" hidden="1">
      <c r="A132" s="315" t="s">
        <v>1089</v>
      </c>
      <c r="B132" s="594" t="s">
        <v>3294</v>
      </c>
      <c r="C132" s="582"/>
      <c r="D132" s="582"/>
      <c r="E132" s="582"/>
      <c r="F132" s="582"/>
      <c r="G132" s="582"/>
      <c r="H132" s="582"/>
      <c r="I132" s="582"/>
      <c r="J132" s="582"/>
    </row>
    <row r="133" spans="1:10" hidden="1">
      <c r="A133" s="315" t="s">
        <v>1090</v>
      </c>
      <c r="B133" s="594" t="s">
        <v>3295</v>
      </c>
      <c r="C133" s="582"/>
      <c r="D133" s="582"/>
      <c r="E133" s="582"/>
      <c r="F133" s="582"/>
      <c r="G133" s="582"/>
      <c r="H133" s="582"/>
      <c r="I133" s="582"/>
      <c r="J133" s="582"/>
    </row>
    <row r="134" spans="1:10" hidden="1">
      <c r="A134" s="315" t="s">
        <v>1088</v>
      </c>
      <c r="B134" s="594" t="s">
        <v>3296</v>
      </c>
      <c r="C134" s="582"/>
      <c r="D134" s="582"/>
      <c r="E134" s="582"/>
      <c r="F134" s="582"/>
      <c r="G134" s="582"/>
      <c r="H134" s="582"/>
      <c r="I134" s="582"/>
      <c r="J134" s="582"/>
    </row>
    <row r="135" spans="1:10" ht="25.5" hidden="1">
      <c r="A135" s="315" t="s">
        <v>3297</v>
      </c>
      <c r="B135" s="594" t="s">
        <v>3298</v>
      </c>
      <c r="C135" s="582"/>
      <c r="D135" s="582"/>
      <c r="E135" s="582"/>
      <c r="F135" s="582"/>
      <c r="G135" s="582"/>
      <c r="H135" s="582"/>
      <c r="I135" s="582"/>
      <c r="J135" s="582"/>
    </row>
    <row r="136" spans="1:10" hidden="1">
      <c r="A136" s="315" t="s">
        <v>1563</v>
      </c>
      <c r="B136" s="594" t="s">
        <v>1776</v>
      </c>
      <c r="C136" s="582"/>
      <c r="D136" s="582"/>
      <c r="E136" s="582"/>
      <c r="F136" s="582"/>
      <c r="G136" s="582"/>
      <c r="H136" s="582"/>
      <c r="I136" s="582"/>
      <c r="J136" s="582"/>
    </row>
    <row r="137" spans="1:10">
      <c r="A137" s="227"/>
      <c r="B137" s="227"/>
      <c r="C137" s="227"/>
      <c r="D137" s="227"/>
      <c r="E137" s="227"/>
      <c r="F137" s="227"/>
      <c r="G137" s="227"/>
      <c r="H137" s="227"/>
      <c r="I137" s="227"/>
      <c r="J137" s="227"/>
    </row>
    <row r="138" spans="1:10" ht="18" hidden="1">
      <c r="A138" s="598" t="s">
        <v>5562</v>
      </c>
      <c r="B138" s="598"/>
      <c r="C138" s="598"/>
      <c r="D138" s="598"/>
      <c r="E138" s="598"/>
      <c r="F138" s="598"/>
      <c r="G138" s="598"/>
      <c r="H138" s="598"/>
      <c r="I138" s="227"/>
      <c r="J138" s="227"/>
    </row>
    <row r="139" spans="1:10" hidden="1">
      <c r="A139" s="272" t="s">
        <v>2</v>
      </c>
      <c r="B139" s="591" t="s">
        <v>5563</v>
      </c>
      <c r="C139" s="591"/>
      <c r="D139" s="591"/>
      <c r="E139" s="591"/>
      <c r="F139" s="591"/>
      <c r="G139" s="591"/>
      <c r="H139" s="591"/>
      <c r="I139" s="227"/>
      <c r="J139" s="227"/>
    </row>
    <row r="140" spans="1:10" hidden="1">
      <c r="A140" s="272" t="s">
        <v>5564</v>
      </c>
      <c r="B140" s="591" t="s">
        <v>5565</v>
      </c>
      <c r="C140" s="591"/>
      <c r="D140" s="591"/>
      <c r="E140" s="591"/>
      <c r="F140" s="591"/>
      <c r="G140" s="591"/>
      <c r="H140" s="591"/>
      <c r="I140" s="227"/>
      <c r="J140" s="227"/>
    </row>
    <row r="141" spans="1:10" hidden="1">
      <c r="A141" s="192"/>
      <c r="B141" s="192"/>
      <c r="C141" s="192"/>
      <c r="D141" s="192"/>
      <c r="E141" s="192"/>
      <c r="F141" s="192"/>
      <c r="G141" s="192"/>
      <c r="H141" s="192"/>
      <c r="I141" s="227"/>
      <c r="J141" s="227"/>
    </row>
    <row r="142" spans="1:10" hidden="1">
      <c r="A142" s="319" t="s">
        <v>4946</v>
      </c>
      <c r="B142" s="319" t="s">
        <v>77</v>
      </c>
      <c r="C142" s="319" t="s">
        <v>5566</v>
      </c>
      <c r="D142" s="319" t="s">
        <v>263</v>
      </c>
      <c r="E142" s="319" t="s">
        <v>216</v>
      </c>
      <c r="F142" s="319" t="s">
        <v>5567</v>
      </c>
      <c r="G142" s="319" t="s">
        <v>5568</v>
      </c>
      <c r="H142" s="319" t="s">
        <v>5569</v>
      </c>
      <c r="I142" s="227"/>
      <c r="J142" s="227"/>
    </row>
    <row r="143" spans="1:10" ht="25.5" hidden="1">
      <c r="A143" s="273" t="s">
        <v>5570</v>
      </c>
      <c r="B143" s="274" t="s">
        <v>1096</v>
      </c>
      <c r="C143" s="273"/>
      <c r="D143" s="273"/>
      <c r="E143" s="273"/>
      <c r="F143" s="273"/>
      <c r="G143" s="275" t="str">
        <f t="shared" ref="G143:G150" si="2">IF(OR(B143="Yes",B143="N/A"),"🟢","🟡")</f>
        <v>🟡</v>
      </c>
      <c r="H143" s="273"/>
      <c r="I143" s="227"/>
      <c r="J143" s="227"/>
    </row>
    <row r="144" spans="1:10" hidden="1">
      <c r="A144" s="273" t="s">
        <v>5571</v>
      </c>
      <c r="B144" s="274" t="s">
        <v>1096</v>
      </c>
      <c r="C144" s="273"/>
      <c r="D144" s="273"/>
      <c r="E144" s="273"/>
      <c r="F144" s="273"/>
      <c r="G144" s="275" t="str">
        <f t="shared" si="2"/>
        <v>🟡</v>
      </c>
      <c r="H144" s="273"/>
      <c r="I144" s="227"/>
      <c r="J144" s="227"/>
    </row>
    <row r="145" spans="1:10" hidden="1">
      <c r="A145" s="273" t="s">
        <v>5572</v>
      </c>
      <c r="B145" s="274" t="s">
        <v>1096</v>
      </c>
      <c r="C145" s="273"/>
      <c r="D145" s="273"/>
      <c r="E145" s="273"/>
      <c r="F145" s="273"/>
      <c r="G145" s="275" t="str">
        <f t="shared" si="2"/>
        <v>🟡</v>
      </c>
      <c r="H145" s="273"/>
      <c r="I145" s="227"/>
      <c r="J145" s="227"/>
    </row>
    <row r="146" spans="1:10" hidden="1">
      <c r="A146" s="273" t="s">
        <v>5168</v>
      </c>
      <c r="B146" s="274" t="s">
        <v>1096</v>
      </c>
      <c r="C146" s="273"/>
      <c r="D146" s="273"/>
      <c r="E146" s="273"/>
      <c r="F146" s="273"/>
      <c r="G146" s="275" t="str">
        <f t="shared" si="2"/>
        <v>🟡</v>
      </c>
      <c r="H146" s="273"/>
      <c r="I146" s="227"/>
      <c r="J146" s="227"/>
    </row>
    <row r="147" spans="1:10" hidden="1">
      <c r="A147" s="273" t="s">
        <v>5573</v>
      </c>
      <c r="B147" s="274" t="s">
        <v>1096</v>
      </c>
      <c r="C147" s="273"/>
      <c r="D147" s="273"/>
      <c r="E147" s="273"/>
      <c r="F147" s="273"/>
      <c r="G147" s="275" t="str">
        <f t="shared" si="2"/>
        <v>🟡</v>
      </c>
      <c r="H147" s="273"/>
      <c r="I147" s="227"/>
      <c r="J147" s="227"/>
    </row>
    <row r="148" spans="1:10" hidden="1">
      <c r="A148" s="273" t="s">
        <v>5574</v>
      </c>
      <c r="B148" s="274" t="s">
        <v>1096</v>
      </c>
      <c r="C148" s="273"/>
      <c r="D148" s="273"/>
      <c r="E148" s="273"/>
      <c r="F148" s="273"/>
      <c r="G148" s="275" t="str">
        <f t="shared" si="2"/>
        <v>🟡</v>
      </c>
      <c r="H148" s="273"/>
      <c r="I148" s="227"/>
      <c r="J148" s="227"/>
    </row>
    <row r="149" spans="1:10" hidden="1">
      <c r="A149" s="273" t="s">
        <v>178</v>
      </c>
      <c r="B149" s="274" t="s">
        <v>1096</v>
      </c>
      <c r="C149" s="273"/>
      <c r="D149" s="273"/>
      <c r="E149" s="273"/>
      <c r="F149" s="273"/>
      <c r="G149" s="275" t="str">
        <f t="shared" si="2"/>
        <v>🟡</v>
      </c>
      <c r="H149" s="273"/>
      <c r="I149" s="227"/>
      <c r="J149" s="227"/>
    </row>
    <row r="150" spans="1:10" ht="25.5" hidden="1">
      <c r="A150" s="273" t="s">
        <v>5575</v>
      </c>
      <c r="B150" s="274" t="s">
        <v>1096</v>
      </c>
      <c r="C150" s="273"/>
      <c r="D150" s="273"/>
      <c r="E150" s="273"/>
      <c r="F150" s="273"/>
      <c r="G150" s="275" t="str">
        <f t="shared" si="2"/>
        <v>🟡</v>
      </c>
      <c r="H150" s="273"/>
      <c r="I150" s="227"/>
      <c r="J150" s="227"/>
    </row>
    <row r="151" spans="1:10" ht="42" hidden="1" customHeight="1">
      <c r="A151" s="320" t="s">
        <v>4946</v>
      </c>
      <c r="B151" s="320" t="s">
        <v>5583</v>
      </c>
      <c r="C151" s="192"/>
      <c r="D151" s="192"/>
      <c r="E151" s="320" t="s">
        <v>5584</v>
      </c>
      <c r="F151" s="192"/>
      <c r="G151" s="192"/>
      <c r="H151" s="192"/>
      <c r="I151" s="227"/>
      <c r="J151" s="227"/>
    </row>
    <row r="152" spans="1:10" ht="42" hidden="1" customHeight="1">
      <c r="A152" s="287" t="s">
        <v>5570</v>
      </c>
      <c r="B152" s="577" t="s">
        <v>5585</v>
      </c>
      <c r="C152" s="577"/>
      <c r="D152" s="577"/>
      <c r="E152" s="577" t="s">
        <v>5586</v>
      </c>
      <c r="F152" s="577"/>
      <c r="G152" s="577"/>
      <c r="H152" s="192"/>
      <c r="I152" s="227"/>
      <c r="J152" s="227"/>
    </row>
    <row r="153" spans="1:10" ht="42" hidden="1" customHeight="1">
      <c r="A153" s="287" t="s">
        <v>5571</v>
      </c>
      <c r="B153" s="577" t="s">
        <v>5587</v>
      </c>
      <c r="C153" s="577"/>
      <c r="D153" s="577"/>
      <c r="E153" s="577" t="s">
        <v>5588</v>
      </c>
      <c r="F153" s="577"/>
      <c r="G153" s="577"/>
      <c r="H153" s="192"/>
      <c r="I153" s="227"/>
      <c r="J153" s="227"/>
    </row>
    <row r="154" spans="1:10" ht="42" hidden="1" customHeight="1">
      <c r="A154" s="287" t="s">
        <v>5572</v>
      </c>
      <c r="B154" s="577" t="s">
        <v>5589</v>
      </c>
      <c r="C154" s="577"/>
      <c r="D154" s="577"/>
      <c r="E154" s="577" t="s">
        <v>5590</v>
      </c>
      <c r="F154" s="577"/>
      <c r="G154" s="577"/>
      <c r="H154" s="192"/>
      <c r="I154" s="227"/>
      <c r="J154" s="227"/>
    </row>
    <row r="155" spans="1:10" ht="42" hidden="1" customHeight="1">
      <c r="A155" s="287" t="s">
        <v>5168</v>
      </c>
      <c r="B155" s="577" t="s">
        <v>5591</v>
      </c>
      <c r="C155" s="577"/>
      <c r="D155" s="577"/>
      <c r="E155" s="577" t="s">
        <v>5592</v>
      </c>
      <c r="F155" s="577"/>
      <c r="G155" s="577"/>
      <c r="H155" s="192"/>
      <c r="I155" s="227"/>
      <c r="J155" s="227"/>
    </row>
    <row r="156" spans="1:10" ht="42" hidden="1" customHeight="1">
      <c r="A156" s="287" t="s">
        <v>5573</v>
      </c>
      <c r="B156" s="577" t="s">
        <v>5593</v>
      </c>
      <c r="C156" s="577"/>
      <c r="D156" s="577"/>
      <c r="E156" s="577" t="s">
        <v>5594</v>
      </c>
      <c r="F156" s="577"/>
      <c r="G156" s="577"/>
      <c r="H156" s="192"/>
      <c r="I156" s="227"/>
      <c r="J156" s="227"/>
    </row>
    <row r="157" spans="1:10" ht="42" hidden="1" customHeight="1">
      <c r="A157" s="287" t="s">
        <v>5574</v>
      </c>
      <c r="B157" s="577" t="s">
        <v>5595</v>
      </c>
      <c r="C157" s="577"/>
      <c r="D157" s="577"/>
      <c r="E157" s="577" t="s">
        <v>5596</v>
      </c>
      <c r="F157" s="577"/>
      <c r="G157" s="577"/>
      <c r="H157" s="192"/>
      <c r="I157" s="227"/>
      <c r="J157" s="227"/>
    </row>
    <row r="158" spans="1:10" ht="42" hidden="1" customHeight="1">
      <c r="A158" s="287" t="s">
        <v>178</v>
      </c>
      <c r="B158" s="577" t="s">
        <v>5597</v>
      </c>
      <c r="C158" s="577"/>
      <c r="D158" s="577"/>
      <c r="E158" s="577" t="s">
        <v>5598</v>
      </c>
      <c r="F158" s="577"/>
      <c r="G158" s="577"/>
      <c r="H158" s="192"/>
      <c r="I158" s="227"/>
      <c r="J158" s="227"/>
    </row>
    <row r="159" spans="1:10" ht="42" hidden="1" customHeight="1">
      <c r="A159" s="287" t="s">
        <v>5575</v>
      </c>
      <c r="B159" s="577" t="s">
        <v>5599</v>
      </c>
      <c r="C159" s="577"/>
      <c r="D159" s="577"/>
      <c r="E159" s="577" t="s">
        <v>5600</v>
      </c>
      <c r="F159" s="577"/>
      <c r="G159" s="577"/>
      <c r="H159" s="192"/>
      <c r="I159" s="227"/>
      <c r="J159" s="227"/>
    </row>
    <row r="160" spans="1:10" hidden="1">
      <c r="A160" s="272" t="s">
        <v>5576</v>
      </c>
      <c r="B160" s="276" t="str">
        <f>IF(COUNTIF(B143:B150,"No")=0,"🟢 PILOT COMPLETE / ACCEPTANCE READY","🟡 NOT COMPLETE — ACCEPTANCE GATES OPEN")</f>
        <v>🟡 NOT COMPLETE — ACCEPTANCE GATES OPEN</v>
      </c>
      <c r="C160" s="276"/>
      <c r="D160" s="276"/>
      <c r="E160" s="276"/>
      <c r="F160" s="276"/>
      <c r="G160" s="276"/>
      <c r="H160" s="276"/>
    </row>
    <row r="161" spans="1:10" hidden="1">
      <c r="A161" s="272" t="s">
        <v>5577</v>
      </c>
      <c r="B161" s="276">
        <f>COUNTIF(B143:B150,"No")</f>
        <v>8</v>
      </c>
      <c r="C161" s="276"/>
      <c r="D161" s="276"/>
      <c r="E161" s="276"/>
      <c r="F161" s="276"/>
      <c r="G161" s="276"/>
      <c r="H161" s="276"/>
    </row>
    <row r="162" spans="1:10" hidden="1">
      <c r="A162" s="272" t="s">
        <v>5578</v>
      </c>
      <c r="B162" s="276" t="str">
        <f>COUNTIF(B143:B150,"Yes")&amp;" / 8 Complete"</f>
        <v>0 / 8 Complete</v>
      </c>
      <c r="C162" s="276"/>
      <c r="D162" s="276"/>
      <c r="E162" s="276"/>
      <c r="F162" s="276"/>
      <c r="G162" s="276"/>
      <c r="H162" s="276"/>
    </row>
    <row r="163" spans="1:10" ht="90" hidden="1">
      <c r="A163" s="277" t="s">
        <v>5579</v>
      </c>
      <c r="B163" s="278" t="s">
        <v>5580</v>
      </c>
      <c r="C163" s="278"/>
      <c r="D163" s="278"/>
      <c r="E163" s="278"/>
      <c r="F163" s="278"/>
      <c r="G163" s="278"/>
      <c r="H163" s="278"/>
    </row>
    <row r="164" spans="1:10" hidden="1">
      <c r="A164" s="277"/>
      <c r="B164" s="278"/>
      <c r="C164" s="278"/>
      <c r="D164" s="278"/>
      <c r="E164" s="278"/>
      <c r="F164" s="278"/>
      <c r="G164" s="278"/>
      <c r="H164" s="278"/>
    </row>
    <row r="165" spans="1:10" ht="64.5" hidden="1">
      <c r="A165" s="277" t="s">
        <v>5581</v>
      </c>
      <c r="B165" s="278" t="s">
        <v>5582</v>
      </c>
      <c r="C165" s="278"/>
      <c r="D165" s="278"/>
      <c r="E165" s="278"/>
      <c r="F165" s="278"/>
      <c r="G165" s="278"/>
      <c r="H165" s="278"/>
    </row>
    <row r="166" spans="1:10">
      <c r="A166" s="575" t="s">
        <v>5694</v>
      </c>
      <c r="B166" s="575"/>
      <c r="C166" s="575"/>
      <c r="D166" s="575"/>
      <c r="E166" s="575"/>
      <c r="F166" s="575"/>
      <c r="G166" s="575"/>
      <c r="H166" s="575"/>
      <c r="I166" s="575"/>
      <c r="J166" s="575"/>
    </row>
    <row r="167" spans="1:10">
      <c r="A167" s="336" t="s">
        <v>5679</v>
      </c>
      <c r="B167" s="192"/>
      <c r="C167" s="192"/>
      <c r="D167" s="192"/>
      <c r="E167" s="192"/>
      <c r="F167" s="192"/>
      <c r="G167" s="192"/>
      <c r="H167" s="192"/>
      <c r="I167" s="192"/>
      <c r="J167" s="192"/>
    </row>
    <row r="168" spans="1:10">
      <c r="A168" s="192"/>
      <c r="B168" s="192"/>
      <c r="C168" s="192"/>
      <c r="D168" s="192"/>
      <c r="E168" s="192"/>
      <c r="F168" s="192"/>
      <c r="G168" s="192"/>
      <c r="H168" s="192"/>
      <c r="I168" s="192"/>
      <c r="J168" s="192"/>
    </row>
    <row r="169" spans="1:10">
      <c r="A169" s="192" t="s">
        <v>5680</v>
      </c>
      <c r="B169" s="192"/>
      <c r="C169" s="192"/>
      <c r="D169" s="192"/>
      <c r="E169" s="192"/>
      <c r="F169" s="192"/>
      <c r="G169" s="192"/>
      <c r="H169" s="192"/>
      <c r="I169" s="192"/>
      <c r="J169" s="192"/>
    </row>
    <row r="170" spans="1:10">
      <c r="A170" s="192"/>
      <c r="B170" s="192"/>
      <c r="C170" s="192"/>
      <c r="D170" s="192"/>
      <c r="E170" s="192"/>
      <c r="F170" s="192"/>
      <c r="G170" s="192"/>
      <c r="H170" s="192"/>
      <c r="I170" s="192"/>
      <c r="J170" s="192"/>
    </row>
    <row r="171" spans="1:10">
      <c r="A171" s="192" t="s">
        <v>5681</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5682</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575" t="s">
        <v>5695</v>
      </c>
      <c r="B177" s="575"/>
      <c r="C177" s="575"/>
      <c r="D177" s="575"/>
      <c r="E177" s="575"/>
      <c r="F177" s="575"/>
      <c r="G177" s="575"/>
      <c r="H177" s="575"/>
      <c r="I177" s="575"/>
      <c r="J177" s="575"/>
    </row>
    <row r="178" spans="1:10">
      <c r="A178" s="192"/>
      <c r="B178" s="192"/>
      <c r="C178" s="192"/>
      <c r="D178" s="192"/>
      <c r="E178" s="192"/>
      <c r="F178" s="192"/>
      <c r="G178" s="192"/>
      <c r="H178" s="192"/>
      <c r="I178" s="192"/>
      <c r="J178" s="192"/>
    </row>
    <row r="179" spans="1:10">
      <c r="A179" s="192" t="s">
        <v>5683</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5684</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5685</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575" t="s">
        <v>5696</v>
      </c>
      <c r="B187" s="575"/>
      <c r="C187" s="575"/>
      <c r="D187" s="575"/>
      <c r="E187" s="575"/>
      <c r="F187" s="575"/>
      <c r="G187" s="575"/>
      <c r="H187" s="575"/>
      <c r="I187" s="575"/>
      <c r="J187" s="575"/>
    </row>
    <row r="188" spans="1:10">
      <c r="A188" s="192"/>
      <c r="B188" s="192"/>
      <c r="C188" s="192"/>
      <c r="D188" s="192"/>
      <c r="E188" s="192"/>
      <c r="F188" s="192"/>
      <c r="G188" s="192"/>
      <c r="H188" s="192"/>
      <c r="I188" s="192"/>
      <c r="J188" s="192"/>
    </row>
    <row r="189" spans="1:10">
      <c r="A189" s="192" t="s">
        <v>5686</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5687</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5688</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5689</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5" t="s">
        <v>5697</v>
      </c>
      <c r="B199" s="575"/>
      <c r="C199" s="575"/>
      <c r="D199" s="575"/>
      <c r="E199" s="575"/>
      <c r="F199" s="575"/>
      <c r="G199" s="575"/>
      <c r="H199" s="575"/>
      <c r="I199" s="575"/>
      <c r="J199" s="575"/>
    </row>
    <row r="200" spans="1:10">
      <c r="A200" s="192"/>
      <c r="B200" s="192"/>
      <c r="C200" s="192"/>
      <c r="D200" s="192"/>
      <c r="E200" s="192"/>
      <c r="F200" s="192"/>
      <c r="G200" s="192"/>
      <c r="H200" s="192"/>
      <c r="I200" s="192"/>
      <c r="J200" s="192"/>
    </row>
    <row r="201" spans="1:10">
      <c r="A201" s="192" t="s">
        <v>5690</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5691</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5692</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5693</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337"/>
      <c r="B211" s="337"/>
      <c r="C211" s="337"/>
      <c r="D211" s="337"/>
      <c r="E211" s="337"/>
      <c r="F211" s="337"/>
      <c r="G211" s="337"/>
      <c r="H211" s="337"/>
      <c r="I211" s="337"/>
      <c r="J211" s="337"/>
    </row>
    <row r="212" spans="1:10">
      <c r="A212" s="337"/>
      <c r="B212" s="337"/>
      <c r="C212" s="337"/>
      <c r="D212" s="337"/>
      <c r="E212" s="337"/>
      <c r="F212" s="337"/>
      <c r="G212" s="337"/>
      <c r="H212" s="337"/>
      <c r="I212" s="337"/>
      <c r="J212" s="337"/>
    </row>
    <row r="213" spans="1:10">
      <c r="A213" s="337"/>
      <c r="B213" s="337"/>
      <c r="C213" s="337"/>
      <c r="D213" s="337"/>
      <c r="E213" s="337"/>
      <c r="F213" s="337"/>
      <c r="G213" s="337"/>
      <c r="H213" s="337"/>
      <c r="I213" s="337"/>
      <c r="J213" s="337"/>
    </row>
    <row r="214" spans="1:10">
      <c r="A214" s="337"/>
      <c r="B214" s="337"/>
      <c r="C214" s="337"/>
      <c r="D214" s="337"/>
      <c r="E214" s="337"/>
      <c r="F214" s="337"/>
      <c r="G214" s="337"/>
      <c r="H214" s="337"/>
      <c r="I214" s="337"/>
      <c r="J214" s="337"/>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192"/>
      <c r="B220" s="192"/>
      <c r="C220" s="192"/>
      <c r="D220" s="192"/>
      <c r="E220" s="192"/>
      <c r="F220" s="192"/>
      <c r="G220" s="192"/>
      <c r="H220" s="192"/>
      <c r="I220" s="192"/>
      <c r="J220" s="192"/>
    </row>
    <row r="221" spans="1:10">
      <c r="A221" s="316"/>
      <c r="B221" s="316"/>
      <c r="C221" s="316"/>
      <c r="D221" s="316"/>
      <c r="E221" s="316"/>
      <c r="F221" s="316"/>
      <c r="G221" s="599"/>
      <c r="H221" s="599"/>
      <c r="I221" s="599"/>
      <c r="J221" s="599"/>
    </row>
    <row r="223" spans="1:10" ht="14.25" customHeight="1">
      <c r="A223" s="134"/>
    </row>
    <row r="224" spans="1:10" ht="14.25" customHeight="1">
      <c r="A224" s="134" t="s">
        <v>3350</v>
      </c>
    </row>
    <row r="225" spans="1:2" ht="14.25" customHeight="1">
      <c r="A225" s="134" t="s">
        <v>3351</v>
      </c>
    </row>
    <row r="226" spans="1:2" ht="14.25" customHeight="1">
      <c r="A226" s="134" t="s">
        <v>3352</v>
      </c>
    </row>
    <row r="227" spans="1:2" ht="14.25" customHeight="1">
      <c r="A227" s="134" t="s">
        <v>3353</v>
      </c>
    </row>
    <row r="228" spans="1:2" ht="14.25" customHeight="1">
      <c r="A228" s="134" t="s">
        <v>3354</v>
      </c>
    </row>
    <row r="229" spans="1:2" ht="14.25" customHeight="1">
      <c r="A229" s="134" t="s">
        <v>3355</v>
      </c>
    </row>
    <row r="230" spans="1:2" ht="14.25" customHeight="1">
      <c r="A230" s="134" t="s">
        <v>3356</v>
      </c>
    </row>
    <row r="231" spans="1:2" ht="14.25" customHeight="1">
      <c r="A231" s="134" t="s">
        <v>3357</v>
      </c>
    </row>
    <row r="232" spans="1:2" ht="14.25" customHeight="1">
      <c r="A232" s="134" t="s">
        <v>3358</v>
      </c>
    </row>
    <row r="233" spans="1:2" ht="14.25" customHeight="1">
      <c r="A233" s="134" t="s">
        <v>3359</v>
      </c>
    </row>
    <row r="234" spans="1:2" ht="14.25" customHeight="1">
      <c r="A234" s="134" t="s">
        <v>3360</v>
      </c>
    </row>
    <row r="236" spans="1:2" ht="22.5" customHeight="1">
      <c r="A236" s="131" t="s">
        <v>3361</v>
      </c>
    </row>
    <row r="238" spans="1:2" ht="14.25" customHeight="1">
      <c r="A238" s="8" t="s">
        <v>3362</v>
      </c>
    </row>
    <row r="240" spans="1:2" ht="14.25" customHeight="1">
      <c r="A240" s="132" t="s">
        <v>3363</v>
      </c>
      <c r="B240" s="132" t="s">
        <v>3364</v>
      </c>
    </row>
    <row r="241" spans="1:2" ht="14.25" customHeight="1">
      <c r="A241" s="133" t="s">
        <v>142</v>
      </c>
      <c r="B241" s="133">
        <v>62</v>
      </c>
    </row>
    <row r="242" spans="1:2" ht="14.25" customHeight="1">
      <c r="A242" s="133" t="s">
        <v>275</v>
      </c>
      <c r="B242" s="133" t="s">
        <v>3365</v>
      </c>
    </row>
    <row r="243" spans="1:2" ht="27" customHeight="1">
      <c r="A243" s="133" t="s">
        <v>884</v>
      </c>
      <c r="B243" s="133" t="s">
        <v>3366</v>
      </c>
    </row>
    <row r="244" spans="1:2" ht="41.25" customHeight="1">
      <c r="A244" s="133" t="s">
        <v>885</v>
      </c>
      <c r="B244" s="133" t="s">
        <v>3367</v>
      </c>
    </row>
    <row r="245" spans="1:2" ht="14.25" customHeight="1">
      <c r="A245" s="133" t="s">
        <v>3368</v>
      </c>
      <c r="B245" s="133" t="s">
        <v>369</v>
      </c>
    </row>
    <row r="246" spans="1:2" ht="14.25" customHeight="1">
      <c r="A246" s="133" t="s">
        <v>887</v>
      </c>
      <c r="B246" s="133" t="s">
        <v>3369</v>
      </c>
    </row>
    <row r="247" spans="1:2" ht="27" customHeight="1">
      <c r="A247" s="133" t="s">
        <v>3370</v>
      </c>
      <c r="B247" s="133" t="s">
        <v>3371</v>
      </c>
    </row>
    <row r="248" spans="1:2" ht="27" customHeight="1">
      <c r="A248" s="133" t="s">
        <v>3372</v>
      </c>
      <c r="B248" s="133" t="s">
        <v>3373</v>
      </c>
    </row>
    <row r="249" spans="1:2" ht="41.25" customHeight="1">
      <c r="A249" s="133" t="s">
        <v>3374</v>
      </c>
      <c r="B249" s="133" t="s">
        <v>3371</v>
      </c>
    </row>
    <row r="250" spans="1:2" ht="27" customHeight="1">
      <c r="A250" s="133" t="s">
        <v>3375</v>
      </c>
      <c r="B250" s="133" t="s">
        <v>3376</v>
      </c>
    </row>
    <row r="251" spans="1:2" ht="14.25" customHeight="1">
      <c r="A251" s="133" t="s">
        <v>978</v>
      </c>
      <c r="B251" s="133" t="s">
        <v>3371</v>
      </c>
    </row>
    <row r="252" spans="1:2" ht="14.25" customHeight="1">
      <c r="A252" s="133" t="s">
        <v>979</v>
      </c>
      <c r="B252" s="133" t="s">
        <v>1366</v>
      </c>
    </row>
    <row r="253" spans="1:2" ht="27" customHeight="1">
      <c r="A253" s="133" t="s">
        <v>3377</v>
      </c>
      <c r="B253" s="133" t="s">
        <v>3371</v>
      </c>
    </row>
    <row r="254" spans="1:2" ht="27" customHeight="1">
      <c r="A254" s="133" t="s">
        <v>3378</v>
      </c>
      <c r="B254" s="133" t="s">
        <v>3371</v>
      </c>
    </row>
    <row r="255" spans="1:2" ht="27" customHeight="1">
      <c r="A255" s="133" t="s">
        <v>3379</v>
      </c>
      <c r="B255" s="133" t="s">
        <v>3371</v>
      </c>
    </row>
    <row r="256" spans="1:2" ht="27" customHeight="1">
      <c r="A256" s="133" t="s">
        <v>3380</v>
      </c>
      <c r="B256" s="133" t="s">
        <v>3371</v>
      </c>
    </row>
    <row r="257" spans="1:2" ht="14.25" customHeight="1">
      <c r="A257" s="133" t="s">
        <v>941</v>
      </c>
      <c r="B257" s="133" t="s">
        <v>3371</v>
      </c>
    </row>
    <row r="258" spans="1:2" ht="14.25" customHeight="1">
      <c r="A258" s="133" t="s">
        <v>1012</v>
      </c>
      <c r="B258" s="133" t="s">
        <v>3371</v>
      </c>
    </row>
    <row r="259" spans="1:2" ht="14.25" customHeight="1">
      <c r="A259" s="133" t="s">
        <v>161</v>
      </c>
      <c r="B259" s="133" t="s">
        <v>11</v>
      </c>
    </row>
    <row r="260" spans="1:2" ht="14.25" customHeight="1">
      <c r="A260" s="133" t="s">
        <v>3381</v>
      </c>
      <c r="B260" s="133" t="s">
        <v>11</v>
      </c>
    </row>
    <row r="261" spans="1:2" ht="27" customHeight="1">
      <c r="A261" s="133" t="s">
        <v>3382</v>
      </c>
      <c r="B261" s="133" t="s">
        <v>3383</v>
      </c>
    </row>
    <row r="262" spans="1:2" ht="41.25" customHeight="1">
      <c r="A262" s="133" t="s">
        <v>77</v>
      </c>
      <c r="B262" s="133" t="s">
        <v>3384</v>
      </c>
    </row>
    <row r="264" spans="1:2" ht="22.5" customHeight="1">
      <c r="A264" s="131" t="s">
        <v>3385</v>
      </c>
    </row>
    <row r="266" spans="1:2" ht="14.25" customHeight="1">
      <c r="A266" s="8" t="s">
        <v>3386</v>
      </c>
    </row>
    <row r="267" spans="1:2" ht="14.25" customHeight="1">
      <c r="A267" s="134"/>
    </row>
    <row r="268" spans="1:2" ht="14.25" customHeight="1">
      <c r="A268" s="134" t="s">
        <v>3387</v>
      </c>
    </row>
    <row r="269" spans="1:2" ht="14.25" customHeight="1">
      <c r="A269" s="134" t="s">
        <v>3388</v>
      </c>
    </row>
    <row r="270" spans="1:2" ht="14.25" customHeight="1">
      <c r="A270" s="134" t="s">
        <v>3389</v>
      </c>
    </row>
    <row r="271" spans="1:2" ht="14.25" customHeight="1">
      <c r="A271" s="134" t="s">
        <v>3390</v>
      </c>
    </row>
    <row r="272" spans="1:2" ht="14.25" customHeight="1">
      <c r="A272" s="134" t="s">
        <v>3391</v>
      </c>
    </row>
    <row r="273" spans="1:1" ht="14.25" customHeight="1">
      <c r="A273" s="134" t="s">
        <v>3392</v>
      </c>
    </row>
    <row r="274" spans="1:1" ht="14.25" customHeight="1">
      <c r="A274" s="134" t="s">
        <v>3393</v>
      </c>
    </row>
    <row r="275" spans="1:1" ht="14.25" customHeight="1">
      <c r="A275" s="134" t="s">
        <v>3394</v>
      </c>
    </row>
    <row r="276" spans="1:1" ht="14.25" customHeight="1">
      <c r="A276" s="134" t="s">
        <v>3395</v>
      </c>
    </row>
    <row r="277" spans="1:1" ht="14.25" customHeight="1">
      <c r="A277" s="134" t="s">
        <v>3396</v>
      </c>
    </row>
  </sheetData>
  <mergeCells count="112">
    <mergeCell ref="A199:C199"/>
    <mergeCell ref="D199:F199"/>
    <mergeCell ref="G199:J199"/>
    <mergeCell ref="G221:J221"/>
    <mergeCell ref="A177:C177"/>
    <mergeCell ref="D177:F177"/>
    <mergeCell ref="G177:J177"/>
    <mergeCell ref="A187:C187"/>
    <mergeCell ref="D187:F187"/>
    <mergeCell ref="G187:J187"/>
    <mergeCell ref="B159:D159"/>
    <mergeCell ref="E159:G159"/>
    <mergeCell ref="A166:C166"/>
    <mergeCell ref="D166:F166"/>
    <mergeCell ref="G166:J166"/>
    <mergeCell ref="B156:D156"/>
    <mergeCell ref="E156:G156"/>
    <mergeCell ref="B157:D157"/>
    <mergeCell ref="E157:G157"/>
    <mergeCell ref="B158:D158"/>
    <mergeCell ref="E158:G158"/>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31:J131"/>
    <mergeCell ref="B132:J132"/>
    <mergeCell ref="B133:J133"/>
    <mergeCell ref="B134:J134"/>
    <mergeCell ref="B135:J135"/>
    <mergeCell ref="A126:B126"/>
    <mergeCell ref="C126:D126"/>
    <mergeCell ref="E126:J126"/>
    <mergeCell ref="A128:C128"/>
    <mergeCell ref="B130:J130"/>
    <mergeCell ref="G121:J121"/>
    <mergeCell ref="G122:J122"/>
    <mergeCell ref="G123:J123"/>
    <mergeCell ref="G124:J124"/>
    <mergeCell ref="G125:J125"/>
    <mergeCell ref="A118:C118"/>
    <mergeCell ref="D118:F118"/>
    <mergeCell ref="G118:J118"/>
    <mergeCell ref="G119:J119"/>
    <mergeCell ref="G120:J120"/>
    <mergeCell ref="G112:J112"/>
    <mergeCell ref="G113:J113"/>
    <mergeCell ref="G114:J114"/>
    <mergeCell ref="G115:J115"/>
    <mergeCell ref="A116:D117"/>
    <mergeCell ref="E116:J117"/>
    <mergeCell ref="G109:J109"/>
    <mergeCell ref="A110:C110"/>
    <mergeCell ref="D110:F110"/>
    <mergeCell ref="G110:J110"/>
    <mergeCell ref="G111:J111"/>
    <mergeCell ref="G104:J104"/>
    <mergeCell ref="G105:J105"/>
    <mergeCell ref="G106:J106"/>
    <mergeCell ref="G107:J107"/>
    <mergeCell ref="A108:B108"/>
    <mergeCell ref="C108:D108"/>
    <mergeCell ref="E108:J108"/>
    <mergeCell ref="A101:C101"/>
    <mergeCell ref="D101:F101"/>
    <mergeCell ref="G101:J101"/>
    <mergeCell ref="G102:J102"/>
    <mergeCell ref="G103:J103"/>
    <mergeCell ref="F95:J95"/>
    <mergeCell ref="F96:J96"/>
    <mergeCell ref="F97:J97"/>
    <mergeCell ref="F98:J98"/>
    <mergeCell ref="A99:B99"/>
    <mergeCell ref="C99:D99"/>
    <mergeCell ref="E99:J99"/>
    <mergeCell ref="G90:J90"/>
    <mergeCell ref="F91:J91"/>
    <mergeCell ref="F92:J92"/>
    <mergeCell ref="F93:J93"/>
    <mergeCell ref="F94:J94"/>
    <mergeCell ref="G83:J83"/>
    <mergeCell ref="G85:J85"/>
    <mergeCell ref="A87:B87"/>
    <mergeCell ref="E87:J87"/>
    <mergeCell ref="A89:C89"/>
    <mergeCell ref="D89:F89"/>
    <mergeCell ref="G89:J89"/>
    <mergeCell ref="A80:C80"/>
    <mergeCell ref="D80:F80"/>
    <mergeCell ref="G80:J80"/>
    <mergeCell ref="G81:J81"/>
    <mergeCell ref="G82:J82"/>
    <mergeCell ref="A74:C74"/>
    <mergeCell ref="A22:C22"/>
    <mergeCell ref="D6:J6"/>
    <mergeCell ref="A50:C50"/>
    <mergeCell ref="A43:C43"/>
    <mergeCell ref="A29:C29"/>
    <mergeCell ref="A15:C15"/>
    <mergeCell ref="A1:J1"/>
    <mergeCell ref="A36:C36"/>
    <mergeCell ref="A66:C66"/>
    <mergeCell ref="A8:C8"/>
    <mergeCell ref="A58:C58"/>
  </mergeCells>
  <conditionalFormatting sqref="B38:B40">
    <cfRule type="expression" dxfId="444" priority="133">
      <formula>B38="Verify"</formula>
    </cfRule>
    <cfRule type="expression" dxfId="443" priority="132">
      <formula>B38="Pass"</formula>
    </cfRule>
    <cfRule type="expression" dxfId="442" priority="134">
      <formula>B38="Fail"</formula>
    </cfRule>
    <cfRule type="expression" dxfId="441" priority="135">
      <formula>B38="Not Started"</formula>
    </cfRule>
  </conditionalFormatting>
  <conditionalFormatting sqref="B82:B86">
    <cfRule type="expression" dxfId="440" priority="21">
      <formula>B82="Complete"</formula>
    </cfRule>
    <cfRule type="expression" dxfId="439" priority="22">
      <formula>B82="In Progress"</formula>
    </cfRule>
    <cfRule type="expression" dxfId="438" priority="23">
      <formula>B82="At Risk"</formula>
    </cfRule>
    <cfRule type="expression" dxfId="437" priority="24">
      <formula>B82="Blocked"</formula>
    </cfRule>
    <cfRule type="expression" dxfId="436" priority="25">
      <formula>B82="Not Started"</formula>
    </cfRule>
  </conditionalFormatting>
  <conditionalFormatting sqref="B91:B98">
    <cfRule type="expression" dxfId="435" priority="2">
      <formula>B91="In Progress"</formula>
    </cfRule>
    <cfRule type="expression" dxfId="434" priority="3">
      <formula>B91="At Risk"</formula>
    </cfRule>
    <cfRule type="expression" dxfId="433" priority="4">
      <formula>B91="Blocked"</formula>
    </cfRule>
    <cfRule type="expression" dxfId="432" priority="5">
      <formula>B91="Not Started"</formula>
    </cfRule>
    <cfRule type="expression" dxfId="431" priority="1">
      <formula>B91="Complete"</formula>
    </cfRule>
  </conditionalFormatting>
  <conditionalFormatting sqref="B103:B107">
    <cfRule type="expression" dxfId="430" priority="30">
      <formula>B103="Not Started"</formula>
    </cfRule>
    <cfRule type="expression" dxfId="429" priority="29">
      <formula>B103="Blocked"</formula>
    </cfRule>
    <cfRule type="expression" dxfId="428" priority="28">
      <formula>B103="At Risk"</formula>
    </cfRule>
    <cfRule type="expression" dxfId="427" priority="27">
      <formula>B103="In Progress"</formula>
    </cfRule>
    <cfRule type="expression" dxfId="426" priority="26">
      <formula>B103="Complete"</formula>
    </cfRule>
  </conditionalFormatting>
  <conditionalFormatting sqref="B112:B115">
    <cfRule type="expression" dxfId="425" priority="6">
      <formula>B112="Complete"</formula>
    </cfRule>
    <cfRule type="expression" dxfId="424" priority="7">
      <formula>B112="In Progress"</formula>
    </cfRule>
    <cfRule type="expression" dxfId="423" priority="8">
      <formula>B112="At Risk"</formula>
    </cfRule>
    <cfRule type="expression" dxfId="422" priority="9">
      <formula>B112="Blocked"</formula>
    </cfRule>
    <cfRule type="expression" dxfId="421" priority="10">
      <formula>B112="Not Started"</formula>
    </cfRule>
  </conditionalFormatting>
  <conditionalFormatting sqref="B120:B125">
    <cfRule type="expression" dxfId="420" priority="12">
      <formula>B120="In Progress"</formula>
    </cfRule>
    <cfRule type="expression" dxfId="419" priority="13">
      <formula>B120="At Risk"</formula>
    </cfRule>
    <cfRule type="expression" dxfId="418" priority="14">
      <formula>B120="Blocked"</formula>
    </cfRule>
    <cfRule type="expression" dxfId="417" priority="15">
      <formula>B120="Not Started"</formula>
    </cfRule>
    <cfRule type="expression" dxfId="416" priority="11">
      <formula>B120="Complete"</formula>
    </cfRule>
  </conditionalFormatting>
  <conditionalFormatting sqref="B143:B150">
    <cfRule type="expression" dxfId="415" priority="83">
      <formula>B143="N/A"</formula>
    </cfRule>
    <cfRule type="expression" dxfId="414" priority="82">
      <formula>B143="Yes"</formula>
    </cfRule>
    <cfRule type="expression" dxfId="413" priority="84">
      <formula>B143="No"</formula>
    </cfRule>
  </conditionalFormatting>
  <conditionalFormatting sqref="B160:H160">
    <cfRule type="expression" dxfId="412" priority="86">
      <formula>COUNTIF($B$6:$B$13,"No")&gt;0</formula>
    </cfRule>
    <cfRule type="expression" dxfId="411" priority="85">
      <formula>COUNTIF($B$6:$B$13,"No")=0</formula>
    </cfRule>
  </conditionalFormatting>
  <conditionalFormatting sqref="B17:I19">
    <cfRule type="expression" dxfId="410" priority="121">
      <formula>B17="Verify"</formula>
    </cfRule>
    <cfRule type="expression" dxfId="409" priority="120">
      <formula>B17="Pass"</formula>
    </cfRule>
    <cfRule type="expression" dxfId="408" priority="123">
      <formula>B17="Not Started"</formula>
    </cfRule>
    <cfRule type="expression" dxfId="407" priority="122">
      <formula>B17="Fail"</formula>
    </cfRule>
  </conditionalFormatting>
  <conditionalFormatting sqref="B24:I26">
    <cfRule type="expression" dxfId="406" priority="124">
      <formula>B24="Pass"</formula>
    </cfRule>
    <cfRule type="expression" dxfId="405" priority="125">
      <formula>B24="Verify"</formula>
    </cfRule>
    <cfRule type="expression" dxfId="404" priority="126">
      <formula>B24="Fail"</formula>
    </cfRule>
    <cfRule type="expression" dxfId="403" priority="127">
      <formula>B24="Not Started"</formula>
    </cfRule>
  </conditionalFormatting>
  <conditionalFormatting sqref="B31:I33">
    <cfRule type="expression" dxfId="402" priority="128">
      <formula>B31="Pass"</formula>
    </cfRule>
    <cfRule type="expression" dxfId="401" priority="129">
      <formula>B31="Verify"</formula>
    </cfRule>
    <cfRule type="expression" dxfId="400" priority="130">
      <formula>B31="Fail"</formula>
    </cfRule>
    <cfRule type="expression" dxfId="399" priority="131">
      <formula>B31="Not Started"</formula>
    </cfRule>
  </conditionalFormatting>
  <conditionalFormatting sqref="B45:I47">
    <cfRule type="expression" dxfId="398" priority="140">
      <formula>B45="Pass"</formula>
    </cfRule>
    <cfRule type="expression" dxfId="397" priority="141">
      <formula>B45="Verify"</formula>
    </cfRule>
    <cfRule type="expression" dxfId="396" priority="142">
      <formula>B45="Fail"</formula>
    </cfRule>
    <cfRule type="expression" dxfId="395"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394" priority="33">
      <formula>C91="N/A"</formula>
    </cfRule>
    <cfRule type="expression" dxfId="393" priority="31">
      <formula>C91="Yes"</formula>
    </cfRule>
    <cfRule type="expression" dxfId="392" priority="32">
      <formula>C91="No"</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391" priority="18">
      <formula>C120="N/A"</formula>
    </cfRule>
    <cfRule type="expression" dxfId="390" priority="17">
      <formula>C120="No"</formula>
    </cfRule>
    <cfRule type="expression" dxfId="389" priority="16">
      <formula>C120="Yes"</formula>
    </cfRule>
  </conditionalFormatting>
  <conditionalFormatting sqref="C126:D126">
    <cfRule type="dataBar" priority="20">
      <dataBar>
        <cfvo type="num" val="0"/>
        <cfvo type="num" val="1"/>
        <color rgb="FF5B9BD5"/>
      </dataBar>
    </cfRule>
  </conditionalFormatting>
  <conditionalFormatting sqref="D38:I40">
    <cfRule type="expression" dxfId="388" priority="136">
      <formula>D38="Pass"</formula>
    </cfRule>
    <cfRule type="expression" dxfId="387" priority="137">
      <formula>D38="Verify"</formula>
    </cfRule>
    <cfRule type="expression" dxfId="386" priority="138">
      <formula>D38="Fail"</formula>
    </cfRule>
    <cfRule type="expression" dxfId="385" priority="139">
      <formula>D38="Not Started"</formula>
    </cfRule>
  </conditionalFormatting>
  <conditionalFormatting sqref="E5 G5 I5">
    <cfRule type="expression" dxfId="384" priority="87">
      <formula>E5="Pass"</formula>
    </cfRule>
    <cfRule type="expression" dxfId="383" priority="88">
      <formula>E5="Verify"</formula>
    </cfRule>
    <cfRule type="expression" dxfId="382" priority="89">
      <formula>E5="Fail"</formula>
    </cfRule>
    <cfRule type="expression" dxfId="381" priority="90">
      <formula>E5="Not Started"</formula>
    </cfRule>
  </conditionalFormatting>
  <conditionalFormatting sqref="F3">
    <cfRule type="expression" dxfId="380" priority="91">
      <formula>F3="Yes"</formula>
    </cfRule>
    <cfRule type="expression" dxfId="379" priority="92">
      <formula>F3="No"</formula>
    </cfRule>
  </conditionalFormatting>
  <conditionalFormatting sqref="F103:F107">
    <cfRule type="expression" dxfId="378" priority="35">
      <formula>F103="Fail"</formula>
    </cfRule>
    <cfRule type="expression" dxfId="377" priority="34">
      <formula>F103="Pass"</formula>
    </cfRule>
    <cfRule type="expression" dxfId="376"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375" priority="116">
      <formula>H10="Pass"</formula>
    </cfRule>
    <cfRule type="expression" dxfId="374" priority="117">
      <formula>H10="Verify"</formula>
    </cfRule>
    <cfRule type="expression" dxfId="373" priority="118">
      <formula>H10="Fail"</formula>
    </cfRule>
    <cfRule type="expression" dxfId="372" priority="119">
      <formula>H10="Not Started"</formula>
    </cfRule>
  </conditionalFormatting>
  <conditionalFormatting sqref="I76:I78">
    <cfRule type="expression" dxfId="371" priority="144">
      <formula>LEFT(I76,5)="Ready"</formula>
    </cfRule>
    <cfRule type="expression" dxfId="370" priority="145">
      <formula>LEFT(I76,7)="Partial"</formula>
    </cfRule>
    <cfRule type="expression" dxfId="369"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Lookup_Lists!$L$37:$L$39</xm:f>
          </x14:formula1>
          <xm:sqref>C103:E107 J2</xm:sqref>
        </x14:dataValidation>
        <x14:dataValidation type="list" allowBlank="1" showInputMessage="1" showErrorMessage="1" xr:uid="{21DD88FD-F3B4-45D3-B9F3-37905D3E048D}">
          <x14:formula1>
            <xm:f>Lookup_Lists!$A$36:$A$42</xm:f>
          </x14:formula1>
          <xm:sqref>B82:B86 B91:B98 B120:B125</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workbookViewId="0">
      <selection activeCell="D14" sqref="D14"/>
    </sheetView>
  </sheetViews>
  <sheetFormatPr defaultColWidth="8.710937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7109375" style="8" customWidth="1"/>
    <col min="13" max="16384" width="8.7109375" style="8"/>
  </cols>
  <sheetData>
    <row r="1" spans="1:10" ht="30" customHeight="1">
      <c r="A1" s="933" t="s">
        <v>3397</v>
      </c>
      <c r="B1" s="896"/>
      <c r="C1" s="896"/>
      <c r="D1" s="896"/>
      <c r="E1" s="896"/>
      <c r="F1" s="896"/>
      <c r="G1" s="896"/>
      <c r="H1" s="896"/>
      <c r="I1" s="896"/>
      <c r="J1" s="896"/>
    </row>
    <row r="2" spans="1:10" s="223" customFormat="1" ht="16.899999999999999" customHeight="1">
      <c r="A2" s="219" t="s">
        <v>142</v>
      </c>
      <c r="B2" s="220">
        <v>70</v>
      </c>
      <c r="C2" s="219" t="s">
        <v>902</v>
      </c>
      <c r="D2" s="220" t="s">
        <v>1094</v>
      </c>
      <c r="E2" s="219" t="s">
        <v>151</v>
      </c>
      <c r="F2" s="220" t="s">
        <v>1095</v>
      </c>
      <c r="G2" s="219" t="s">
        <v>174</v>
      </c>
      <c r="H2" s="253">
        <v>0.5</v>
      </c>
      <c r="I2" s="219" t="s">
        <v>154</v>
      </c>
      <c r="J2" s="222" t="s">
        <v>1096</v>
      </c>
    </row>
    <row r="3" spans="1:10" s="227" customFormat="1" ht="16.899999999999999" customHeight="1">
      <c r="A3" s="219" t="s">
        <v>903</v>
      </c>
      <c r="B3" s="224">
        <v>46198.520971412043</v>
      </c>
      <c r="C3" s="225" t="s">
        <v>904</v>
      </c>
      <c r="D3" s="226" t="s">
        <v>721</v>
      </c>
      <c r="E3" s="219" t="s">
        <v>905</v>
      </c>
      <c r="F3" s="226" t="s">
        <v>3398</v>
      </c>
      <c r="G3" s="219" t="s">
        <v>907</v>
      </c>
      <c r="H3" s="226" t="s">
        <v>908</v>
      </c>
      <c r="I3" s="219" t="s">
        <v>551</v>
      </c>
      <c r="J3" s="226" t="s">
        <v>3399</v>
      </c>
    </row>
    <row r="4" spans="1:10" s="227" customFormat="1" ht="266.45" customHeight="1">
      <c r="A4" s="219" t="s">
        <v>161</v>
      </c>
      <c r="B4" s="226">
        <f>COUNTIFS($A$1:$A$353,"B70-R*",$I$1:$I$353,"Open")+COUNTIFS($A$1:$A$353,"B70-R*",$I$1:$I$353,"In Progress")</f>
        <v>0</v>
      </c>
      <c r="C4" s="219" t="s">
        <v>199</v>
      </c>
      <c r="D4" s="226">
        <v>0</v>
      </c>
      <c r="E4" s="219" t="s">
        <v>179</v>
      </c>
      <c r="F4" s="226">
        <v>0</v>
      </c>
      <c r="G4" s="219" t="s">
        <v>870</v>
      </c>
      <c r="H4" s="228" t="s">
        <v>3400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604" t="s">
        <v>3401</v>
      </c>
      <c r="E6" s="582"/>
      <c r="F6" s="582"/>
      <c r="G6" s="582"/>
      <c r="H6" s="582"/>
      <c r="I6" s="582"/>
      <c r="J6" s="582"/>
    </row>
    <row r="7" spans="1:10" ht="14.25" customHeight="1">
      <c r="A7" s="129"/>
      <c r="B7" s="129"/>
      <c r="C7" s="129"/>
      <c r="D7" s="129"/>
      <c r="E7" s="129"/>
      <c r="F7" s="129"/>
      <c r="G7" s="129"/>
      <c r="H7" s="129"/>
      <c r="I7" s="129"/>
      <c r="J7" s="129"/>
    </row>
    <row r="8" spans="1:10" ht="17.25" customHeight="1">
      <c r="A8" s="575" t="s">
        <v>918</v>
      </c>
      <c r="B8" s="896"/>
      <c r="C8" s="896"/>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26.25" customHeight="1">
      <c r="A10" s="13" t="s">
        <v>379</v>
      </c>
      <c r="B10" s="13" t="s">
        <v>438</v>
      </c>
      <c r="C10" s="13" t="s">
        <v>923</v>
      </c>
      <c r="D10" s="13" t="s">
        <v>3402</v>
      </c>
      <c r="E10" s="13" t="s">
        <v>369</v>
      </c>
      <c r="F10" s="13">
        <v>1</v>
      </c>
      <c r="G10" s="13">
        <v>1</v>
      </c>
      <c r="H10" s="13" t="s">
        <v>677</v>
      </c>
      <c r="I10" s="13" t="s">
        <v>3403</v>
      </c>
      <c r="J10" s="13" t="s">
        <v>3404</v>
      </c>
    </row>
    <row r="11" spans="1:10" ht="26.25" customHeight="1">
      <c r="A11" s="13" t="s">
        <v>379</v>
      </c>
      <c r="B11" s="13" t="s">
        <v>3405</v>
      </c>
      <c r="C11" s="13" t="s">
        <v>919</v>
      </c>
      <c r="D11" s="13" t="s">
        <v>3406</v>
      </c>
      <c r="E11" s="13" t="s">
        <v>369</v>
      </c>
      <c r="F11" s="13">
        <v>1</v>
      </c>
      <c r="G11" s="13">
        <v>1</v>
      </c>
      <c r="H11" s="13" t="s">
        <v>677</v>
      </c>
      <c r="I11" s="13" t="s">
        <v>3403</v>
      </c>
      <c r="J11" s="13" t="s">
        <v>3407</v>
      </c>
    </row>
    <row r="12" spans="1:10" ht="26.25" customHeight="1">
      <c r="A12" s="13" t="s">
        <v>379</v>
      </c>
      <c r="B12" s="13" t="s">
        <v>440</v>
      </c>
      <c r="C12" s="13" t="s">
        <v>933</v>
      </c>
      <c r="D12" s="13" t="s">
        <v>3406</v>
      </c>
      <c r="E12" s="13" t="s">
        <v>369</v>
      </c>
      <c r="F12" s="13">
        <v>1</v>
      </c>
      <c r="G12" s="13">
        <v>1</v>
      </c>
      <c r="H12" s="13" t="s">
        <v>677</v>
      </c>
      <c r="I12" s="13" t="s">
        <v>3403</v>
      </c>
      <c r="J12" s="13" t="s">
        <v>3408</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575" t="s">
        <v>936</v>
      </c>
      <c r="B15" s="896"/>
      <c r="C15" s="896"/>
      <c r="D15" s="85"/>
      <c r="E15" s="85"/>
      <c r="F15" s="85"/>
      <c r="G15" s="85"/>
      <c r="H15" s="85"/>
      <c r="I15" s="85"/>
      <c r="J15" s="85"/>
    </row>
    <row r="16" spans="1:10" ht="20.25" customHeight="1">
      <c r="A16" s="130" t="s">
        <v>275</v>
      </c>
      <c r="B16" s="130" t="s">
        <v>937</v>
      </c>
      <c r="C16" s="130" t="s">
        <v>938</v>
      </c>
      <c r="D16" s="130" t="s">
        <v>939</v>
      </c>
      <c r="E16" s="130" t="s">
        <v>940</v>
      </c>
      <c r="F16" s="130" t="s">
        <v>941</v>
      </c>
      <c r="G16" s="130" t="s">
        <v>942</v>
      </c>
      <c r="H16" s="130" t="s">
        <v>943</v>
      </c>
      <c r="I16" s="130" t="s">
        <v>899</v>
      </c>
      <c r="J16" s="130" t="s">
        <v>944</v>
      </c>
    </row>
    <row r="17" spans="1:10" ht="14.25" customHeight="1">
      <c r="A17" s="13" t="s">
        <v>438</v>
      </c>
      <c r="B17" s="13" t="s">
        <v>677</v>
      </c>
      <c r="C17" s="13" t="s">
        <v>677</v>
      </c>
      <c r="D17" s="13" t="s">
        <v>677</v>
      </c>
      <c r="E17" s="13" t="s">
        <v>677</v>
      </c>
      <c r="F17" s="13" t="s">
        <v>677</v>
      </c>
      <c r="G17" s="13" t="s">
        <v>677</v>
      </c>
      <c r="H17" s="13" t="s">
        <v>677</v>
      </c>
      <c r="I17" s="13" t="str">
        <f>IF(COUNTIF(B17:H17,"Fail")&gt;0,"Fail",IF(COUNTIF(B17:H17,"Verify")&gt;0,"Verify",IF(COUNTIF(B17:H17,"Not Started")&gt;0,"Not Started","Pass")))</f>
        <v>Verify</v>
      </c>
      <c r="J17" s="13"/>
    </row>
    <row r="18" spans="1:10" ht="14.25" customHeight="1">
      <c r="A18" s="13" t="s">
        <v>3405</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440</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575" t="s">
        <v>951</v>
      </c>
      <c r="B22" s="896"/>
      <c r="C22" s="896"/>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438</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3405</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440</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575" t="s">
        <v>964</v>
      </c>
      <c r="B29" s="896"/>
      <c r="C29" s="896"/>
      <c r="D29" s="85"/>
      <c r="E29" s="85"/>
      <c r="F29" s="85"/>
      <c r="G29" s="85"/>
      <c r="H29" s="85"/>
      <c r="I29" s="85"/>
      <c r="J29" s="85"/>
    </row>
    <row r="30" spans="1:10" ht="20.25" customHeight="1">
      <c r="A30" s="130" t="s">
        <v>275</v>
      </c>
      <c r="B30" s="130" t="s">
        <v>965</v>
      </c>
      <c r="C30" s="130" t="s">
        <v>966</v>
      </c>
      <c r="D30" s="130" t="s">
        <v>967</v>
      </c>
      <c r="E30" s="130" t="s">
        <v>968</v>
      </c>
      <c r="F30" s="130" t="s">
        <v>969</v>
      </c>
      <c r="G30" s="130" t="s">
        <v>970</v>
      </c>
      <c r="H30" s="130" t="s">
        <v>971</v>
      </c>
      <c r="I30" s="130" t="s">
        <v>899</v>
      </c>
      <c r="J30" s="130" t="s">
        <v>959</v>
      </c>
    </row>
    <row r="31" spans="1:10" ht="14.25" customHeight="1">
      <c r="A31" s="13" t="s">
        <v>438</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3405</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440</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575" t="s">
        <v>977</v>
      </c>
      <c r="B36" s="896"/>
      <c r="C36" s="896"/>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438</v>
      </c>
      <c r="B38" s="13" t="s">
        <v>677</v>
      </c>
      <c r="C38" s="13" t="s">
        <v>1366</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3405</v>
      </c>
      <c r="B39" s="13" t="s">
        <v>677</v>
      </c>
      <c r="C39" s="13" t="s">
        <v>1366</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440</v>
      </c>
      <c r="B40" s="13" t="s">
        <v>677</v>
      </c>
      <c r="C40" s="13" t="s">
        <v>1366</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575" t="s">
        <v>3310</v>
      </c>
      <c r="B43" s="896"/>
      <c r="C43" s="896"/>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438</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3405</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440</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575" t="s">
        <v>3311</v>
      </c>
      <c r="B50" s="896"/>
      <c r="C50" s="896"/>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52.5" customHeight="1">
      <c r="A52" s="13" t="s">
        <v>3409</v>
      </c>
      <c r="B52" s="13" t="s">
        <v>575</v>
      </c>
      <c r="C52" s="13" t="s">
        <v>3410</v>
      </c>
      <c r="D52" s="13" t="s">
        <v>391</v>
      </c>
      <c r="E52" s="13" t="s">
        <v>488</v>
      </c>
      <c r="F52" s="13">
        <f>IF(D52="Critical",4,IF(D52="High",3,IF(D52="Medium",2,1)))*IF(E52="High",3,IF(E52="Medium",2,1))</f>
        <v>6</v>
      </c>
      <c r="G52" s="13" t="s">
        <v>3411</v>
      </c>
      <c r="H52" s="13" t="s">
        <v>2798</v>
      </c>
      <c r="I52" s="13" t="s">
        <v>502</v>
      </c>
      <c r="J52" s="13"/>
    </row>
    <row r="53" spans="1:10" ht="52.5" customHeight="1">
      <c r="A53" s="13" t="s">
        <v>3412</v>
      </c>
      <c r="B53" s="13" t="s">
        <v>575</v>
      </c>
      <c r="C53" s="13" t="s">
        <v>3413</v>
      </c>
      <c r="D53" s="13" t="s">
        <v>391</v>
      </c>
      <c r="E53" s="13" t="s">
        <v>488</v>
      </c>
      <c r="F53" s="13">
        <f>IF(D53="Critical",4,IF(D53="High",3,IF(D53="Medium",2,1)))*IF(E53="High",3,IF(E53="Medium",2,1))</f>
        <v>6</v>
      </c>
      <c r="G53" s="13" t="s">
        <v>3414</v>
      </c>
      <c r="H53" s="13" t="s">
        <v>241</v>
      </c>
      <c r="I53" s="13" t="s">
        <v>502</v>
      </c>
      <c r="J53" s="13"/>
    </row>
    <row r="54" spans="1:10" ht="52.5" customHeight="1">
      <c r="A54" s="13" t="s">
        <v>3415</v>
      </c>
      <c r="B54" s="13" t="s">
        <v>438</v>
      </c>
      <c r="C54" s="13" t="s">
        <v>3416</v>
      </c>
      <c r="D54" s="13" t="s">
        <v>488</v>
      </c>
      <c r="E54" s="13" t="s">
        <v>391</v>
      </c>
      <c r="F54" s="13">
        <f>IF(D54="Critical",4,IF(D54="High",3,IF(D54="Medium",2,1)))*IF(E54="High",3,IF(E54="Medium",2,1))</f>
        <v>6</v>
      </c>
      <c r="G54" s="13" t="s">
        <v>3417</v>
      </c>
      <c r="H54" s="13" t="s">
        <v>241</v>
      </c>
      <c r="I54" s="13" t="s">
        <v>502</v>
      </c>
      <c r="J54" s="13"/>
    </row>
    <row r="55" spans="1:10" ht="39" customHeight="1">
      <c r="A55" s="13" t="s">
        <v>3418</v>
      </c>
      <c r="B55" s="13" t="s">
        <v>575</v>
      </c>
      <c r="C55" s="13" t="s">
        <v>3419</v>
      </c>
      <c r="D55" s="13" t="s">
        <v>391</v>
      </c>
      <c r="E55" s="13" t="s">
        <v>488</v>
      </c>
      <c r="F55" s="13">
        <f>IF(D55="Critical",4,IF(D55="High",3,IF(D55="Medium",2,1)))*IF(E55="High",3,IF(E55="Medium",2,1))</f>
        <v>6</v>
      </c>
      <c r="G55" s="13" t="s">
        <v>3420</v>
      </c>
      <c r="H55" s="13" t="s">
        <v>1023</v>
      </c>
      <c r="I55" s="13" t="s">
        <v>502</v>
      </c>
      <c r="J55" s="13"/>
    </row>
    <row r="56" spans="1:10" ht="39" customHeight="1">
      <c r="A56" s="13" t="s">
        <v>3421</v>
      </c>
      <c r="B56" s="13" t="s">
        <v>575</v>
      </c>
      <c r="C56" s="13" t="s">
        <v>3322</v>
      </c>
      <c r="D56" s="13" t="s">
        <v>391</v>
      </c>
      <c r="E56" s="13" t="s">
        <v>488</v>
      </c>
      <c r="F56" s="13">
        <f>IF(D56="Critical",4,IF(D56="High",3,IF(D56="Medium",2,1)))*IF(E56="High",3,IF(E56="Medium",2,1))</f>
        <v>6</v>
      </c>
      <c r="G56" s="13" t="s">
        <v>3422</v>
      </c>
      <c r="H56" s="13" t="s">
        <v>1023</v>
      </c>
      <c r="I56" s="13" t="s">
        <v>502</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575" t="s">
        <v>3324</v>
      </c>
      <c r="B59" s="896"/>
      <c r="C59" s="896"/>
      <c r="D59" s="85"/>
      <c r="E59" s="85"/>
      <c r="F59" s="85"/>
      <c r="G59" s="85"/>
      <c r="H59" s="85"/>
      <c r="I59" s="85"/>
      <c r="J59" s="85"/>
    </row>
    <row r="60" spans="1:10" ht="20.25" customHeight="1">
      <c r="A60" s="130" t="s">
        <v>221</v>
      </c>
      <c r="B60" s="130" t="s">
        <v>222</v>
      </c>
      <c r="C60" s="130" t="s">
        <v>265</v>
      </c>
      <c r="D60" s="130" t="s">
        <v>77</v>
      </c>
      <c r="E60" s="130" t="s">
        <v>878</v>
      </c>
      <c r="F60" s="130" t="s">
        <v>879</v>
      </c>
      <c r="G60" s="130" t="s">
        <v>880</v>
      </c>
      <c r="H60" s="130" t="s">
        <v>494</v>
      </c>
      <c r="I60" s="130" t="s">
        <v>881</v>
      </c>
      <c r="J60" s="130" t="s">
        <v>11</v>
      </c>
    </row>
    <row r="61" spans="1:10" ht="52.5" customHeight="1">
      <c r="A61" s="13" t="s">
        <v>3423</v>
      </c>
      <c r="B61" s="13" t="s">
        <v>1745</v>
      </c>
      <c r="C61" s="13" t="s">
        <v>3327</v>
      </c>
      <c r="D61" s="13" t="s">
        <v>502</v>
      </c>
      <c r="E61" s="13"/>
      <c r="F61" s="13"/>
      <c r="G61" s="13" t="s">
        <v>3328</v>
      </c>
      <c r="H61" s="13"/>
      <c r="I61" s="13"/>
      <c r="J61" s="13"/>
    </row>
    <row r="62" spans="1:10" ht="52.5" customHeight="1">
      <c r="A62" s="13" t="s">
        <v>3424</v>
      </c>
      <c r="B62" s="13" t="s">
        <v>3425</v>
      </c>
      <c r="C62" s="13" t="s">
        <v>3331</v>
      </c>
      <c r="D62" s="13" t="s">
        <v>502</v>
      </c>
      <c r="E62" s="13"/>
      <c r="F62" s="13"/>
      <c r="G62" s="13" t="s">
        <v>3332</v>
      </c>
      <c r="H62" s="13"/>
      <c r="I62" s="13"/>
      <c r="J62" s="13"/>
    </row>
    <row r="63" spans="1:10" ht="52.5" customHeight="1">
      <c r="A63" s="13" t="s">
        <v>3426</v>
      </c>
      <c r="B63" s="13" t="s">
        <v>3427</v>
      </c>
      <c r="C63" s="13" t="s">
        <v>3335</v>
      </c>
      <c r="D63" s="13" t="s">
        <v>502</v>
      </c>
      <c r="E63" s="13"/>
      <c r="F63" s="13"/>
      <c r="G63" s="13" t="s">
        <v>3428</v>
      </c>
      <c r="H63" s="13"/>
      <c r="I63" s="13"/>
      <c r="J63" s="13"/>
    </row>
    <row r="64" spans="1:10" ht="52.5" customHeight="1">
      <c r="A64" s="13" t="s">
        <v>3429</v>
      </c>
      <c r="B64" s="13" t="s">
        <v>3430</v>
      </c>
      <c r="C64" s="13" t="s">
        <v>3339</v>
      </c>
      <c r="D64" s="13" t="s">
        <v>502</v>
      </c>
      <c r="E64" s="13"/>
      <c r="F64" s="13"/>
      <c r="G64" s="13" t="s">
        <v>623</v>
      </c>
      <c r="H64" s="13"/>
      <c r="I64" s="13"/>
      <c r="J64" s="13"/>
    </row>
    <row r="65" spans="1:10" ht="66" customHeight="1">
      <c r="A65" s="13" t="s">
        <v>3431</v>
      </c>
      <c r="B65" s="13" t="s">
        <v>3432</v>
      </c>
      <c r="C65" s="13" t="s">
        <v>3433</v>
      </c>
      <c r="D65" s="13" t="s">
        <v>502</v>
      </c>
      <c r="E65" s="13"/>
      <c r="F65" s="13"/>
      <c r="G65" s="13" t="s">
        <v>3434</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575" t="s">
        <v>3340</v>
      </c>
      <c r="B68" s="896"/>
      <c r="C68" s="896"/>
      <c r="D68" s="85"/>
      <c r="E68" s="85"/>
      <c r="F68" s="85"/>
      <c r="G68" s="85"/>
      <c r="H68" s="85"/>
      <c r="I68" s="85"/>
      <c r="J68" s="85"/>
    </row>
    <row r="69" spans="1:10" ht="20.25" customHeight="1">
      <c r="A69" s="130" t="s">
        <v>291</v>
      </c>
      <c r="B69" s="130" t="s">
        <v>275</v>
      </c>
      <c r="C69" s="130" t="s">
        <v>493</v>
      </c>
      <c r="D69" s="130" t="s">
        <v>214</v>
      </c>
      <c r="E69" s="130" t="s">
        <v>263</v>
      </c>
      <c r="F69" s="130" t="s">
        <v>891</v>
      </c>
      <c r="G69" s="130" t="s">
        <v>892</v>
      </c>
      <c r="H69" s="130" t="s">
        <v>893</v>
      </c>
      <c r="I69" s="130" t="s">
        <v>77</v>
      </c>
      <c r="J69" s="130" t="s">
        <v>11</v>
      </c>
    </row>
    <row r="70" spans="1:10" ht="26.25" customHeight="1">
      <c r="A70" s="13" t="s">
        <v>3435</v>
      </c>
      <c r="B70" s="13" t="s">
        <v>438</v>
      </c>
      <c r="C70" s="13" t="s">
        <v>269</v>
      </c>
      <c r="D70" s="13" t="s">
        <v>3436</v>
      </c>
      <c r="E70" s="63"/>
      <c r="F70" s="13" t="s">
        <v>229</v>
      </c>
      <c r="G70" s="13"/>
      <c r="H70" s="13" t="s">
        <v>3415</v>
      </c>
      <c r="I70" s="13" t="s">
        <v>502</v>
      </c>
      <c r="J70" s="13"/>
    </row>
    <row r="71" spans="1:10" ht="26.25" customHeight="1">
      <c r="A71" s="13" t="s">
        <v>3437</v>
      </c>
      <c r="B71" s="13" t="s">
        <v>3405</v>
      </c>
      <c r="C71" s="13" t="s">
        <v>269</v>
      </c>
      <c r="D71" s="13" t="s">
        <v>3438</v>
      </c>
      <c r="E71" s="63"/>
      <c r="F71" s="13" t="s">
        <v>229</v>
      </c>
      <c r="G71" s="13"/>
      <c r="H71" s="13"/>
      <c r="I71" s="13" t="s">
        <v>502</v>
      </c>
      <c r="J71" s="13"/>
    </row>
    <row r="72" spans="1:10" ht="26.25" customHeight="1">
      <c r="A72" s="13" t="s">
        <v>3439</v>
      </c>
      <c r="B72" s="13" t="s">
        <v>440</v>
      </c>
      <c r="C72" s="13" t="s">
        <v>269</v>
      </c>
      <c r="D72" s="13" t="s">
        <v>3440</v>
      </c>
      <c r="E72" s="63"/>
      <c r="F72" s="13" t="s">
        <v>229</v>
      </c>
      <c r="G72" s="13"/>
      <c r="H72" s="13"/>
      <c r="I72" s="13" t="s">
        <v>502</v>
      </c>
      <c r="J72" s="13"/>
    </row>
    <row r="73" spans="1:10" ht="26.25" customHeight="1">
      <c r="A73" s="13" t="s">
        <v>3441</v>
      </c>
      <c r="B73" s="13" t="s">
        <v>575</v>
      </c>
      <c r="C73" s="13" t="s">
        <v>957</v>
      </c>
      <c r="D73" s="13" t="s">
        <v>3346</v>
      </c>
      <c r="E73" s="63"/>
      <c r="F73" s="13" t="s">
        <v>229</v>
      </c>
      <c r="G73" s="13"/>
      <c r="H73" s="13" t="s">
        <v>3412</v>
      </c>
      <c r="I73" s="13" t="s">
        <v>502</v>
      </c>
      <c r="J73" s="13"/>
    </row>
    <row r="74" spans="1:10" ht="26.25" customHeight="1">
      <c r="A74" s="13" t="s">
        <v>3442</v>
      </c>
      <c r="B74" s="13" t="s">
        <v>575</v>
      </c>
      <c r="C74" s="13" t="s">
        <v>148</v>
      </c>
      <c r="D74" s="13" t="s">
        <v>3443</v>
      </c>
      <c r="E74" s="63"/>
      <c r="F74" s="13" t="s">
        <v>229</v>
      </c>
      <c r="G74" s="13"/>
      <c r="H74" s="13" t="s">
        <v>3444</v>
      </c>
      <c r="I74" s="13" t="s">
        <v>502</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575" t="s">
        <v>3347</v>
      </c>
      <c r="B77" s="896"/>
      <c r="C77" s="896"/>
      <c r="D77" s="85"/>
      <c r="E77" s="85"/>
      <c r="F77" s="85"/>
      <c r="G77" s="85"/>
      <c r="H77" s="85"/>
      <c r="I77" s="85"/>
      <c r="J77" s="85"/>
    </row>
    <row r="78" spans="1:10" ht="20.25" customHeight="1">
      <c r="A78" s="130" t="s">
        <v>275</v>
      </c>
      <c r="B78" s="130" t="s">
        <v>895</v>
      </c>
      <c r="C78" s="130" t="s">
        <v>896</v>
      </c>
      <c r="D78" s="130" t="s">
        <v>148</v>
      </c>
      <c r="E78" s="130" t="s">
        <v>153</v>
      </c>
      <c r="F78" s="130" t="s">
        <v>155</v>
      </c>
      <c r="G78" s="130" t="s">
        <v>491</v>
      </c>
      <c r="H78" s="130" t="s">
        <v>897</v>
      </c>
      <c r="I78" s="130" t="s">
        <v>174</v>
      </c>
      <c r="J78" s="130" t="s">
        <v>11</v>
      </c>
    </row>
    <row r="79" spans="1:10" ht="14.25" customHeight="1">
      <c r="A79" s="13" t="s">
        <v>438</v>
      </c>
      <c r="B79" s="126">
        <f>IF(I17="Pass",1,IF(I17="Verify",0.5,IF(I17="Not Started",0,IF(I17="N/A",1,0))))</f>
        <v>0.5</v>
      </c>
      <c r="C79" s="126">
        <f>IF(I24="Pass",1,IF(I24="Verify",0.5,IF(I24="Not Started",0,IF(I24="N/A",1,0))))</f>
        <v>0.5</v>
      </c>
      <c r="D79" s="126">
        <f>IF(I31="Pass",1,IF(I31="Verify",0.5,IF(I31="Not Started",0,IF(I31="N/A",1,0))))</f>
        <v>0.5</v>
      </c>
      <c r="E79" s="126">
        <f>IF(I38="Pass",1,IF(I38="Verify",0.5,IF(I38="Not Started",0,IF(I38="N/A",1,0))))</f>
        <v>0.5</v>
      </c>
      <c r="F79" s="126">
        <f>IF(I45="Pass",1,IF(I45="Verify",0.5,IF(I45="Not Started",0,IF(I45="N/A",1,0))))</f>
        <v>0.5</v>
      </c>
      <c r="G79" s="126" t="s">
        <v>677</v>
      </c>
      <c r="H79" s="126">
        <f>AVERAGE(B79:G79)</f>
        <v>0.5</v>
      </c>
      <c r="I79" s="13" t="str">
        <f>IF(H79&gt;=0.8,"Ready / Green",IF(H79&gt;=0.5,"Partial / Yellow","At Risk / Red"))</f>
        <v>Partial / Yellow</v>
      </c>
      <c r="J79" s="13"/>
    </row>
    <row r="80" spans="1:10" ht="14.25" customHeight="1">
      <c r="A80" s="13" t="s">
        <v>3405</v>
      </c>
      <c r="B80" s="126">
        <f>IF(I18="Pass",1,IF(I18="Verify",0.5,IF(I18="Not Started",0,IF(I18="N/A",1,0))))</f>
        <v>0.5</v>
      </c>
      <c r="C80" s="126">
        <f>IF(I25="Pass",1,IF(I25="Verify",0.5,IF(I25="Not Started",0,IF(I25="N/A",1,0))))</f>
        <v>0.5</v>
      </c>
      <c r="D80" s="126">
        <f>IF(I32="Pass",1,IF(I32="Verify",0.5,IF(I32="Not Started",0,IF(I32="N/A",1,0))))</f>
        <v>0.5</v>
      </c>
      <c r="E80" s="126">
        <f>IF(I39="Pass",1,IF(I39="Verify",0.5,IF(I39="Not Started",0,IF(I39="N/A",1,0))))</f>
        <v>0.5</v>
      </c>
      <c r="F80" s="126">
        <f>IF(I46="Pass",1,IF(I46="Verify",0.5,IF(I46="Not Started",0,IF(I46="N/A",1,0))))</f>
        <v>0.5</v>
      </c>
      <c r="G80" s="126" t="s">
        <v>677</v>
      </c>
      <c r="H80" s="126">
        <f>AVERAGE(B80:G80)</f>
        <v>0.5</v>
      </c>
      <c r="I80" s="13" t="str">
        <f>IF(H80&gt;=0.8,"Ready / Green",IF(H80&gt;=0.5,"Partial / Yellow","At Risk / Red"))</f>
        <v>Partial / Yellow</v>
      </c>
      <c r="J80" s="13"/>
    </row>
    <row r="81" spans="1:10" ht="14.25" customHeight="1">
      <c r="A81" s="13" t="s">
        <v>440</v>
      </c>
      <c r="B81" s="126">
        <f>IF(I19="Pass",1,IF(I19="Verify",0.5,IF(I19="Not Started",0,IF(I19="N/A",1,0))))</f>
        <v>0.5</v>
      </c>
      <c r="C81" s="126">
        <f>IF(I26="Pass",1,IF(I26="Verify",0.5,IF(I26="Not Started",0,IF(I26="N/A",1,0))))</f>
        <v>0.5</v>
      </c>
      <c r="D81" s="126">
        <f>IF(I33="Pass",1,IF(I33="Verify",0.5,IF(I33="Not Started",0,IF(I33="N/A",1,0))))</f>
        <v>0.5</v>
      </c>
      <c r="E81" s="126">
        <f>IF(I40="Pass",1,IF(I40="Verify",0.5,IF(I40="Not Started",0,IF(I40="N/A",1,0))))</f>
        <v>0.5</v>
      </c>
      <c r="F81" s="126">
        <f>IF(I47="Pass",1,IF(I47="Verify",0.5,IF(I47="Not Started",0,IF(I47="N/A",1,0))))</f>
        <v>0.5</v>
      </c>
      <c r="G81" s="126" t="s">
        <v>677</v>
      </c>
      <c r="H81" s="126">
        <f>AVERAGE(B81:G81)</f>
        <v>0.5</v>
      </c>
      <c r="I81" s="13" t="str">
        <f>IF(H81&gt;=0.8,"Ready / Green",IF(H81&gt;=0.5,"Partial / Yellow","At Risk / Red"))</f>
        <v>Partial / Yellow</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605" t="s">
        <v>5668</v>
      </c>
      <c r="B84" s="602"/>
      <c r="C84" s="602"/>
      <c r="D84" s="606"/>
      <c r="E84" s="602"/>
      <c r="F84" s="602"/>
      <c r="G84" s="606"/>
      <c r="H84" s="606"/>
      <c r="I84" s="606"/>
      <c r="J84" s="607"/>
    </row>
    <row r="85" spans="1:10" ht="30" customHeight="1">
      <c r="A85" s="321" t="s">
        <v>5610</v>
      </c>
      <c r="B85" s="322" t="s">
        <v>77</v>
      </c>
      <c r="C85" s="322" t="s">
        <v>5611</v>
      </c>
      <c r="D85" s="322" t="s">
        <v>5612</v>
      </c>
      <c r="E85" s="322" t="s">
        <v>5634</v>
      </c>
      <c r="F85" s="322" t="s">
        <v>5601</v>
      </c>
      <c r="G85" s="578" t="s">
        <v>5635</v>
      </c>
      <c r="H85" s="578"/>
      <c r="I85" s="578"/>
      <c r="J85" s="579"/>
    </row>
    <row r="86" spans="1:10" ht="25.5" customHeight="1">
      <c r="A86" s="323" t="s">
        <v>5613</v>
      </c>
      <c r="B86" s="333" t="s">
        <v>484</v>
      </c>
      <c r="C86" s="325">
        <v>0</v>
      </c>
      <c r="D86" s="325">
        <v>0</v>
      </c>
      <c r="E86" s="192" t="s">
        <v>5674</v>
      </c>
      <c r="F86" s="325">
        <f>IF(AND(C86&lt;&gt;"",D86&lt;&gt;""),D86-C86,"")</f>
        <v>0</v>
      </c>
      <c r="G86" s="608"/>
      <c r="H86" s="608"/>
      <c r="I86" s="608"/>
      <c r="J86" s="609"/>
    </row>
    <row r="87" spans="1:10" ht="25.5" customHeight="1">
      <c r="A87" s="326" t="s">
        <v>5614</v>
      </c>
      <c r="B87" s="333" t="s">
        <v>484</v>
      </c>
      <c r="C87" s="327">
        <v>1</v>
      </c>
      <c r="D87" s="327">
        <v>0</v>
      </c>
      <c r="E87" s="310" t="s">
        <v>5675</v>
      </c>
      <c r="F87" s="327">
        <f>IF(AND(C87&lt;&gt;"",D87&lt;&gt;""),D87-C87,"")</f>
        <v>-1</v>
      </c>
      <c r="G87" s="610"/>
      <c r="H87" s="610"/>
      <c r="I87" s="610"/>
      <c r="J87" s="611"/>
    </row>
    <row r="88" spans="1:10" ht="15" customHeight="1">
      <c r="A88" s="323" t="s">
        <v>5615</v>
      </c>
      <c r="B88" s="333" t="s">
        <v>484</v>
      </c>
      <c r="C88" s="327">
        <v>1</v>
      </c>
      <c r="D88" s="327">
        <v>0</v>
      </c>
      <c r="E88" s="310" t="s">
        <v>5675</v>
      </c>
      <c r="F88" s="325">
        <f>IF(AND(C88&lt;&gt;"",D88&lt;&gt;""),D88-C88,"")</f>
        <v>-1</v>
      </c>
      <c r="G88" s="328"/>
      <c r="H88" s="227"/>
      <c r="I88" s="227"/>
      <c r="J88" s="329"/>
    </row>
    <row r="89" spans="1:10" ht="15" customHeight="1">
      <c r="A89" s="326" t="s">
        <v>5616</v>
      </c>
      <c r="B89" s="333" t="s">
        <v>484</v>
      </c>
      <c r="C89" s="327">
        <v>1</v>
      </c>
      <c r="D89" s="327">
        <v>0</v>
      </c>
      <c r="E89" s="310" t="s">
        <v>5675</v>
      </c>
      <c r="F89" s="327">
        <f>IF(AND(C89&lt;&gt;"",D89&lt;&gt;""),D89-C89,"")</f>
        <v>-1</v>
      </c>
      <c r="G89" s="610"/>
      <c r="H89" s="610"/>
      <c r="I89" s="610"/>
      <c r="J89" s="611"/>
    </row>
    <row r="90" spans="1:10" ht="15" customHeight="1">
      <c r="A90" s="323" t="s">
        <v>5168</v>
      </c>
      <c r="B90" s="333" t="s">
        <v>484</v>
      </c>
      <c r="C90" s="327">
        <v>1</v>
      </c>
      <c r="D90" s="327">
        <v>0</v>
      </c>
      <c r="E90" s="310" t="s">
        <v>5675</v>
      </c>
      <c r="F90" s="325">
        <f>IF(AND(C90&lt;&gt;"",D90&lt;&gt;""),D90-C90,"")</f>
        <v>-1</v>
      </c>
      <c r="G90" s="328"/>
      <c r="H90" s="227"/>
      <c r="I90" s="227"/>
      <c r="J90" s="329"/>
    </row>
    <row r="91" spans="1:10" ht="15.75" customHeight="1">
      <c r="A91" s="585" t="s">
        <v>5636</v>
      </c>
      <c r="B91" s="586"/>
      <c r="C91" s="330">
        <f>IFERROR(AVERAGE(C86:C90),"")</f>
        <v>0.8</v>
      </c>
      <c r="D91" s="330">
        <f>IFERROR(AVERAGE(D86:D90),"")</f>
        <v>0</v>
      </c>
      <c r="E91" s="589" t="s">
        <v>5637</v>
      </c>
      <c r="F91" s="589"/>
      <c r="G91" s="589"/>
      <c r="H91" s="589"/>
      <c r="I91" s="589"/>
      <c r="J91" s="590"/>
    </row>
    <row r="92" spans="1:10" ht="20.25" customHeight="1">
      <c r="A92" s="331"/>
      <c r="B92" s="316"/>
      <c r="C92" s="316"/>
      <c r="D92" s="316"/>
      <c r="E92" s="316"/>
      <c r="F92" s="316"/>
      <c r="G92" s="316"/>
      <c r="H92" s="227"/>
      <c r="I92" s="227"/>
      <c r="J92" s="329"/>
    </row>
    <row r="93" spans="1:10">
      <c r="A93" s="574" t="s">
        <v>5669</v>
      </c>
      <c r="B93" s="582"/>
      <c r="C93" s="582"/>
      <c r="D93" s="575"/>
      <c r="E93" s="582"/>
      <c r="F93" s="582"/>
      <c r="G93" s="575"/>
      <c r="H93" s="575"/>
      <c r="I93" s="575"/>
      <c r="J93" s="576"/>
    </row>
    <row r="94" spans="1:10">
      <c r="A94" s="321" t="s">
        <v>4946</v>
      </c>
      <c r="B94" s="322" t="s">
        <v>77</v>
      </c>
      <c r="C94" s="322" t="s">
        <v>5676</v>
      </c>
      <c r="D94" s="322" t="s">
        <v>482</v>
      </c>
      <c r="E94" s="322" t="s">
        <v>572</v>
      </c>
      <c r="F94" s="322" t="s">
        <v>5639</v>
      </c>
      <c r="G94" s="578" t="s">
        <v>5640</v>
      </c>
      <c r="H94" s="578"/>
      <c r="I94" s="578"/>
      <c r="J94" s="579"/>
    </row>
    <row r="95" spans="1:10" ht="31.5" customHeight="1">
      <c r="A95" s="326" t="s">
        <v>5602</v>
      </c>
      <c r="B95" s="333" t="s">
        <v>484</v>
      </c>
      <c r="C95" s="332" t="s">
        <v>679</v>
      </c>
      <c r="D95" s="324" t="s">
        <v>679</v>
      </c>
      <c r="E95" s="332">
        <f>IF(D95="Yes",1,0)</f>
        <v>0</v>
      </c>
      <c r="F95" s="580"/>
      <c r="G95" s="580"/>
      <c r="H95" s="580"/>
      <c r="I95" s="580"/>
      <c r="J95" s="581"/>
    </row>
    <row r="96" spans="1:10" ht="20.25" customHeight="1">
      <c r="A96" s="323" t="s">
        <v>995</v>
      </c>
      <c r="B96" s="333" t="s">
        <v>484</v>
      </c>
      <c r="C96" s="332" t="s">
        <v>679</v>
      </c>
      <c r="D96" s="324" t="s">
        <v>679</v>
      </c>
      <c r="E96" s="324">
        <f t="shared" ref="E96:E102" si="0">IF(D96="Yes",1,0)</f>
        <v>0</v>
      </c>
      <c r="F96" s="580"/>
      <c r="G96" s="580"/>
      <c r="H96" s="580"/>
      <c r="I96" s="580"/>
      <c r="J96" s="581"/>
    </row>
    <row r="97" spans="1:10" ht="24.75" customHeight="1">
      <c r="A97" s="326" t="s">
        <v>5603</v>
      </c>
      <c r="B97" s="333" t="s">
        <v>484</v>
      </c>
      <c r="C97" s="332" t="s">
        <v>679</v>
      </c>
      <c r="D97" s="324" t="s">
        <v>679</v>
      </c>
      <c r="E97" s="332">
        <f t="shared" si="0"/>
        <v>0</v>
      </c>
      <c r="F97" s="580"/>
      <c r="G97" s="580"/>
      <c r="H97" s="580"/>
      <c r="I97" s="580"/>
      <c r="J97" s="581"/>
    </row>
    <row r="98" spans="1:10">
      <c r="A98" s="323" t="s">
        <v>5617</v>
      </c>
      <c r="B98" s="333" t="s">
        <v>484</v>
      </c>
      <c r="C98" s="332" t="s">
        <v>679</v>
      </c>
      <c r="D98" s="324" t="s">
        <v>679</v>
      </c>
      <c r="E98" s="324">
        <f t="shared" si="0"/>
        <v>0</v>
      </c>
      <c r="F98" s="580"/>
      <c r="G98" s="580"/>
      <c r="H98" s="580"/>
      <c r="I98" s="580"/>
      <c r="J98" s="581"/>
    </row>
    <row r="99" spans="1:10" ht="38.25">
      <c r="A99" s="326" t="s">
        <v>5618</v>
      </c>
      <c r="B99" s="333" t="s">
        <v>484</v>
      </c>
      <c r="C99" s="332" t="s">
        <v>679</v>
      </c>
      <c r="D99" s="324" t="s">
        <v>679</v>
      </c>
      <c r="E99" s="332">
        <f t="shared" si="0"/>
        <v>0</v>
      </c>
      <c r="F99" s="580"/>
      <c r="G99" s="580"/>
      <c r="H99" s="580"/>
      <c r="I99" s="580"/>
      <c r="J99" s="581"/>
    </row>
    <row r="100" spans="1:10" ht="25.5">
      <c r="A100" s="323" t="s">
        <v>5619</v>
      </c>
      <c r="B100" s="333" t="s">
        <v>484</v>
      </c>
      <c r="C100" s="332" t="s">
        <v>679</v>
      </c>
      <c r="D100" s="324" t="s">
        <v>679</v>
      </c>
      <c r="E100" s="324">
        <f t="shared" si="0"/>
        <v>0</v>
      </c>
      <c r="F100" s="580"/>
      <c r="G100" s="580"/>
      <c r="H100" s="580"/>
      <c r="I100" s="580"/>
      <c r="J100" s="581"/>
    </row>
    <row r="101" spans="1:10" ht="18.75" customHeight="1">
      <c r="A101" s="326" t="s">
        <v>5604</v>
      </c>
      <c r="B101" s="333" t="s">
        <v>484</v>
      </c>
      <c r="C101" s="332" t="s">
        <v>679</v>
      </c>
      <c r="D101" s="324" t="s">
        <v>679</v>
      </c>
      <c r="E101" s="332">
        <f t="shared" si="0"/>
        <v>0</v>
      </c>
      <c r="F101" s="580"/>
      <c r="G101" s="580"/>
      <c r="H101" s="580"/>
      <c r="I101" s="580"/>
      <c r="J101" s="581"/>
    </row>
    <row r="102" spans="1:10" ht="25.5">
      <c r="A102" s="323" t="s">
        <v>5605</v>
      </c>
      <c r="B102" s="333" t="s">
        <v>484</v>
      </c>
      <c r="C102" s="332" t="s">
        <v>679</v>
      </c>
      <c r="D102" s="324" t="s">
        <v>679</v>
      </c>
      <c r="E102" s="324">
        <f t="shared" si="0"/>
        <v>0</v>
      </c>
      <c r="F102" s="580"/>
      <c r="G102" s="580"/>
      <c r="H102" s="580"/>
      <c r="I102" s="580"/>
      <c r="J102" s="581"/>
    </row>
    <row r="103" spans="1:10" ht="28.5" customHeight="1">
      <c r="A103" s="585" t="s">
        <v>5641</v>
      </c>
      <c r="B103" s="586"/>
      <c r="C103" s="587" t="str">
        <f>IFERROR(SUM(E95:E102)/COUNTIF(C95:C102,"Yes"),"")</f>
        <v/>
      </c>
      <c r="D103" s="588"/>
      <c r="E103" s="589" t="s">
        <v>5642</v>
      </c>
      <c r="F103" s="589"/>
      <c r="G103" s="589"/>
      <c r="H103" s="589"/>
      <c r="I103" s="589"/>
      <c r="J103" s="590"/>
    </row>
    <row r="104" spans="1:10" ht="20.25" customHeight="1">
      <c r="A104" s="331"/>
      <c r="B104" s="316"/>
      <c r="C104" s="316"/>
      <c r="D104" s="316"/>
      <c r="E104" s="316"/>
      <c r="F104" s="316"/>
      <c r="G104" s="316"/>
      <c r="H104" s="227"/>
      <c r="I104" s="227"/>
      <c r="J104" s="329"/>
    </row>
    <row r="105" spans="1:10">
      <c r="A105" s="574" t="s">
        <v>5670</v>
      </c>
      <c r="B105" s="582"/>
      <c r="C105" s="582"/>
      <c r="D105" s="575"/>
      <c r="E105" s="582"/>
      <c r="F105" s="582"/>
      <c r="G105" s="575"/>
      <c r="H105" s="575"/>
      <c r="I105" s="575"/>
      <c r="J105" s="576"/>
    </row>
    <row r="106" spans="1:10" ht="30" customHeight="1">
      <c r="A106" s="321" t="s">
        <v>5643</v>
      </c>
      <c r="B106" s="322" t="s">
        <v>77</v>
      </c>
      <c r="C106" s="322" t="s">
        <v>5620</v>
      </c>
      <c r="D106" s="322" t="s">
        <v>5621</v>
      </c>
      <c r="E106" s="322" t="s">
        <v>5622</v>
      </c>
      <c r="F106" s="322" t="s">
        <v>5644</v>
      </c>
      <c r="G106" s="578" t="s">
        <v>5645</v>
      </c>
      <c r="H106" s="578"/>
      <c r="I106" s="578"/>
      <c r="J106" s="579"/>
    </row>
    <row r="107" spans="1:10" ht="25.5">
      <c r="A107" s="326" t="s">
        <v>5623</v>
      </c>
      <c r="B107" s="332" t="s">
        <v>484</v>
      </c>
      <c r="C107" s="332" t="s">
        <v>1096</v>
      </c>
      <c r="D107" s="332" t="s">
        <v>1096</v>
      </c>
      <c r="E107" s="332" t="s">
        <v>1096</v>
      </c>
      <c r="F107" s="332" t="s">
        <v>348</v>
      </c>
      <c r="G107" s="583"/>
      <c r="H107" s="583"/>
      <c r="I107" s="583"/>
      <c r="J107" s="584"/>
    </row>
    <row r="108" spans="1:10" ht="53.45" customHeight="1">
      <c r="A108" s="323" t="s">
        <v>5624</v>
      </c>
      <c r="B108" s="332" t="s">
        <v>484</v>
      </c>
      <c r="C108" s="332" t="s">
        <v>1096</v>
      </c>
      <c r="D108" s="332" t="s">
        <v>1096</v>
      </c>
      <c r="E108" s="332" t="s">
        <v>1096</v>
      </c>
      <c r="F108" s="332" t="s">
        <v>348</v>
      </c>
      <c r="G108" s="583"/>
      <c r="H108" s="583"/>
      <c r="I108" s="583"/>
      <c r="J108" s="584"/>
    </row>
    <row r="109" spans="1:10" ht="53.45" customHeight="1">
      <c r="A109" s="326" t="s">
        <v>5646</v>
      </c>
      <c r="B109" s="332" t="s">
        <v>484</v>
      </c>
      <c r="C109" s="332" t="s">
        <v>1096</v>
      </c>
      <c r="D109" s="332" t="s">
        <v>1096</v>
      </c>
      <c r="E109" s="332" t="s">
        <v>1096</v>
      </c>
      <c r="F109" s="332" t="s">
        <v>348</v>
      </c>
      <c r="G109" s="583"/>
      <c r="H109" s="583"/>
      <c r="I109" s="583"/>
      <c r="J109" s="584"/>
    </row>
    <row r="110" spans="1:10" ht="53.45" customHeight="1">
      <c r="A110" s="323" t="s">
        <v>5625</v>
      </c>
      <c r="B110" s="332" t="s">
        <v>484</v>
      </c>
      <c r="C110" s="332" t="s">
        <v>1096</v>
      </c>
      <c r="D110" s="332" t="s">
        <v>1096</v>
      </c>
      <c r="E110" s="332" t="s">
        <v>1096</v>
      </c>
      <c r="F110" s="332" t="s">
        <v>348</v>
      </c>
      <c r="G110" s="583"/>
      <c r="H110" s="583"/>
      <c r="I110" s="583"/>
      <c r="J110" s="584"/>
    </row>
    <row r="111" spans="1:10" ht="53.45" customHeight="1">
      <c r="A111" s="326" t="s">
        <v>5626</v>
      </c>
      <c r="B111" s="332" t="s">
        <v>484</v>
      </c>
      <c r="C111" s="332" t="s">
        <v>1096</v>
      </c>
      <c r="D111" s="332" t="s">
        <v>1096</v>
      </c>
      <c r="E111" s="332" t="s">
        <v>1096</v>
      </c>
      <c r="F111" s="332" t="s">
        <v>348</v>
      </c>
      <c r="G111" s="583"/>
      <c r="H111" s="583"/>
      <c r="I111" s="583"/>
      <c r="J111" s="584"/>
    </row>
    <row r="112" spans="1:10" ht="53.45" customHeight="1">
      <c r="A112" s="585" t="s">
        <v>5677</v>
      </c>
      <c r="B112" s="586"/>
      <c r="C112" s="587">
        <f>IFERROR(COUNTIF(E107:E111,"Yes")/COUNTA(A107:A111),"")</f>
        <v>0</v>
      </c>
      <c r="D112" s="588"/>
      <c r="E112" s="589" t="s">
        <v>5648</v>
      </c>
      <c r="F112" s="589"/>
      <c r="G112" s="589"/>
      <c r="H112" s="589"/>
      <c r="I112" s="589"/>
      <c r="J112" s="590"/>
    </row>
    <row r="113" spans="1:10" ht="20.25" customHeight="1">
      <c r="A113" s="331"/>
      <c r="B113" s="316"/>
      <c r="C113" s="316"/>
      <c r="D113" s="316"/>
      <c r="E113" s="316"/>
      <c r="F113" s="316"/>
      <c r="G113" s="599"/>
      <c r="H113" s="599"/>
      <c r="I113" s="599"/>
      <c r="J113" s="600"/>
    </row>
    <row r="114" spans="1:10" ht="53.45" customHeight="1">
      <c r="A114" s="574" t="s">
        <v>5671</v>
      </c>
      <c r="B114" s="582"/>
      <c r="C114" s="582"/>
      <c r="D114" s="575"/>
      <c r="E114" s="582"/>
      <c r="F114" s="582"/>
      <c r="G114" s="575"/>
      <c r="H114" s="575"/>
      <c r="I114" s="575"/>
      <c r="J114" s="576"/>
    </row>
    <row r="115" spans="1:10" ht="53.45" customHeight="1">
      <c r="A115" s="322" t="s">
        <v>5606</v>
      </c>
      <c r="B115" s="322" t="s">
        <v>77</v>
      </c>
      <c r="C115" s="322" t="s">
        <v>5627</v>
      </c>
      <c r="D115" s="322" t="s">
        <v>5628</v>
      </c>
      <c r="E115" s="322" t="s">
        <v>5629</v>
      </c>
      <c r="F115" s="322" t="s">
        <v>5630</v>
      </c>
      <c r="G115" s="578" t="s">
        <v>5678</v>
      </c>
      <c r="H115" s="578"/>
      <c r="I115" s="578"/>
      <c r="J115" s="578"/>
    </row>
    <row r="116" spans="1:10">
      <c r="A116" s="328" t="s">
        <v>153</v>
      </c>
      <c r="B116" s="324" t="s">
        <v>484</v>
      </c>
      <c r="C116" s="324"/>
      <c r="D116" s="324"/>
      <c r="E116" s="324"/>
      <c r="F116" s="325" t="str">
        <f>IFERROR(D116/C116,"")</f>
        <v/>
      </c>
      <c r="G116" s="572"/>
      <c r="H116" s="572"/>
      <c r="I116" s="572"/>
      <c r="J116" s="572"/>
    </row>
    <row r="117" spans="1:10">
      <c r="A117" s="335" t="s">
        <v>155</v>
      </c>
      <c r="B117" s="332" t="s">
        <v>484</v>
      </c>
      <c r="C117" s="332"/>
      <c r="D117" s="332"/>
      <c r="E117" s="332"/>
      <c r="F117" s="327" t="str">
        <f>IFERROR(D117/C117,"")</f>
        <v/>
      </c>
      <c r="G117" s="572"/>
      <c r="H117" s="572"/>
      <c r="I117" s="572"/>
      <c r="J117" s="572"/>
    </row>
    <row r="118" spans="1:10">
      <c r="A118" s="328" t="s">
        <v>4821</v>
      </c>
      <c r="B118" s="324" t="s">
        <v>484</v>
      </c>
      <c r="C118" s="324"/>
      <c r="D118" s="324"/>
      <c r="E118" s="324"/>
      <c r="F118" s="325" t="str">
        <f>IFERROR(D118/C118,"")</f>
        <v/>
      </c>
      <c r="G118" s="572"/>
      <c r="H118" s="572"/>
      <c r="I118" s="572"/>
      <c r="J118" s="572"/>
    </row>
    <row r="119" spans="1:10">
      <c r="A119" s="335" t="s">
        <v>957</v>
      </c>
      <c r="B119" s="332" t="s">
        <v>484</v>
      </c>
      <c r="C119" s="332"/>
      <c r="D119" s="332"/>
      <c r="E119" s="332"/>
      <c r="F119" s="327" t="str">
        <f>IFERROR(D119/C119,"")</f>
        <v/>
      </c>
      <c r="G119" s="572"/>
      <c r="H119" s="572"/>
      <c r="I119" s="572"/>
      <c r="J119" s="572"/>
    </row>
    <row r="120" spans="1:10">
      <c r="A120" s="597" t="s">
        <v>5649</v>
      </c>
      <c r="B120" s="597"/>
      <c r="C120" s="597"/>
      <c r="D120" s="597"/>
      <c r="E120" s="589" t="s">
        <v>5650</v>
      </c>
      <c r="F120" s="589"/>
      <c r="G120" s="589"/>
      <c r="H120" s="589"/>
      <c r="I120" s="589"/>
      <c r="J120" s="589"/>
    </row>
    <row r="121" spans="1:10">
      <c r="A121" s="597"/>
      <c r="B121" s="597"/>
      <c r="C121" s="597"/>
      <c r="D121" s="597"/>
      <c r="E121" s="589"/>
      <c r="F121" s="589"/>
      <c r="G121" s="589"/>
      <c r="H121" s="589"/>
      <c r="I121" s="589"/>
      <c r="J121" s="589"/>
    </row>
    <row r="122" spans="1:10">
      <c r="A122" s="575" t="s">
        <v>5672</v>
      </c>
      <c r="B122" s="575"/>
      <c r="C122" s="575"/>
      <c r="D122" s="575"/>
      <c r="E122" s="575"/>
      <c r="F122" s="575"/>
      <c r="G122" s="575"/>
      <c r="H122" s="575"/>
      <c r="I122" s="575"/>
      <c r="J122" s="575"/>
    </row>
    <row r="123" spans="1:10">
      <c r="A123" s="322" t="s">
        <v>4946</v>
      </c>
      <c r="B123" s="322" t="s">
        <v>77</v>
      </c>
      <c r="C123" s="322" t="s">
        <v>5638</v>
      </c>
      <c r="D123" s="322" t="s">
        <v>482</v>
      </c>
      <c r="E123" s="322" t="s">
        <v>572</v>
      </c>
      <c r="F123" s="322" t="s">
        <v>944</v>
      </c>
      <c r="G123" s="578" t="s">
        <v>5640</v>
      </c>
      <c r="H123" s="578"/>
      <c r="I123" s="578"/>
      <c r="J123" s="578"/>
    </row>
    <row r="124" spans="1:10" ht="25.5">
      <c r="A124" s="328" t="s">
        <v>5607</v>
      </c>
      <c r="B124" s="324" t="s">
        <v>484</v>
      </c>
      <c r="C124" s="324" t="s">
        <v>392</v>
      </c>
      <c r="D124" s="324" t="s">
        <v>1096</v>
      </c>
      <c r="E124" s="324">
        <f t="shared" ref="E124:E129" si="1">IF(D124="Yes",1,0)</f>
        <v>0</v>
      </c>
      <c r="F124" s="324"/>
      <c r="G124" s="572"/>
      <c r="H124" s="572"/>
      <c r="I124" s="572"/>
      <c r="J124" s="572"/>
    </row>
    <row r="125" spans="1:10">
      <c r="A125" s="335" t="s">
        <v>5608</v>
      </c>
      <c r="B125" s="324" t="s">
        <v>484</v>
      </c>
      <c r="C125" s="332" t="s">
        <v>392</v>
      </c>
      <c r="D125" s="324" t="s">
        <v>1096</v>
      </c>
      <c r="E125" s="332">
        <f t="shared" si="1"/>
        <v>0</v>
      </c>
      <c r="F125" s="332"/>
      <c r="G125" s="572"/>
      <c r="H125" s="572"/>
      <c r="I125" s="572"/>
      <c r="J125" s="572"/>
    </row>
    <row r="126" spans="1:10" ht="25.5">
      <c r="A126" s="328" t="s">
        <v>5609</v>
      </c>
      <c r="B126" s="324" t="s">
        <v>484</v>
      </c>
      <c r="C126" s="324" t="s">
        <v>392</v>
      </c>
      <c r="D126" s="324" t="s">
        <v>1096</v>
      </c>
      <c r="E126" s="324">
        <f t="shared" si="1"/>
        <v>0</v>
      </c>
      <c r="F126" s="324"/>
      <c r="G126" s="572"/>
      <c r="H126" s="572"/>
      <c r="I126" s="572"/>
      <c r="J126" s="572"/>
    </row>
    <row r="127" spans="1:10">
      <c r="A127" s="335" t="s">
        <v>5631</v>
      </c>
      <c r="B127" s="324" t="s">
        <v>484</v>
      </c>
      <c r="C127" s="332" t="s">
        <v>392</v>
      </c>
      <c r="D127" s="324" t="s">
        <v>1096</v>
      </c>
      <c r="E127" s="332">
        <f t="shared" si="1"/>
        <v>0</v>
      </c>
      <c r="F127" s="332"/>
      <c r="G127" s="572"/>
      <c r="H127" s="572"/>
      <c r="I127" s="572"/>
      <c r="J127" s="572"/>
    </row>
    <row r="128" spans="1:10" ht="27.75" customHeight="1">
      <c r="A128" s="328" t="s">
        <v>5632</v>
      </c>
      <c r="B128" s="324" t="s">
        <v>484</v>
      </c>
      <c r="C128" s="324" t="s">
        <v>392</v>
      </c>
      <c r="D128" s="324" t="s">
        <v>1096</v>
      </c>
      <c r="E128" s="324">
        <f t="shared" si="1"/>
        <v>0</v>
      </c>
      <c r="F128" s="324"/>
      <c r="G128" s="572"/>
      <c r="H128" s="572"/>
      <c r="I128" s="572"/>
      <c r="J128" s="572"/>
    </row>
    <row r="129" spans="1:10" ht="29.25" customHeight="1">
      <c r="A129" s="335" t="s">
        <v>5633</v>
      </c>
      <c r="B129" s="324" t="s">
        <v>484</v>
      </c>
      <c r="C129" s="332" t="s">
        <v>392</v>
      </c>
      <c r="D129" s="332" t="s">
        <v>1096</v>
      </c>
      <c r="E129" s="332">
        <f t="shared" si="1"/>
        <v>0</v>
      </c>
      <c r="F129" s="332"/>
      <c r="G129" s="572"/>
      <c r="H129" s="572"/>
      <c r="I129" s="572"/>
      <c r="J129" s="572"/>
    </row>
    <row r="130" spans="1:10" ht="15.75">
      <c r="A130" s="930" t="s">
        <v>5651</v>
      </c>
      <c r="B130" s="586"/>
      <c r="C130" s="587">
        <f>IFERROR(SUM(E124:E129)/COUNTIF(C124:C129,"Yes"),"")</f>
        <v>0</v>
      </c>
      <c r="D130" s="588"/>
      <c r="E130" s="589" t="s">
        <v>5652</v>
      </c>
      <c r="F130" s="589"/>
      <c r="G130" s="589"/>
      <c r="H130" s="589"/>
      <c r="I130" s="589"/>
      <c r="J130" s="589"/>
    </row>
    <row r="131" spans="1:10" ht="20.25" customHeight="1">
      <c r="A131" s="192"/>
      <c r="B131" s="192"/>
      <c r="C131" s="192"/>
      <c r="D131" s="192"/>
      <c r="E131" s="192"/>
      <c r="F131" s="192"/>
      <c r="G131" s="192"/>
      <c r="H131" s="192"/>
      <c r="I131" s="192"/>
      <c r="J131" s="192"/>
    </row>
    <row r="132" spans="1:10" hidden="1">
      <c r="A132" s="575" t="s">
        <v>5673</v>
      </c>
      <c r="B132" s="582"/>
      <c r="C132" s="582"/>
      <c r="D132" s="317"/>
      <c r="E132" s="317"/>
      <c r="F132" s="317"/>
      <c r="G132" s="317"/>
      <c r="H132" s="317"/>
      <c r="I132" s="317"/>
      <c r="J132" s="317"/>
    </row>
    <row r="133" spans="1:10" ht="38.25" hidden="1">
      <c r="A133" s="318" t="s">
        <v>905</v>
      </c>
      <c r="B133" s="318" t="s">
        <v>830</v>
      </c>
      <c r="C133" s="318"/>
      <c r="D133" s="318"/>
      <c r="E133" s="318"/>
      <c r="F133" s="318"/>
      <c r="G133" s="318"/>
      <c r="H133" s="318"/>
      <c r="I133" s="318"/>
      <c r="J133" s="318"/>
    </row>
    <row r="134" spans="1:10" hidden="1">
      <c r="A134" s="315" t="s">
        <v>1086</v>
      </c>
      <c r="B134" s="594" t="s">
        <v>3292</v>
      </c>
      <c r="C134" s="582"/>
      <c r="D134" s="582"/>
      <c r="E134" s="582"/>
      <c r="F134" s="582"/>
      <c r="G134" s="582"/>
      <c r="H134" s="582"/>
      <c r="I134" s="582"/>
      <c r="J134" s="582"/>
    </row>
    <row r="135" spans="1:10" ht="25.5" hidden="1">
      <c r="A135" s="315" t="s">
        <v>2090</v>
      </c>
      <c r="B135" s="594" t="s">
        <v>3293</v>
      </c>
      <c r="C135" s="582"/>
      <c r="D135" s="582"/>
      <c r="E135" s="582"/>
      <c r="F135" s="582"/>
      <c r="G135" s="582"/>
      <c r="H135" s="582"/>
      <c r="I135" s="582"/>
      <c r="J135" s="582"/>
    </row>
    <row r="136" spans="1:10" hidden="1">
      <c r="A136" s="315" t="s">
        <v>1089</v>
      </c>
      <c r="B136" s="594" t="s">
        <v>3294</v>
      </c>
      <c r="C136" s="582"/>
      <c r="D136" s="582"/>
      <c r="E136" s="582"/>
      <c r="F136" s="582"/>
      <c r="G136" s="582"/>
      <c r="H136" s="582"/>
      <c r="I136" s="582"/>
      <c r="J136" s="582"/>
    </row>
    <row r="137" spans="1:10" hidden="1">
      <c r="A137" s="315" t="s">
        <v>1090</v>
      </c>
      <c r="B137" s="594" t="s">
        <v>3295</v>
      </c>
      <c r="C137" s="582"/>
      <c r="D137" s="582"/>
      <c r="E137" s="582"/>
      <c r="F137" s="582"/>
      <c r="G137" s="582"/>
      <c r="H137" s="582"/>
      <c r="I137" s="582"/>
      <c r="J137" s="582"/>
    </row>
    <row r="138" spans="1:10" hidden="1">
      <c r="A138" s="315" t="s">
        <v>1088</v>
      </c>
      <c r="B138" s="594" t="s">
        <v>3296</v>
      </c>
      <c r="C138" s="582"/>
      <c r="D138" s="582"/>
      <c r="E138" s="582"/>
      <c r="F138" s="582"/>
      <c r="G138" s="582"/>
      <c r="H138" s="582"/>
      <c r="I138" s="582"/>
      <c r="J138" s="582"/>
    </row>
    <row r="139" spans="1:10" ht="25.5" hidden="1">
      <c r="A139" s="315" t="s">
        <v>3297</v>
      </c>
      <c r="B139" s="594" t="s">
        <v>3298</v>
      </c>
      <c r="C139" s="582"/>
      <c r="D139" s="582"/>
      <c r="E139" s="582"/>
      <c r="F139" s="582"/>
      <c r="G139" s="582"/>
      <c r="H139" s="582"/>
      <c r="I139" s="582"/>
      <c r="J139" s="582"/>
    </row>
    <row r="140" spans="1:10" hidden="1">
      <c r="A140" s="315" t="s">
        <v>1563</v>
      </c>
      <c r="B140" s="594" t="s">
        <v>1776</v>
      </c>
      <c r="C140" s="582"/>
      <c r="D140" s="582"/>
      <c r="E140" s="582"/>
      <c r="F140" s="582"/>
      <c r="G140" s="582"/>
      <c r="H140" s="582"/>
      <c r="I140" s="582"/>
      <c r="J140" s="582"/>
    </row>
    <row r="141" spans="1:10" hidden="1">
      <c r="A141" s="227"/>
      <c r="B141" s="227"/>
      <c r="C141" s="227"/>
      <c r="D141" s="227"/>
      <c r="E141" s="227"/>
      <c r="F141" s="227"/>
      <c r="G141" s="227"/>
      <c r="H141" s="227"/>
      <c r="I141" s="227"/>
      <c r="J141" s="227"/>
    </row>
    <row r="142" spans="1:10" ht="18" hidden="1">
      <c r="A142" s="598" t="s">
        <v>5562</v>
      </c>
      <c r="B142" s="598"/>
      <c r="C142" s="598"/>
      <c r="D142" s="598"/>
      <c r="E142" s="598"/>
      <c r="F142" s="598"/>
      <c r="G142" s="598"/>
      <c r="H142" s="598"/>
      <c r="I142" s="227"/>
      <c r="J142" s="227"/>
    </row>
    <row r="143" spans="1:10" hidden="1">
      <c r="A143" s="272" t="s">
        <v>2</v>
      </c>
      <c r="B143" s="591" t="s">
        <v>5563</v>
      </c>
      <c r="C143" s="591"/>
      <c r="D143" s="591"/>
      <c r="E143" s="591"/>
      <c r="F143" s="591"/>
      <c r="G143" s="591"/>
      <c r="H143" s="591"/>
      <c r="I143" s="227"/>
      <c r="J143" s="227"/>
    </row>
    <row r="144" spans="1:10" hidden="1">
      <c r="A144" s="272" t="s">
        <v>5564</v>
      </c>
      <c r="B144" s="591" t="s">
        <v>5565</v>
      </c>
      <c r="C144" s="591"/>
      <c r="D144" s="591"/>
      <c r="E144" s="591"/>
      <c r="F144" s="591"/>
      <c r="G144" s="591"/>
      <c r="H144" s="591"/>
      <c r="I144" s="227"/>
      <c r="J144" s="227"/>
    </row>
    <row r="145" spans="1:10" hidden="1">
      <c r="A145" s="192"/>
      <c r="B145" s="192"/>
      <c r="C145" s="192"/>
      <c r="D145" s="192"/>
      <c r="E145" s="192"/>
      <c r="F145" s="192"/>
      <c r="G145" s="192"/>
      <c r="H145" s="192"/>
      <c r="I145" s="227"/>
      <c r="J145" s="227"/>
    </row>
    <row r="146" spans="1:10" hidden="1">
      <c r="A146" s="319" t="s">
        <v>4946</v>
      </c>
      <c r="B146" s="319" t="s">
        <v>77</v>
      </c>
      <c r="C146" s="319" t="s">
        <v>5566</v>
      </c>
      <c r="D146" s="319" t="s">
        <v>263</v>
      </c>
      <c r="E146" s="319" t="s">
        <v>216</v>
      </c>
      <c r="F146" s="319" t="s">
        <v>5567</v>
      </c>
      <c r="G146" s="319" t="s">
        <v>5568</v>
      </c>
      <c r="H146" s="319" t="s">
        <v>5569</v>
      </c>
      <c r="I146" s="227"/>
      <c r="J146" s="227"/>
    </row>
    <row r="147" spans="1:10" ht="25.5" hidden="1">
      <c r="A147" s="273" t="s">
        <v>5570</v>
      </c>
      <c r="B147" s="274" t="s">
        <v>1096</v>
      </c>
      <c r="C147" s="273"/>
      <c r="D147" s="273"/>
      <c r="E147" s="273"/>
      <c r="F147" s="273"/>
      <c r="G147" s="275" t="str">
        <f t="shared" ref="G147:G154" si="2">IF(OR(B147="Yes",B147="N/A"),"🟢","🟡")</f>
        <v>🟡</v>
      </c>
      <c r="H147" s="273"/>
      <c r="I147" s="227"/>
      <c r="J147" s="227"/>
    </row>
    <row r="148" spans="1:10" hidden="1">
      <c r="A148" s="273" t="s">
        <v>5571</v>
      </c>
      <c r="B148" s="274" t="s">
        <v>1096</v>
      </c>
      <c r="C148" s="273"/>
      <c r="D148" s="273"/>
      <c r="E148" s="273"/>
      <c r="F148" s="273"/>
      <c r="G148" s="275" t="str">
        <f t="shared" si="2"/>
        <v>🟡</v>
      </c>
      <c r="H148" s="273"/>
      <c r="I148" s="227"/>
      <c r="J148" s="227"/>
    </row>
    <row r="149" spans="1:10" hidden="1">
      <c r="A149" s="273" t="s">
        <v>5572</v>
      </c>
      <c r="B149" s="274" t="s">
        <v>1096</v>
      </c>
      <c r="C149" s="273"/>
      <c r="D149" s="273"/>
      <c r="E149" s="273"/>
      <c r="F149" s="273"/>
      <c r="G149" s="275" t="str">
        <f t="shared" si="2"/>
        <v>🟡</v>
      </c>
      <c r="H149" s="273"/>
      <c r="I149" s="227"/>
      <c r="J149" s="227"/>
    </row>
    <row r="150" spans="1:10" hidden="1">
      <c r="A150" s="273" t="s">
        <v>5168</v>
      </c>
      <c r="B150" s="274" t="s">
        <v>1096</v>
      </c>
      <c r="C150" s="273"/>
      <c r="D150" s="273"/>
      <c r="E150" s="273"/>
      <c r="F150" s="273"/>
      <c r="G150" s="275" t="str">
        <f t="shared" si="2"/>
        <v>🟡</v>
      </c>
      <c r="H150" s="273"/>
      <c r="I150" s="227"/>
      <c r="J150" s="227"/>
    </row>
    <row r="151" spans="1:10" hidden="1">
      <c r="A151" s="273" t="s">
        <v>5573</v>
      </c>
      <c r="B151" s="274" t="s">
        <v>1096</v>
      </c>
      <c r="C151" s="273"/>
      <c r="D151" s="273"/>
      <c r="E151" s="273"/>
      <c r="F151" s="273"/>
      <c r="G151" s="275" t="str">
        <f t="shared" si="2"/>
        <v>🟡</v>
      </c>
      <c r="H151" s="273"/>
      <c r="I151" s="227"/>
      <c r="J151" s="227"/>
    </row>
    <row r="152" spans="1:10" hidden="1">
      <c r="A152" s="273" t="s">
        <v>5574</v>
      </c>
      <c r="B152" s="274" t="s">
        <v>1096</v>
      </c>
      <c r="C152" s="273"/>
      <c r="D152" s="273"/>
      <c r="E152" s="273"/>
      <c r="F152" s="273"/>
      <c r="G152" s="275" t="str">
        <f t="shared" si="2"/>
        <v>🟡</v>
      </c>
      <c r="H152" s="273"/>
      <c r="I152" s="227"/>
      <c r="J152" s="227"/>
    </row>
    <row r="153" spans="1:10" hidden="1">
      <c r="A153" s="273" t="s">
        <v>178</v>
      </c>
      <c r="B153" s="274" t="s">
        <v>1096</v>
      </c>
      <c r="C153" s="273"/>
      <c r="D153" s="273"/>
      <c r="E153" s="273"/>
      <c r="F153" s="273"/>
      <c r="G153" s="275" t="str">
        <f t="shared" si="2"/>
        <v>🟡</v>
      </c>
      <c r="H153" s="273"/>
      <c r="I153" s="227"/>
      <c r="J153" s="227"/>
    </row>
    <row r="154" spans="1:10" ht="25.5" hidden="1">
      <c r="A154" s="273" t="s">
        <v>5575</v>
      </c>
      <c r="B154" s="274" t="s">
        <v>1096</v>
      </c>
      <c r="C154" s="273"/>
      <c r="D154" s="273"/>
      <c r="E154" s="273"/>
      <c r="F154" s="273"/>
      <c r="G154" s="275" t="str">
        <f t="shared" si="2"/>
        <v>🟡</v>
      </c>
      <c r="H154" s="273"/>
      <c r="I154" s="227"/>
      <c r="J154" s="227"/>
    </row>
    <row r="155" spans="1:10" hidden="1">
      <c r="A155" s="320" t="s">
        <v>4946</v>
      </c>
      <c r="B155" s="320" t="s">
        <v>5583</v>
      </c>
      <c r="C155" s="192"/>
      <c r="D155" s="192"/>
      <c r="E155" s="320" t="s">
        <v>5584</v>
      </c>
      <c r="F155" s="192"/>
      <c r="G155" s="192"/>
      <c r="H155" s="192"/>
      <c r="I155" s="227"/>
      <c r="J155" s="227"/>
    </row>
    <row r="156" spans="1:10" ht="25.5" hidden="1">
      <c r="A156" s="287" t="s">
        <v>5570</v>
      </c>
      <c r="B156" s="577" t="s">
        <v>5585</v>
      </c>
      <c r="C156" s="577"/>
      <c r="D156" s="577"/>
      <c r="E156" s="577" t="s">
        <v>5586</v>
      </c>
      <c r="F156" s="577"/>
      <c r="G156" s="577"/>
      <c r="H156" s="192"/>
      <c r="I156" s="227"/>
      <c r="J156" s="227"/>
    </row>
    <row r="157" spans="1:10" hidden="1">
      <c r="A157" s="287" t="s">
        <v>5571</v>
      </c>
      <c r="B157" s="577" t="s">
        <v>5587</v>
      </c>
      <c r="C157" s="577"/>
      <c r="D157" s="577"/>
      <c r="E157" s="577" t="s">
        <v>5588</v>
      </c>
      <c r="F157" s="577"/>
      <c r="G157" s="577"/>
      <c r="H157" s="192"/>
      <c r="I157" s="227"/>
      <c r="J157" s="227"/>
    </row>
    <row r="158" spans="1:10" hidden="1">
      <c r="A158" s="287" t="s">
        <v>5572</v>
      </c>
      <c r="B158" s="577" t="s">
        <v>5589</v>
      </c>
      <c r="C158" s="577"/>
      <c r="D158" s="577"/>
      <c r="E158" s="577" t="s">
        <v>5590</v>
      </c>
      <c r="F158" s="577"/>
      <c r="G158" s="577"/>
      <c r="H158" s="192"/>
      <c r="I158" s="227"/>
      <c r="J158" s="227"/>
    </row>
    <row r="159" spans="1:10" hidden="1">
      <c r="A159" s="287" t="s">
        <v>5168</v>
      </c>
      <c r="B159" s="577" t="s">
        <v>5591</v>
      </c>
      <c r="C159" s="577"/>
      <c r="D159" s="577"/>
      <c r="E159" s="577" t="s">
        <v>5592</v>
      </c>
      <c r="F159" s="577"/>
      <c r="G159" s="577"/>
      <c r="H159" s="192"/>
      <c r="I159" s="227"/>
      <c r="J159" s="227"/>
    </row>
    <row r="160" spans="1:10" hidden="1">
      <c r="A160" s="287" t="s">
        <v>5573</v>
      </c>
      <c r="B160" s="577" t="s">
        <v>5593</v>
      </c>
      <c r="C160" s="577"/>
      <c r="D160" s="577"/>
      <c r="E160" s="577" t="s">
        <v>5594</v>
      </c>
      <c r="F160" s="577"/>
      <c r="G160" s="577"/>
      <c r="H160" s="192"/>
      <c r="I160" s="227"/>
      <c r="J160" s="227"/>
    </row>
    <row r="161" spans="1:10" hidden="1">
      <c r="A161" s="287" t="s">
        <v>5574</v>
      </c>
      <c r="B161" s="577" t="s">
        <v>5595</v>
      </c>
      <c r="C161" s="577"/>
      <c r="D161" s="577"/>
      <c r="E161" s="577" t="s">
        <v>5596</v>
      </c>
      <c r="F161" s="577"/>
      <c r="G161" s="577"/>
      <c r="H161" s="192"/>
      <c r="I161" s="227"/>
      <c r="J161" s="227"/>
    </row>
    <row r="162" spans="1:10" hidden="1">
      <c r="A162" s="287" t="s">
        <v>178</v>
      </c>
      <c r="B162" s="577" t="s">
        <v>5597</v>
      </c>
      <c r="C162" s="577"/>
      <c r="D162" s="577"/>
      <c r="E162" s="577" t="s">
        <v>5598</v>
      </c>
      <c r="F162" s="577"/>
      <c r="G162" s="577"/>
      <c r="H162" s="192"/>
      <c r="I162" s="227"/>
      <c r="J162" s="227"/>
    </row>
    <row r="163" spans="1:10" ht="25.5" hidden="1">
      <c r="A163" s="287" t="s">
        <v>5575</v>
      </c>
      <c r="B163" s="577" t="s">
        <v>5599</v>
      </c>
      <c r="C163" s="577"/>
      <c r="D163" s="577"/>
      <c r="E163" s="577" t="s">
        <v>5600</v>
      </c>
      <c r="F163" s="577"/>
      <c r="G163" s="577"/>
      <c r="H163" s="192"/>
      <c r="I163" s="227"/>
      <c r="J163" s="227"/>
    </row>
    <row r="164" spans="1:10" hidden="1">
      <c r="A164" s="272" t="s">
        <v>5576</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5577</v>
      </c>
      <c r="B165" s="276">
        <f>COUNTIF(B147:B154,"No")</f>
        <v>8</v>
      </c>
      <c r="C165" s="276"/>
      <c r="D165" s="276"/>
      <c r="E165" s="276"/>
      <c r="F165" s="276"/>
      <c r="G165" s="276"/>
      <c r="H165" s="276"/>
    </row>
    <row r="166" spans="1:10" hidden="1">
      <c r="A166" s="272" t="s">
        <v>5578</v>
      </c>
      <c r="B166" s="276" t="str">
        <f>COUNTIF(B147:B154,"Yes")&amp;" / 8 Complete"</f>
        <v>0 / 8 Complete</v>
      </c>
      <c r="C166" s="276"/>
      <c r="D166" s="276"/>
      <c r="E166" s="276"/>
      <c r="F166" s="276"/>
      <c r="G166" s="276"/>
      <c r="H166" s="276"/>
    </row>
    <row r="167" spans="1:10" ht="90" hidden="1">
      <c r="A167" s="277" t="s">
        <v>5579</v>
      </c>
      <c r="B167" s="278" t="s">
        <v>5580</v>
      </c>
      <c r="C167" s="278"/>
      <c r="D167" s="278"/>
      <c r="E167" s="278"/>
      <c r="F167" s="278"/>
      <c r="G167" s="278"/>
      <c r="H167" s="278"/>
    </row>
    <row r="168" spans="1:10" hidden="1">
      <c r="A168" s="277"/>
      <c r="B168" s="278"/>
      <c r="C168" s="278"/>
      <c r="D168" s="278"/>
      <c r="E168" s="278"/>
      <c r="F168" s="278"/>
      <c r="G168" s="278"/>
      <c r="H168" s="278"/>
    </row>
    <row r="169" spans="1:10" ht="64.5" hidden="1">
      <c r="A169" s="277" t="s">
        <v>5581</v>
      </c>
      <c r="B169" s="278" t="s">
        <v>5582</v>
      </c>
      <c r="C169" s="278"/>
      <c r="D169" s="278"/>
      <c r="E169" s="278"/>
      <c r="F169" s="278"/>
      <c r="G169" s="278"/>
      <c r="H169" s="278"/>
    </row>
    <row r="170" spans="1:10">
      <c r="A170" s="575" t="s">
        <v>5694</v>
      </c>
      <c r="B170" s="575"/>
      <c r="C170" s="575"/>
      <c r="D170" s="575"/>
      <c r="E170" s="575"/>
      <c r="F170" s="575"/>
      <c r="G170" s="575"/>
      <c r="H170" s="575"/>
      <c r="I170" s="575"/>
      <c r="J170" s="575"/>
    </row>
    <row r="171" spans="1:10">
      <c r="A171" s="336"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5681</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5682</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5" t="s">
        <v>5695</v>
      </c>
      <c r="B181" s="575"/>
      <c r="C181" s="575"/>
      <c r="D181" s="575"/>
      <c r="E181" s="575"/>
      <c r="F181" s="575"/>
      <c r="G181" s="575"/>
      <c r="H181" s="575"/>
      <c r="I181" s="575"/>
      <c r="J181" s="575"/>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5684</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5685</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5" t="s">
        <v>5696</v>
      </c>
      <c r="B191" s="575"/>
      <c r="C191" s="575"/>
      <c r="D191" s="575"/>
      <c r="E191" s="575"/>
      <c r="F191" s="575"/>
      <c r="G191" s="575"/>
      <c r="H191" s="575"/>
      <c r="I191" s="575"/>
      <c r="J191" s="575"/>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C195" s="192"/>
      <c r="D195" s="192"/>
      <c r="E195" s="192"/>
      <c r="F195" s="192"/>
      <c r="G195" s="192"/>
      <c r="H195" s="192"/>
      <c r="I195" s="192"/>
      <c r="J195" s="192"/>
    </row>
    <row r="196" spans="1:10">
      <c r="A196" s="192"/>
      <c r="C196" s="192"/>
      <c r="D196" s="192"/>
      <c r="E196" s="192"/>
      <c r="F196" s="192"/>
      <c r="G196" s="192"/>
      <c r="H196" s="192"/>
      <c r="I196" s="192"/>
      <c r="J196" s="192"/>
    </row>
    <row r="197" spans="1:10">
      <c r="A197" s="192" t="s">
        <v>5688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5" t="s">
        <v>5697</v>
      </c>
      <c r="B203" s="575"/>
      <c r="C203" s="575"/>
      <c r="D203" s="575"/>
      <c r="E203" s="575"/>
      <c r="F203" s="575"/>
      <c r="G203" s="575"/>
      <c r="H203" s="575"/>
      <c r="I203" s="575"/>
      <c r="J203" s="575"/>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5693</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599"/>
      <c r="H225" s="599"/>
      <c r="I225" s="599"/>
      <c r="J225" s="599"/>
    </row>
    <row r="226" spans="1:10" ht="17.25" customHeight="1">
      <c r="A226" s="575" t="s">
        <v>3445</v>
      </c>
      <c r="B226" s="896"/>
      <c r="C226" s="896"/>
      <c r="D226" s="85"/>
      <c r="E226" s="85"/>
      <c r="F226" s="85"/>
      <c r="G226" s="85"/>
      <c r="H226" s="85"/>
      <c r="I226" s="85"/>
      <c r="J226" s="85"/>
    </row>
    <row r="227" spans="1:10" ht="39" customHeight="1">
      <c r="A227" s="39" t="s">
        <v>3446</v>
      </c>
      <c r="B227" s="39" t="s">
        <v>836</v>
      </c>
      <c r="C227" s="39"/>
      <c r="D227" s="39"/>
      <c r="E227" s="39"/>
      <c r="F227" s="39"/>
      <c r="G227" s="39"/>
      <c r="H227" s="39"/>
      <c r="I227" s="39"/>
      <c r="J227" s="39"/>
    </row>
    <row r="228" spans="1:10" ht="21.75" customHeight="1">
      <c r="A228" s="39" t="s">
        <v>3447</v>
      </c>
      <c r="B228" s="934" t="s">
        <v>3448</v>
      </c>
      <c r="C228" s="896"/>
      <c r="D228" s="896"/>
      <c r="E228" s="896"/>
      <c r="F228" s="896"/>
      <c r="G228" s="896"/>
      <c r="H228" s="896"/>
      <c r="I228" s="896"/>
      <c r="J228" s="896"/>
    </row>
    <row r="229" spans="1:10" ht="22.5" customHeight="1">
      <c r="A229" s="39" t="s">
        <v>3449</v>
      </c>
      <c r="B229" s="934" t="s">
        <v>3450</v>
      </c>
      <c r="C229" s="896"/>
      <c r="D229" s="896"/>
      <c r="E229" s="896"/>
      <c r="F229" s="896"/>
      <c r="G229" s="896"/>
      <c r="H229" s="896"/>
      <c r="I229" s="896"/>
      <c r="J229" s="896"/>
    </row>
    <row r="230" spans="1:10" ht="32.25" customHeight="1">
      <c r="A230" s="39" t="s">
        <v>3451</v>
      </c>
      <c r="B230" s="934" t="s">
        <v>3452</v>
      </c>
      <c r="C230" s="896"/>
      <c r="D230" s="896"/>
      <c r="E230" s="896"/>
      <c r="F230" s="896"/>
      <c r="G230" s="896"/>
      <c r="H230" s="896"/>
      <c r="I230" s="896"/>
      <c r="J230" s="896"/>
    </row>
    <row r="231" spans="1:10" ht="92.25" customHeight="1">
      <c r="A231" s="39" t="s">
        <v>3453</v>
      </c>
      <c r="B231" s="934" t="s">
        <v>3454</v>
      </c>
      <c r="C231" s="896"/>
      <c r="D231" s="896"/>
      <c r="E231" s="896"/>
      <c r="F231" s="896"/>
      <c r="G231" s="896"/>
      <c r="H231" s="896"/>
      <c r="I231" s="896"/>
      <c r="J231" s="896"/>
    </row>
    <row r="233" spans="1:10" ht="14.25" customHeight="1">
      <c r="A233" s="129"/>
    </row>
    <row r="234" spans="1:10" s="227" customFormat="1" ht="14.25" customHeight="1">
      <c r="A234" s="343"/>
    </row>
    <row r="235" spans="1:10" ht="14.25" customHeight="1">
      <c r="A235" s="8" t="s">
        <v>3455</v>
      </c>
    </row>
    <row r="236" spans="1:10" ht="14.25" customHeight="1"/>
    <row r="237" spans="1:10" ht="30" customHeight="1">
      <c r="A237" s="135" t="s">
        <v>3456</v>
      </c>
    </row>
    <row r="238" spans="1:10" ht="14.25" customHeight="1"/>
    <row r="239" spans="1:10" ht="17.25" customHeight="1">
      <c r="A239" s="136" t="s">
        <v>3457</v>
      </c>
    </row>
    <row r="240" spans="1:10" ht="14.25" customHeight="1">
      <c r="A240" s="134"/>
    </row>
    <row r="241" spans="1:1" ht="14.25" customHeight="1">
      <c r="A241" s="134" t="s">
        <v>3458</v>
      </c>
    </row>
    <row r="242" spans="1:1" ht="14.25" customHeight="1">
      <c r="A242" s="134" t="s">
        <v>3459</v>
      </c>
    </row>
    <row r="243" spans="1:1" ht="14.25" customHeight="1">
      <c r="A243" s="134" t="s">
        <v>3460</v>
      </c>
    </row>
    <row r="244" spans="1:1" ht="14.25" customHeight="1">
      <c r="A244" s="134" t="s">
        <v>3461</v>
      </c>
    </row>
    <row r="245" spans="1:1" ht="14.25" customHeight="1">
      <c r="A245" s="134" t="s">
        <v>3462</v>
      </c>
    </row>
    <row r="246" spans="1:1" ht="14.25" customHeight="1"/>
    <row r="247" spans="1:1" ht="17.25" customHeight="1">
      <c r="A247" s="136" t="s">
        <v>3463</v>
      </c>
    </row>
    <row r="248" spans="1:1" ht="14.25" customHeight="1">
      <c r="A248" s="134"/>
    </row>
    <row r="249" spans="1:1" ht="14.25" customHeight="1">
      <c r="A249" s="134" t="s">
        <v>3464</v>
      </c>
    </row>
    <row r="250" spans="1:1" ht="14.25" customHeight="1">
      <c r="A250" s="134" t="s">
        <v>3465</v>
      </c>
    </row>
    <row r="251" spans="1:1" ht="14.25" customHeight="1">
      <c r="A251" s="134" t="s">
        <v>3466</v>
      </c>
    </row>
    <row r="252" spans="1:1" ht="14.25" customHeight="1">
      <c r="A252" s="134" t="s">
        <v>3467</v>
      </c>
    </row>
    <row r="253" spans="1:1" ht="14.25" customHeight="1">
      <c r="A253" s="134" t="s">
        <v>3468</v>
      </c>
    </row>
    <row r="254" spans="1:1" ht="14.25" customHeight="1"/>
    <row r="255" spans="1:1" ht="17.25" customHeight="1">
      <c r="A255" s="136" t="s">
        <v>146</v>
      </c>
    </row>
    <row r="256" spans="1:1" ht="14.25" customHeight="1">
      <c r="A256" s="134"/>
    </row>
    <row r="257" spans="1:1" ht="14.25" customHeight="1">
      <c r="A257" s="134" t="s">
        <v>3469</v>
      </c>
    </row>
    <row r="258" spans="1:1" ht="14.25" customHeight="1">
      <c r="A258" s="134" t="s">
        <v>3470</v>
      </c>
    </row>
    <row r="259" spans="1:1" ht="14.25" customHeight="1">
      <c r="A259" s="134" t="s">
        <v>3471</v>
      </c>
    </row>
    <row r="260" spans="1:1" ht="14.25" customHeight="1">
      <c r="A260" s="134" t="s">
        <v>3472</v>
      </c>
    </row>
    <row r="261" spans="1:1" ht="14.25" customHeight="1">
      <c r="A261" s="134" t="s">
        <v>3473</v>
      </c>
    </row>
    <row r="262" spans="1:1" ht="14.25" customHeight="1">
      <c r="A262" s="134" t="s">
        <v>3474</v>
      </c>
    </row>
    <row r="263" spans="1:1" ht="14.25" customHeight="1"/>
    <row r="264" spans="1:1" ht="17.25" customHeight="1">
      <c r="A264" s="136" t="s">
        <v>157</v>
      </c>
    </row>
    <row r="265" spans="1:1" ht="14.25" customHeight="1">
      <c r="A265" s="134"/>
    </row>
    <row r="266" spans="1:1" ht="14.25" customHeight="1">
      <c r="A266" s="134" t="s">
        <v>3475</v>
      </c>
    </row>
    <row r="267" spans="1:1" ht="14.25" customHeight="1">
      <c r="A267" s="134" t="s">
        <v>3476</v>
      </c>
    </row>
    <row r="268" spans="1:1" ht="14.25" customHeight="1">
      <c r="A268" s="134" t="s">
        <v>3477</v>
      </c>
    </row>
    <row r="269" spans="1:1" ht="14.25" customHeight="1">
      <c r="A269" s="134" t="s">
        <v>3478</v>
      </c>
    </row>
    <row r="270" spans="1:1" ht="14.25" customHeight="1">
      <c r="A270" s="134" t="s">
        <v>3479</v>
      </c>
    </row>
    <row r="272" spans="1:1" ht="17.25" customHeight="1">
      <c r="A272" s="136" t="s">
        <v>3480</v>
      </c>
    </row>
    <row r="273" spans="1:1" ht="14.25" customHeight="1">
      <c r="A273" s="134"/>
    </row>
    <row r="274" spans="1:1" ht="14.25" customHeight="1">
      <c r="A274" s="134" t="s">
        <v>3481</v>
      </c>
    </row>
    <row r="275" spans="1:1" ht="14.25" customHeight="1">
      <c r="A275" s="134" t="s">
        <v>3482</v>
      </c>
    </row>
    <row r="276" spans="1:1" ht="14.25" customHeight="1">
      <c r="A276" s="134" t="s">
        <v>3483</v>
      </c>
    </row>
    <row r="277" spans="1:1" ht="14.25" customHeight="1">
      <c r="A277" s="134" t="s">
        <v>3484</v>
      </c>
    </row>
    <row r="278" spans="1:1" ht="14.25" customHeight="1">
      <c r="A278" s="134" t="s">
        <v>3485</v>
      </c>
    </row>
    <row r="279" spans="1:1" ht="14.25" customHeight="1">
      <c r="A279" s="134" t="s">
        <v>3486</v>
      </c>
    </row>
    <row r="280" spans="1:1" ht="14.25" customHeight="1">
      <c r="A280" s="134" t="s">
        <v>3487</v>
      </c>
    </row>
    <row r="282" spans="1:1" ht="17.25" customHeight="1">
      <c r="A282" s="136" t="s">
        <v>153</v>
      </c>
    </row>
    <row r="283" spans="1:1" ht="14.25" customHeight="1">
      <c r="A283" s="134"/>
    </row>
    <row r="284" spans="1:1" ht="14.25" customHeight="1">
      <c r="A284" s="134" t="s">
        <v>3488</v>
      </c>
    </row>
    <row r="285" spans="1:1" ht="14.25" customHeight="1">
      <c r="A285" s="134" t="s">
        <v>3489</v>
      </c>
    </row>
    <row r="286" spans="1:1" ht="14.25" customHeight="1">
      <c r="A286" s="134" t="s">
        <v>3490</v>
      </c>
    </row>
    <row r="287" spans="1:1" ht="14.25" customHeight="1">
      <c r="A287" s="134" t="s">
        <v>3491</v>
      </c>
    </row>
    <row r="288" spans="1:1" ht="14.25" customHeight="1">
      <c r="A288" s="134" t="s">
        <v>3492</v>
      </c>
    </row>
    <row r="289" spans="1:1" ht="14.25" customHeight="1">
      <c r="A289" s="134" t="s">
        <v>3493</v>
      </c>
    </row>
    <row r="290" spans="1:1" ht="14.25" customHeight="1">
      <c r="A290" s="134" t="s">
        <v>3494</v>
      </c>
    </row>
    <row r="292" spans="1:1" ht="17.25" customHeight="1">
      <c r="A292" s="136" t="s">
        <v>3495</v>
      </c>
    </row>
    <row r="293" spans="1:1" ht="14.25" customHeight="1">
      <c r="A293" s="134"/>
    </row>
    <row r="294" spans="1:1" ht="14.25" customHeight="1">
      <c r="A294" s="134" t="s">
        <v>3496</v>
      </c>
    </row>
    <row r="295" spans="1:1" ht="14.25" customHeight="1">
      <c r="A295" s="134" t="s">
        <v>3497</v>
      </c>
    </row>
    <row r="296" spans="1:1" ht="14.25" customHeight="1">
      <c r="A296" s="134" t="s">
        <v>3498</v>
      </c>
    </row>
    <row r="297" spans="1:1" ht="14.25" customHeight="1">
      <c r="A297" s="134" t="s">
        <v>3499</v>
      </c>
    </row>
    <row r="298" spans="1:1" ht="14.25" customHeight="1">
      <c r="A298" s="134" t="s">
        <v>3500</v>
      </c>
    </row>
    <row r="299" spans="1:1" ht="14.25" customHeight="1">
      <c r="A299" s="134" t="s">
        <v>3501</v>
      </c>
    </row>
    <row r="300" spans="1:1" ht="14.25" customHeight="1">
      <c r="A300" s="134" t="s">
        <v>3502</v>
      </c>
    </row>
    <row r="301" spans="1:1" ht="14.25" customHeight="1">
      <c r="A301" s="134" t="s">
        <v>3503</v>
      </c>
    </row>
    <row r="302" spans="1:1" ht="14.25" customHeight="1">
      <c r="A302" s="134" t="s">
        <v>3504</v>
      </c>
    </row>
    <row r="304" spans="1:1" ht="17.25" customHeight="1">
      <c r="A304" s="136" t="s">
        <v>556</v>
      </c>
    </row>
    <row r="305" spans="1:1" ht="14.25" customHeight="1">
      <c r="A305" s="134"/>
    </row>
    <row r="306" spans="1:1" ht="14.25" customHeight="1">
      <c r="A306" s="134" t="s">
        <v>3505</v>
      </c>
    </row>
    <row r="307" spans="1:1" ht="14.25" customHeight="1">
      <c r="A307" s="134" t="s">
        <v>3506</v>
      </c>
    </row>
    <row r="308" spans="1:1" ht="14.25" customHeight="1">
      <c r="A308" s="134" t="s">
        <v>3507</v>
      </c>
    </row>
    <row r="309" spans="1:1" ht="14.25" customHeight="1">
      <c r="A309" s="134" t="s">
        <v>3508</v>
      </c>
    </row>
    <row r="310" spans="1:1" ht="14.25" customHeight="1">
      <c r="A310" s="134" t="s">
        <v>3509</v>
      </c>
    </row>
    <row r="312" spans="1:1" ht="17.25" customHeight="1">
      <c r="A312" s="136" t="s">
        <v>3510</v>
      </c>
    </row>
    <row r="313" spans="1:1" ht="14.25" customHeight="1">
      <c r="A313" s="134"/>
    </row>
    <row r="314" spans="1:1" ht="14.25" customHeight="1">
      <c r="A314" s="134" t="s">
        <v>3511</v>
      </c>
    </row>
    <row r="315" spans="1:1" ht="14.25" customHeight="1">
      <c r="A315" s="134" t="s">
        <v>3512</v>
      </c>
    </row>
    <row r="316" spans="1:1" ht="14.25" customHeight="1">
      <c r="A316" s="134" t="s">
        <v>3513</v>
      </c>
    </row>
    <row r="317" spans="1:1" ht="14.25" customHeight="1">
      <c r="A317" s="134" t="s">
        <v>3514</v>
      </c>
    </row>
    <row r="318" spans="1:1" ht="14.25" customHeight="1">
      <c r="A318" s="134" t="s">
        <v>3515</v>
      </c>
    </row>
    <row r="320" spans="1:1" ht="17.25" customHeight="1">
      <c r="A320" s="136" t="s">
        <v>3516</v>
      </c>
    </row>
    <row r="321" spans="1:1" ht="14.25" customHeight="1">
      <c r="A321" s="134"/>
    </row>
    <row r="322" spans="1:1" ht="14.25" customHeight="1">
      <c r="A322" s="134" t="s">
        <v>3517</v>
      </c>
    </row>
    <row r="323" spans="1:1" ht="14.25" customHeight="1">
      <c r="A323" s="134" t="s">
        <v>3518</v>
      </c>
    </row>
    <row r="324" spans="1:1" ht="14.25" customHeight="1">
      <c r="A324" s="134" t="s">
        <v>3519</v>
      </c>
    </row>
    <row r="325" spans="1:1" ht="14.25" customHeight="1">
      <c r="A325" s="134" t="s">
        <v>3520</v>
      </c>
    </row>
    <row r="326" spans="1:1" ht="14.25" customHeight="1">
      <c r="A326" s="134" t="s">
        <v>3521</v>
      </c>
    </row>
    <row r="327" spans="1:1" ht="14.25" customHeight="1">
      <c r="A327" s="134" t="s">
        <v>3522</v>
      </c>
    </row>
    <row r="328" spans="1:1" ht="14.25" customHeight="1">
      <c r="A328" s="134" t="s">
        <v>3523</v>
      </c>
    </row>
    <row r="329" spans="1:1" ht="14.25" customHeight="1">
      <c r="A329" s="134" t="s">
        <v>3524</v>
      </c>
    </row>
    <row r="331" spans="1:1" ht="30" customHeight="1">
      <c r="A331" s="135" t="s">
        <v>3525</v>
      </c>
    </row>
    <row r="333" spans="1:1" ht="17.25" customHeight="1">
      <c r="A333" s="136" t="s">
        <v>3526</v>
      </c>
    </row>
    <row r="334" spans="1:1" ht="14.25" customHeight="1">
      <c r="A334" s="134"/>
    </row>
    <row r="335" spans="1:1" ht="14.25" customHeight="1">
      <c r="A335" s="134" t="s">
        <v>3527</v>
      </c>
    </row>
    <row r="336" spans="1:1" ht="14.25" customHeight="1">
      <c r="A336" s="134" t="s">
        <v>3528</v>
      </c>
    </row>
    <row r="337" spans="1:1" ht="14.25" customHeight="1">
      <c r="A337" s="134" t="s">
        <v>3529</v>
      </c>
    </row>
    <row r="338" spans="1:1" ht="14.25" customHeight="1">
      <c r="A338" s="134" t="s">
        <v>3530</v>
      </c>
    </row>
    <row r="339" spans="1:1" ht="14.25" customHeight="1">
      <c r="A339" s="134" t="s">
        <v>3531</v>
      </c>
    </row>
    <row r="341" spans="1:1" ht="17.25" customHeight="1">
      <c r="A341" s="136" t="s">
        <v>3532</v>
      </c>
    </row>
    <row r="342" spans="1:1" ht="14.25" customHeight="1">
      <c r="A342" s="134"/>
    </row>
    <row r="343" spans="1:1" ht="14.25" customHeight="1">
      <c r="A343" s="134" t="s">
        <v>3533</v>
      </c>
    </row>
    <row r="344" spans="1:1" ht="14.25" customHeight="1">
      <c r="A344" s="134" t="s">
        <v>3534</v>
      </c>
    </row>
    <row r="345" spans="1:1" ht="14.25" customHeight="1">
      <c r="A345" s="134" t="s">
        <v>3535</v>
      </c>
    </row>
    <row r="346" spans="1:1" ht="14.25" customHeight="1">
      <c r="A346" s="134" t="s">
        <v>3536</v>
      </c>
    </row>
    <row r="347" spans="1:1" ht="14.25" customHeight="1">
      <c r="A347" s="134" t="s">
        <v>3537</v>
      </c>
    </row>
    <row r="349" spans="1:1" ht="17.25" customHeight="1">
      <c r="A349" s="136" t="s">
        <v>3538</v>
      </c>
    </row>
    <row r="350" spans="1:1" ht="14.25" customHeight="1">
      <c r="A350" s="134"/>
    </row>
    <row r="351" spans="1:1" ht="14.25" customHeight="1">
      <c r="A351" s="134" t="s">
        <v>3539</v>
      </c>
    </row>
    <row r="352" spans="1:1" ht="14.25" customHeight="1">
      <c r="A352" s="134" t="s">
        <v>3540</v>
      </c>
    </row>
    <row r="353" spans="1:1" ht="14.25" customHeight="1">
      <c r="A353" s="134" t="s">
        <v>3541</v>
      </c>
    </row>
  </sheetData>
  <mergeCells count="117">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9:J109"/>
    <mergeCell ref="G110:J110"/>
    <mergeCell ref="G111:J111"/>
    <mergeCell ref="A112:B112"/>
    <mergeCell ref="C112:D112"/>
    <mergeCell ref="E112:J112"/>
    <mergeCell ref="A105:C105"/>
    <mergeCell ref="D105:F105"/>
    <mergeCell ref="G105:J105"/>
    <mergeCell ref="G106:J106"/>
    <mergeCell ref="G107:J107"/>
    <mergeCell ref="A103:B103"/>
    <mergeCell ref="C103:D103"/>
    <mergeCell ref="E103:J103"/>
    <mergeCell ref="G94:J94"/>
    <mergeCell ref="F95:J95"/>
    <mergeCell ref="F96:J96"/>
    <mergeCell ref="F97:J97"/>
    <mergeCell ref="F98:J98"/>
    <mergeCell ref="G108:J108"/>
    <mergeCell ref="A84:C84"/>
    <mergeCell ref="D84:F84"/>
    <mergeCell ref="G84:J84"/>
    <mergeCell ref="G85:J85"/>
    <mergeCell ref="G86:J86"/>
    <mergeCell ref="F99:J99"/>
    <mergeCell ref="F100:J100"/>
    <mergeCell ref="F101:J101"/>
    <mergeCell ref="F102:J102"/>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s>
  <conditionalFormatting sqref="B38:B40">
    <cfRule type="expression" dxfId="368" priority="133">
      <formula>B38="Verify"</formula>
    </cfRule>
    <cfRule type="expression" dxfId="367" priority="132">
      <formula>B38="Pass"</formula>
    </cfRule>
    <cfRule type="expression" dxfId="366" priority="134">
      <formula>B38="Fail"</formula>
    </cfRule>
    <cfRule type="expression" dxfId="365" priority="135">
      <formula>B38="Not Started"</formula>
    </cfRule>
  </conditionalFormatting>
  <conditionalFormatting sqref="B86:B90">
    <cfRule type="expression" dxfId="364" priority="21">
      <formula>B86="Complete"</formula>
    </cfRule>
    <cfRule type="expression" dxfId="363" priority="22">
      <formula>B86="In Progress"</formula>
    </cfRule>
    <cfRule type="expression" dxfId="362" priority="23">
      <formula>B86="At Risk"</formula>
    </cfRule>
    <cfRule type="expression" dxfId="361" priority="24">
      <formula>B86="Blocked"</formula>
    </cfRule>
    <cfRule type="expression" dxfId="360" priority="25">
      <formula>B86="Not Started"</formula>
    </cfRule>
  </conditionalFormatting>
  <conditionalFormatting sqref="B95:B102">
    <cfRule type="expression" dxfId="359" priority="2">
      <formula>B95="In Progress"</formula>
    </cfRule>
    <cfRule type="expression" dxfId="358" priority="3">
      <formula>B95="At Risk"</formula>
    </cfRule>
    <cfRule type="expression" dxfId="357" priority="4">
      <formula>B95="Blocked"</formula>
    </cfRule>
    <cfRule type="expression" dxfId="356" priority="5">
      <formula>B95="Not Started"</formula>
    </cfRule>
    <cfRule type="expression" dxfId="355" priority="1">
      <formula>B95="Complete"</formula>
    </cfRule>
  </conditionalFormatting>
  <conditionalFormatting sqref="B107:B111">
    <cfRule type="expression" dxfId="354" priority="30">
      <formula>B107="Not Started"</formula>
    </cfRule>
    <cfRule type="expression" dxfId="353" priority="29">
      <formula>B107="Blocked"</formula>
    </cfRule>
    <cfRule type="expression" dxfId="352" priority="28">
      <formula>B107="At Risk"</formula>
    </cfRule>
    <cfRule type="expression" dxfId="351" priority="27">
      <formula>B107="In Progress"</formula>
    </cfRule>
    <cfRule type="expression" dxfId="350" priority="26">
      <formula>B107="Complete"</formula>
    </cfRule>
  </conditionalFormatting>
  <conditionalFormatting sqref="B116:B119">
    <cfRule type="expression" dxfId="349" priority="6">
      <formula>B116="Complete"</formula>
    </cfRule>
    <cfRule type="expression" dxfId="348" priority="7">
      <formula>B116="In Progress"</formula>
    </cfRule>
    <cfRule type="expression" dxfId="347" priority="8">
      <formula>B116="At Risk"</formula>
    </cfRule>
    <cfRule type="expression" dxfId="346" priority="9">
      <formula>B116="Blocked"</formula>
    </cfRule>
    <cfRule type="expression" dxfId="345" priority="10">
      <formula>B116="Not Started"</formula>
    </cfRule>
  </conditionalFormatting>
  <conditionalFormatting sqref="B124:B129">
    <cfRule type="expression" dxfId="344" priority="12">
      <formula>B124="In Progress"</formula>
    </cfRule>
    <cfRule type="expression" dxfId="343" priority="13">
      <formula>B124="At Risk"</formula>
    </cfRule>
    <cfRule type="expression" dxfId="342" priority="14">
      <formula>B124="Blocked"</formula>
    </cfRule>
    <cfRule type="expression" dxfId="341" priority="15">
      <formula>B124="Not Started"</formula>
    </cfRule>
    <cfRule type="expression" dxfId="340" priority="11">
      <formula>B124="Complete"</formula>
    </cfRule>
  </conditionalFormatting>
  <conditionalFormatting sqref="B147:B154">
    <cfRule type="expression" dxfId="339" priority="83">
      <formula>B147="N/A"</formula>
    </cfRule>
    <cfRule type="expression" dxfId="338" priority="82">
      <formula>B147="Yes"</formula>
    </cfRule>
    <cfRule type="expression" dxfId="337" priority="84">
      <formula>B147="No"</formula>
    </cfRule>
  </conditionalFormatting>
  <conditionalFormatting sqref="B164:H164">
    <cfRule type="expression" dxfId="336" priority="86">
      <formula>COUNTIF($B$6:$B$13,"No")&gt;0</formula>
    </cfRule>
    <cfRule type="expression" dxfId="335" priority="85">
      <formula>COUNTIF($B$6:$B$13,"No")=0</formula>
    </cfRule>
  </conditionalFormatting>
  <conditionalFormatting sqref="B17:I19">
    <cfRule type="expression" dxfId="334" priority="121">
      <formula>B17="Verify"</formula>
    </cfRule>
    <cfRule type="expression" dxfId="333" priority="120">
      <formula>B17="Pass"</formula>
    </cfRule>
    <cfRule type="expression" dxfId="332" priority="123">
      <formula>B17="Not Started"</formula>
    </cfRule>
    <cfRule type="expression" dxfId="331" priority="122">
      <formula>B17="Fail"</formula>
    </cfRule>
  </conditionalFormatting>
  <conditionalFormatting sqref="B24:I26">
    <cfRule type="expression" dxfId="330" priority="124">
      <formula>B24="Pass"</formula>
    </cfRule>
    <cfRule type="expression" dxfId="329" priority="125">
      <formula>B24="Verify"</formula>
    </cfRule>
    <cfRule type="expression" dxfId="328" priority="126">
      <formula>B24="Fail"</formula>
    </cfRule>
    <cfRule type="expression" dxfId="327" priority="127">
      <formula>B24="Not Started"</formula>
    </cfRule>
  </conditionalFormatting>
  <conditionalFormatting sqref="B31:I33">
    <cfRule type="expression" dxfId="326" priority="128">
      <formula>B31="Pass"</formula>
    </cfRule>
    <cfRule type="expression" dxfId="325" priority="129">
      <formula>B31="Verify"</formula>
    </cfRule>
    <cfRule type="expression" dxfId="324" priority="130">
      <formula>B31="Fail"</formula>
    </cfRule>
    <cfRule type="expression" dxfId="323" priority="131">
      <formula>B31="Not Started"</formula>
    </cfRule>
  </conditionalFormatting>
  <conditionalFormatting sqref="B45:I47">
    <cfRule type="expression" dxfId="322" priority="140">
      <formula>B45="Pass"</formula>
    </cfRule>
    <cfRule type="expression" dxfId="321" priority="141">
      <formula>B45="Verify"</formula>
    </cfRule>
    <cfRule type="expression" dxfId="320" priority="142">
      <formula>B45="Fail"</formula>
    </cfRule>
    <cfRule type="expression" dxfId="319"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18" priority="33">
      <formula>C95="N/A"</formula>
    </cfRule>
    <cfRule type="expression" dxfId="317" priority="31">
      <formula>C95="Yes"</formula>
    </cfRule>
    <cfRule type="expression" dxfId="316" priority="32">
      <formula>C95="No"</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15" priority="18">
      <formula>C124="N/A"</formula>
    </cfRule>
    <cfRule type="expression" dxfId="314" priority="17">
      <formula>C124="No"</formula>
    </cfRule>
    <cfRule type="expression" dxfId="313" priority="16">
      <formula>C124="Yes"</formula>
    </cfRule>
  </conditionalFormatting>
  <conditionalFormatting sqref="C130:D130">
    <cfRule type="dataBar" priority="20">
      <dataBar>
        <cfvo type="num" val="0"/>
        <cfvo type="num" val="1"/>
        <color rgb="FF5B9BD5"/>
      </dataBar>
    </cfRule>
  </conditionalFormatting>
  <conditionalFormatting sqref="D38:I40">
    <cfRule type="expression" dxfId="312" priority="136">
      <formula>D38="Pass"</formula>
    </cfRule>
    <cfRule type="expression" dxfId="311" priority="137">
      <formula>D38="Verify"</formula>
    </cfRule>
    <cfRule type="expression" dxfId="310" priority="138">
      <formula>D38="Fail"</formula>
    </cfRule>
    <cfRule type="expression" dxfId="309" priority="139">
      <formula>D38="Not Started"</formula>
    </cfRule>
  </conditionalFormatting>
  <conditionalFormatting sqref="E5 G5 I5">
    <cfRule type="expression" dxfId="308" priority="87">
      <formula>E5="Pass"</formula>
    </cfRule>
    <cfRule type="expression" dxfId="307" priority="88">
      <formula>E5="Verify"</formula>
    </cfRule>
    <cfRule type="expression" dxfId="306" priority="89">
      <formula>E5="Fail"</formula>
    </cfRule>
    <cfRule type="expression" dxfId="305" priority="90">
      <formula>E5="Not Started"</formula>
    </cfRule>
  </conditionalFormatting>
  <conditionalFormatting sqref="F3">
    <cfRule type="expression" dxfId="304" priority="91">
      <formula>F3="Yes"</formula>
    </cfRule>
    <cfRule type="expression" dxfId="303" priority="92">
      <formula>F3="No"</formula>
    </cfRule>
  </conditionalFormatting>
  <conditionalFormatting sqref="F107:F111">
    <cfRule type="expression" dxfId="302" priority="35">
      <formula>F107="Fail"</formula>
    </cfRule>
    <cfRule type="expression" dxfId="301" priority="34">
      <formula>F107="Pass"</formula>
    </cfRule>
    <cfRule type="expression" dxfId="300"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299" priority="116">
      <formula>H10="Pass"</formula>
    </cfRule>
    <cfRule type="expression" dxfId="298" priority="117">
      <formula>H10="Verify"</formula>
    </cfRule>
    <cfRule type="expression" dxfId="297" priority="118">
      <formula>H10="Fail"</formula>
    </cfRule>
    <cfRule type="expression" dxfId="296" priority="119">
      <formula>H10="Not Started"</formula>
    </cfRule>
  </conditionalFormatting>
  <conditionalFormatting sqref="I79:I81">
    <cfRule type="expression" dxfId="295" priority="144">
      <formula>LEFT(I79,5)="Ready"</formula>
    </cfRule>
    <cfRule type="expression" dxfId="294" priority="145">
      <formula>LEFT(I79,7)="Partial"</formula>
    </cfRule>
    <cfRule type="expression" dxfId="293"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Lookup_Lists!$L$37:$L$39</xm:f>
          </x14:formula1>
          <xm:sqref>C107:E111 J2</xm:sqref>
        </x14:dataValidation>
        <x14:dataValidation type="list" allowBlank="1" showInputMessage="1" showErrorMessage="1" xr:uid="{7170639D-E193-41D3-8A7F-3A371200FD45}">
          <x14:formula1>
            <xm:f>Lookup_Lists!$A$36:$A$42</xm:f>
          </x14:formula1>
          <xm:sqref>B86:B90 B95:B102 B124:B129</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83"/>
  <sheetViews>
    <sheetView topLeftCell="A18" workbookViewId="0">
      <selection activeCell="B4" sqref="B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3542</v>
      </c>
      <c r="B1" s="896"/>
      <c r="C1" s="896"/>
      <c r="D1" s="896"/>
      <c r="E1" s="896"/>
      <c r="F1" s="896"/>
      <c r="G1" s="896"/>
      <c r="H1" s="896"/>
      <c r="I1" s="896"/>
      <c r="J1" s="896"/>
    </row>
    <row r="2" spans="1:10" s="223" customFormat="1">
      <c r="A2" s="219" t="s">
        <v>142</v>
      </c>
      <c r="B2" s="220">
        <v>78</v>
      </c>
      <c r="C2" s="219" t="s">
        <v>902</v>
      </c>
      <c r="D2" s="220" t="s">
        <v>1094</v>
      </c>
      <c r="E2" s="219" t="s">
        <v>151</v>
      </c>
      <c r="F2" s="220" t="s">
        <v>1095</v>
      </c>
      <c r="G2" s="219" t="s">
        <v>174</v>
      </c>
      <c r="H2" s="253">
        <v>0.5</v>
      </c>
      <c r="I2" s="219" t="s">
        <v>154</v>
      </c>
      <c r="J2" s="222" t="s">
        <v>1096</v>
      </c>
    </row>
    <row r="3" spans="1:10" s="227" customFormat="1" ht="25.5">
      <c r="A3" s="219" t="s">
        <v>903</v>
      </c>
      <c r="B3" s="224">
        <v>46198.803445266203</v>
      </c>
      <c r="C3" s="225" t="s">
        <v>904</v>
      </c>
      <c r="D3" s="226" t="s">
        <v>721</v>
      </c>
      <c r="E3" s="219" t="s">
        <v>905</v>
      </c>
      <c r="F3" s="226" t="s">
        <v>3543</v>
      </c>
      <c r="G3" s="219" t="s">
        <v>907</v>
      </c>
      <c r="H3" s="226" t="s">
        <v>908</v>
      </c>
      <c r="I3" s="219" t="s">
        <v>551</v>
      </c>
      <c r="J3" s="226" t="s">
        <v>3544</v>
      </c>
    </row>
    <row r="4" spans="1:10" s="227" customFormat="1" ht="280.5">
      <c r="A4" s="219" t="s">
        <v>161</v>
      </c>
      <c r="B4" s="226">
        <v>0</v>
      </c>
      <c r="C4" s="219" t="s">
        <v>199</v>
      </c>
      <c r="D4" s="226">
        <v>0</v>
      </c>
      <c r="E4" s="219" t="s">
        <v>179</v>
      </c>
      <c r="F4" s="226">
        <v>0</v>
      </c>
      <c r="G4" s="219" t="s">
        <v>870</v>
      </c>
      <c r="H4" s="228" t="s">
        <v>3545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9.75" customHeight="1">
      <c r="A6" s="234" t="s">
        <v>916</v>
      </c>
      <c r="B6" s="221" t="s">
        <v>677</v>
      </c>
      <c r="C6" s="235" t="s">
        <v>869</v>
      </c>
      <c r="D6" s="604" t="s">
        <v>3546</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6.5">
      <c r="A10" s="13" t="s">
        <v>3547</v>
      </c>
      <c r="B10" s="13" t="s">
        <v>443</v>
      </c>
      <c r="C10" s="13" t="s">
        <v>923</v>
      </c>
      <c r="D10" s="13" t="s">
        <v>3548</v>
      </c>
      <c r="E10" s="13" t="s">
        <v>356</v>
      </c>
      <c r="F10" s="13">
        <v>2</v>
      </c>
      <c r="G10" s="13">
        <v>1</v>
      </c>
      <c r="H10" s="13" t="s">
        <v>677</v>
      </c>
      <c r="I10" s="13" t="s">
        <v>3549</v>
      </c>
      <c r="J10" s="13" t="s">
        <v>3550</v>
      </c>
    </row>
    <row r="11" spans="1:10" ht="76.5">
      <c r="A11" s="13" t="s">
        <v>3547</v>
      </c>
      <c r="B11" s="13" t="s">
        <v>3551</v>
      </c>
      <c r="C11" s="13" t="s">
        <v>923</v>
      </c>
      <c r="D11" s="13" t="s">
        <v>3548</v>
      </c>
      <c r="E11" s="13" t="s">
        <v>356</v>
      </c>
      <c r="F11" s="13">
        <v>1</v>
      </c>
      <c r="G11" s="13">
        <v>1</v>
      </c>
      <c r="H11" s="13" t="s">
        <v>677</v>
      </c>
      <c r="I11" s="13" t="s">
        <v>3552</v>
      </c>
      <c r="J11" s="13" t="s">
        <v>3553</v>
      </c>
    </row>
    <row r="12" spans="1:10" ht="89.25">
      <c r="A12" s="13" t="s">
        <v>3547</v>
      </c>
      <c r="B12" s="13" t="s">
        <v>712</v>
      </c>
      <c r="C12" s="13" t="s">
        <v>919</v>
      </c>
      <c r="D12" s="13" t="s">
        <v>3554</v>
      </c>
      <c r="E12" s="13" t="s">
        <v>356</v>
      </c>
      <c r="F12" s="13">
        <v>1</v>
      </c>
      <c r="G12" s="13">
        <v>1</v>
      </c>
      <c r="H12" s="13" t="s">
        <v>677</v>
      </c>
      <c r="I12" s="13" t="s">
        <v>3555</v>
      </c>
      <c r="J12" s="13" t="s">
        <v>3556</v>
      </c>
    </row>
    <row r="13" spans="1:10" ht="89.25">
      <c r="A13" s="13" t="s">
        <v>3547</v>
      </c>
      <c r="B13" s="13" t="s">
        <v>446</v>
      </c>
      <c r="C13" s="13" t="s">
        <v>933</v>
      </c>
      <c r="D13" s="13" t="s">
        <v>3557</v>
      </c>
      <c r="E13" s="13" t="s">
        <v>356</v>
      </c>
      <c r="F13" s="13">
        <v>1</v>
      </c>
      <c r="G13" s="13">
        <v>1</v>
      </c>
      <c r="H13" s="13" t="s">
        <v>677</v>
      </c>
      <c r="I13" s="13" t="s">
        <v>3558</v>
      </c>
      <c r="J13" s="13" t="s">
        <v>3559</v>
      </c>
    </row>
    <row r="14" spans="1:10" ht="63.75">
      <c r="A14" s="13" t="s">
        <v>3547</v>
      </c>
      <c r="B14" s="13" t="s">
        <v>684</v>
      </c>
      <c r="C14" s="13" t="s">
        <v>1107</v>
      </c>
      <c r="D14" s="13" t="s">
        <v>3560</v>
      </c>
      <c r="E14" s="13" t="s">
        <v>356</v>
      </c>
      <c r="F14" s="13">
        <v>2</v>
      </c>
      <c r="G14" s="13">
        <v>1</v>
      </c>
      <c r="H14" s="13" t="s">
        <v>677</v>
      </c>
      <c r="I14" s="13" t="s">
        <v>3561</v>
      </c>
      <c r="J14" s="13" t="s">
        <v>3562</v>
      </c>
    </row>
    <row r="15" spans="1:10" ht="63.75">
      <c r="A15" s="13" t="s">
        <v>3547</v>
      </c>
      <c r="B15" s="13" t="s">
        <v>713</v>
      </c>
      <c r="C15" s="13" t="s">
        <v>3563</v>
      </c>
      <c r="D15" s="13" t="s">
        <v>3564</v>
      </c>
      <c r="E15" s="13" t="s">
        <v>356</v>
      </c>
      <c r="F15" s="13">
        <v>1</v>
      </c>
      <c r="G15" s="13">
        <v>1</v>
      </c>
      <c r="H15" s="13" t="s">
        <v>677</v>
      </c>
      <c r="I15" s="13" t="s">
        <v>3565</v>
      </c>
      <c r="J15" s="13" t="s">
        <v>3566</v>
      </c>
    </row>
    <row r="16" spans="1:10" ht="76.5">
      <c r="A16" s="13" t="s">
        <v>3547</v>
      </c>
      <c r="B16" s="13" t="s">
        <v>3567</v>
      </c>
      <c r="C16" s="13" t="s">
        <v>3568</v>
      </c>
      <c r="D16" s="13" t="s">
        <v>3569</v>
      </c>
      <c r="E16" s="13" t="s">
        <v>1118</v>
      </c>
      <c r="F16" s="13">
        <v>5</v>
      </c>
      <c r="G16" s="13">
        <v>0</v>
      </c>
      <c r="H16" s="13" t="s">
        <v>677</v>
      </c>
      <c r="I16" s="13" t="s">
        <v>3570</v>
      </c>
      <c r="J16" s="13" t="s">
        <v>3571</v>
      </c>
    </row>
    <row r="17" spans="1:10">
      <c r="A17" s="13"/>
      <c r="B17" s="13"/>
      <c r="C17" s="13"/>
      <c r="D17" s="13"/>
      <c r="E17" s="13"/>
      <c r="F17" s="13"/>
      <c r="G17" s="13"/>
      <c r="H17" s="13"/>
      <c r="I17" s="13"/>
      <c r="J17" s="13"/>
    </row>
    <row r="18" spans="1:10">
      <c r="A18" s="575" t="s">
        <v>936</v>
      </c>
      <c r="B18" s="896"/>
      <c r="C18" s="896"/>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63.75">
      <c r="A20" s="13" t="s">
        <v>443</v>
      </c>
      <c r="B20" s="13" t="s">
        <v>677</v>
      </c>
      <c r="C20" s="13" t="s">
        <v>677</v>
      </c>
      <c r="D20" s="13" t="s">
        <v>677</v>
      </c>
      <c r="E20" s="13" t="s">
        <v>677</v>
      </c>
      <c r="F20" s="13" t="s">
        <v>677</v>
      </c>
      <c r="G20" s="13" t="s">
        <v>677</v>
      </c>
      <c r="H20" s="13" t="s">
        <v>677</v>
      </c>
      <c r="I20" s="13" t="s">
        <v>677</v>
      </c>
      <c r="J20" s="13" t="s">
        <v>3572</v>
      </c>
    </row>
    <row r="21" spans="1:10" ht="51">
      <c r="A21" s="13" t="s">
        <v>3551</v>
      </c>
      <c r="B21" s="13" t="s">
        <v>677</v>
      </c>
      <c r="C21" s="13" t="s">
        <v>677</v>
      </c>
      <c r="D21" s="13" t="s">
        <v>677</v>
      </c>
      <c r="E21" s="13" t="s">
        <v>677</v>
      </c>
      <c r="F21" s="13" t="s">
        <v>677</v>
      </c>
      <c r="G21" s="13" t="s">
        <v>677</v>
      </c>
      <c r="H21" s="13" t="s">
        <v>677</v>
      </c>
      <c r="I21" s="13" t="s">
        <v>677</v>
      </c>
      <c r="J21" s="13" t="s">
        <v>3573</v>
      </c>
    </row>
    <row r="22" spans="1:10" ht="51">
      <c r="A22" s="13" t="s">
        <v>712</v>
      </c>
      <c r="B22" s="13" t="s">
        <v>677</v>
      </c>
      <c r="C22" s="13" t="s">
        <v>677</v>
      </c>
      <c r="D22" s="13" t="s">
        <v>677</v>
      </c>
      <c r="E22" s="13" t="s">
        <v>677</v>
      </c>
      <c r="F22" s="13" t="s">
        <v>677</v>
      </c>
      <c r="G22" s="13" t="s">
        <v>677</v>
      </c>
      <c r="H22" s="13" t="s">
        <v>677</v>
      </c>
      <c r="I22" s="13" t="s">
        <v>677</v>
      </c>
      <c r="J22" s="13" t="s">
        <v>3574</v>
      </c>
    </row>
    <row r="23" spans="1:10" ht="51">
      <c r="A23" s="13" t="s">
        <v>446</v>
      </c>
      <c r="B23" s="13" t="s">
        <v>677</v>
      </c>
      <c r="C23" s="13" t="s">
        <v>677</v>
      </c>
      <c r="D23" s="13" t="s">
        <v>677</v>
      </c>
      <c r="E23" s="13" t="s">
        <v>677</v>
      </c>
      <c r="F23" s="13" t="s">
        <v>677</v>
      </c>
      <c r="G23" s="13" t="s">
        <v>677</v>
      </c>
      <c r="H23" s="13" t="s">
        <v>677</v>
      </c>
      <c r="I23" s="13" t="s">
        <v>677</v>
      </c>
      <c r="J23" s="13" t="s">
        <v>3575</v>
      </c>
    </row>
    <row r="24" spans="1:10" ht="38.25">
      <c r="A24" s="13" t="s">
        <v>684</v>
      </c>
      <c r="B24" s="13" t="s">
        <v>677</v>
      </c>
      <c r="C24" s="13" t="s">
        <v>677</v>
      </c>
      <c r="D24" s="13" t="s">
        <v>677</v>
      </c>
      <c r="E24" s="13" t="s">
        <v>677</v>
      </c>
      <c r="F24" s="13" t="s">
        <v>677</v>
      </c>
      <c r="G24" s="13" t="s">
        <v>677</v>
      </c>
      <c r="H24" s="13" t="s">
        <v>677</v>
      </c>
      <c r="I24" s="13" t="s">
        <v>677</v>
      </c>
      <c r="J24" s="13" t="s">
        <v>3576</v>
      </c>
    </row>
    <row r="25" spans="1:10" ht="38.25">
      <c r="A25" s="13" t="s">
        <v>713</v>
      </c>
      <c r="B25" s="13" t="s">
        <v>677</v>
      </c>
      <c r="C25" s="13" t="s">
        <v>677</v>
      </c>
      <c r="D25" s="13" t="s">
        <v>677</v>
      </c>
      <c r="E25" s="13" t="s">
        <v>677</v>
      </c>
      <c r="F25" s="13" t="s">
        <v>677</v>
      </c>
      <c r="G25" s="13" t="s">
        <v>677</v>
      </c>
      <c r="H25" s="13" t="s">
        <v>677</v>
      </c>
      <c r="I25" s="13" t="s">
        <v>677</v>
      </c>
      <c r="J25" s="13" t="s">
        <v>3577</v>
      </c>
    </row>
    <row r="26" spans="1:10" ht="51">
      <c r="A26" s="13" t="s">
        <v>606</v>
      </c>
      <c r="B26" s="13" t="s">
        <v>946</v>
      </c>
      <c r="C26" s="13" t="s">
        <v>946</v>
      </c>
      <c r="D26" s="13" t="s">
        <v>946</v>
      </c>
      <c r="E26" s="13" t="s">
        <v>677</v>
      </c>
      <c r="F26" s="13" t="s">
        <v>677</v>
      </c>
      <c r="G26" s="13" t="s">
        <v>677</v>
      </c>
      <c r="H26" s="13" t="s">
        <v>677</v>
      </c>
      <c r="I26" s="13" t="s">
        <v>677</v>
      </c>
      <c r="J26" s="13" t="s">
        <v>3578</v>
      </c>
    </row>
    <row r="27" spans="1:10">
      <c r="A27" s="13"/>
      <c r="B27" s="13"/>
      <c r="C27" s="13"/>
      <c r="D27" s="13"/>
      <c r="E27" s="13"/>
      <c r="F27" s="13"/>
      <c r="G27" s="13"/>
      <c r="H27" s="13"/>
      <c r="I27" s="13"/>
      <c r="J27" s="13"/>
    </row>
    <row r="28" spans="1:10">
      <c r="A28" s="575" t="s">
        <v>951</v>
      </c>
      <c r="B28" s="896"/>
      <c r="C28" s="896"/>
      <c r="D28" s="85"/>
      <c r="E28" s="85"/>
      <c r="F28" s="85"/>
      <c r="G28" s="85"/>
      <c r="H28" s="85"/>
      <c r="I28" s="85"/>
      <c r="J28" s="85"/>
    </row>
    <row r="29" spans="1:10">
      <c r="A29" s="50" t="s">
        <v>275</v>
      </c>
      <c r="B29" s="50" t="s">
        <v>952</v>
      </c>
      <c r="C29" s="50" t="s">
        <v>953</v>
      </c>
      <c r="D29" s="50" t="s">
        <v>954</v>
      </c>
      <c r="E29" s="50" t="s">
        <v>955</v>
      </c>
      <c r="F29" s="50" t="s">
        <v>956</v>
      </c>
      <c r="G29" s="50" t="s">
        <v>957</v>
      </c>
      <c r="H29" s="50" t="s">
        <v>958</v>
      </c>
      <c r="I29" s="50" t="s">
        <v>899</v>
      </c>
      <c r="J29" s="50" t="s">
        <v>959</v>
      </c>
    </row>
    <row r="30" spans="1:10" ht="51">
      <c r="A30" s="13" t="s">
        <v>443</v>
      </c>
      <c r="B30" s="13" t="s">
        <v>677</v>
      </c>
      <c r="C30" s="13" t="s">
        <v>677</v>
      </c>
      <c r="D30" s="13" t="s">
        <v>677</v>
      </c>
      <c r="E30" s="13" t="s">
        <v>677</v>
      </c>
      <c r="F30" s="13" t="s">
        <v>677</v>
      </c>
      <c r="G30" s="13" t="s">
        <v>677</v>
      </c>
      <c r="H30" s="13" t="s">
        <v>677</v>
      </c>
      <c r="I30" s="13" t="s">
        <v>677</v>
      </c>
      <c r="J30" s="13" t="s">
        <v>3579</v>
      </c>
    </row>
    <row r="31" spans="1:10" ht="38.25">
      <c r="A31" s="13" t="s">
        <v>3551</v>
      </c>
      <c r="B31" s="13" t="s">
        <v>677</v>
      </c>
      <c r="C31" s="13" t="s">
        <v>677</v>
      </c>
      <c r="D31" s="13" t="s">
        <v>677</v>
      </c>
      <c r="E31" s="13" t="s">
        <v>677</v>
      </c>
      <c r="F31" s="13" t="s">
        <v>677</v>
      </c>
      <c r="G31" s="13" t="s">
        <v>677</v>
      </c>
      <c r="H31" s="13" t="s">
        <v>677</v>
      </c>
      <c r="I31" s="13" t="s">
        <v>677</v>
      </c>
      <c r="J31" s="13" t="s">
        <v>3580</v>
      </c>
    </row>
    <row r="32" spans="1:10" ht="38.25">
      <c r="A32" s="13" t="s">
        <v>712</v>
      </c>
      <c r="B32" s="13" t="s">
        <v>677</v>
      </c>
      <c r="C32" s="13" t="s">
        <v>677</v>
      </c>
      <c r="D32" s="13" t="s">
        <v>677</v>
      </c>
      <c r="E32" s="13" t="s">
        <v>677</v>
      </c>
      <c r="F32" s="13" t="s">
        <v>677</v>
      </c>
      <c r="G32" s="13" t="s">
        <v>677</v>
      </c>
      <c r="H32" s="13" t="s">
        <v>677</v>
      </c>
      <c r="I32" s="13" t="s">
        <v>677</v>
      </c>
      <c r="J32" s="13" t="s">
        <v>3581</v>
      </c>
    </row>
    <row r="33" spans="1:10" ht="38.25">
      <c r="A33" s="13" t="s">
        <v>446</v>
      </c>
      <c r="B33" s="13" t="s">
        <v>677</v>
      </c>
      <c r="C33" s="13" t="s">
        <v>677</v>
      </c>
      <c r="D33" s="13" t="s">
        <v>677</v>
      </c>
      <c r="E33" s="13" t="s">
        <v>677</v>
      </c>
      <c r="F33" s="13" t="s">
        <v>677</v>
      </c>
      <c r="G33" s="13" t="s">
        <v>677</v>
      </c>
      <c r="H33" s="13" t="s">
        <v>677</v>
      </c>
      <c r="I33" s="13" t="s">
        <v>677</v>
      </c>
      <c r="J33" s="13" t="s">
        <v>3582</v>
      </c>
    </row>
    <row r="34" spans="1:10" ht="25.5">
      <c r="A34" s="13" t="s">
        <v>684</v>
      </c>
      <c r="B34" s="13" t="s">
        <v>677</v>
      </c>
      <c r="C34" s="13" t="s">
        <v>677</v>
      </c>
      <c r="D34" s="13" t="s">
        <v>677</v>
      </c>
      <c r="E34" s="13" t="s">
        <v>677</v>
      </c>
      <c r="F34" s="13" t="s">
        <v>677</v>
      </c>
      <c r="G34" s="13" t="s">
        <v>677</v>
      </c>
      <c r="H34" s="13" t="s">
        <v>677</v>
      </c>
      <c r="I34" s="13" t="s">
        <v>677</v>
      </c>
      <c r="J34" s="13" t="s">
        <v>3583</v>
      </c>
    </row>
    <row r="35" spans="1:10" ht="25.5">
      <c r="A35" s="13" t="s">
        <v>713</v>
      </c>
      <c r="B35" s="13" t="s">
        <v>677</v>
      </c>
      <c r="C35" s="13" t="s">
        <v>677</v>
      </c>
      <c r="D35" s="13" t="s">
        <v>677</v>
      </c>
      <c r="E35" s="13" t="s">
        <v>677</v>
      </c>
      <c r="F35" s="13" t="s">
        <v>677</v>
      </c>
      <c r="G35" s="13" t="s">
        <v>677</v>
      </c>
      <c r="H35" s="13" t="s">
        <v>677</v>
      </c>
      <c r="I35" s="13" t="s">
        <v>677</v>
      </c>
      <c r="J35" s="13" t="s">
        <v>3584</v>
      </c>
    </row>
    <row r="36" spans="1:10" ht="38.25">
      <c r="A36" s="13" t="s">
        <v>606</v>
      </c>
      <c r="B36" s="13" t="s">
        <v>677</v>
      </c>
      <c r="C36" s="13" t="s">
        <v>679</v>
      </c>
      <c r="D36" s="13" t="s">
        <v>677</v>
      </c>
      <c r="E36" s="13" t="s">
        <v>677</v>
      </c>
      <c r="F36" s="13" t="s">
        <v>677</v>
      </c>
      <c r="G36" s="13" t="s">
        <v>677</v>
      </c>
      <c r="H36" s="13" t="s">
        <v>677</v>
      </c>
      <c r="I36" s="13" t="s">
        <v>677</v>
      </c>
      <c r="J36" s="13" t="s">
        <v>3585</v>
      </c>
    </row>
    <row r="37" spans="1:10">
      <c r="A37" s="13"/>
      <c r="B37" s="13"/>
      <c r="C37" s="13"/>
      <c r="D37" s="13"/>
      <c r="E37" s="13"/>
      <c r="F37" s="13"/>
      <c r="G37" s="13"/>
      <c r="H37" s="13"/>
      <c r="I37" s="13"/>
      <c r="J37" s="13"/>
    </row>
    <row r="38" spans="1:10">
      <c r="A38" s="575" t="s">
        <v>964</v>
      </c>
      <c r="B38" s="896"/>
      <c r="C38" s="896"/>
      <c r="D38" s="85"/>
      <c r="E38" s="85"/>
      <c r="F38" s="85"/>
      <c r="G38" s="85"/>
      <c r="H38" s="85"/>
      <c r="I38" s="85"/>
      <c r="J38" s="85"/>
    </row>
    <row r="39" spans="1:10">
      <c r="A39" s="50" t="s">
        <v>275</v>
      </c>
      <c r="B39" s="50" t="s">
        <v>965</v>
      </c>
      <c r="C39" s="50" t="s">
        <v>966</v>
      </c>
      <c r="D39" s="50" t="s">
        <v>967</v>
      </c>
      <c r="E39" s="50" t="s">
        <v>968</v>
      </c>
      <c r="F39" s="50" t="s">
        <v>969</v>
      </c>
      <c r="G39" s="50" t="s">
        <v>970</v>
      </c>
      <c r="H39" s="50" t="s">
        <v>971</v>
      </c>
      <c r="I39" s="50" t="s">
        <v>899</v>
      </c>
      <c r="J39" s="50" t="s">
        <v>959</v>
      </c>
    </row>
    <row r="40" spans="1:10" ht="63.75">
      <c r="A40" s="13" t="s">
        <v>443</v>
      </c>
      <c r="B40" s="13" t="s">
        <v>3586</v>
      </c>
      <c r="C40" s="13" t="s">
        <v>677</v>
      </c>
      <c r="D40" s="13" t="s">
        <v>677</v>
      </c>
      <c r="E40" s="13" t="s">
        <v>677</v>
      </c>
      <c r="F40" s="13" t="s">
        <v>677</v>
      </c>
      <c r="G40" s="13" t="s">
        <v>677</v>
      </c>
      <c r="H40" s="13" t="s">
        <v>677</v>
      </c>
      <c r="I40" s="13" t="s">
        <v>677</v>
      </c>
      <c r="J40" s="13" t="s">
        <v>3587</v>
      </c>
    </row>
    <row r="41" spans="1:10" ht="38.25">
      <c r="A41" s="13" t="s">
        <v>3551</v>
      </c>
      <c r="B41" s="13" t="s">
        <v>3586</v>
      </c>
      <c r="C41" s="13" t="s">
        <v>677</v>
      </c>
      <c r="D41" s="13" t="s">
        <v>677</v>
      </c>
      <c r="E41" s="13" t="s">
        <v>677</v>
      </c>
      <c r="F41" s="13" t="s">
        <v>677</v>
      </c>
      <c r="G41" s="13" t="s">
        <v>677</v>
      </c>
      <c r="H41" s="13" t="s">
        <v>677</v>
      </c>
      <c r="I41" s="13" t="s">
        <v>677</v>
      </c>
      <c r="J41" s="13" t="s">
        <v>3588</v>
      </c>
    </row>
    <row r="42" spans="1:10" ht="38.25">
      <c r="A42" s="13" t="s">
        <v>712</v>
      </c>
      <c r="B42" s="13" t="s">
        <v>3586</v>
      </c>
      <c r="C42" s="13" t="s">
        <v>677</v>
      </c>
      <c r="D42" s="13" t="s">
        <v>677</v>
      </c>
      <c r="E42" s="13" t="s">
        <v>677</v>
      </c>
      <c r="F42" s="13" t="s">
        <v>677</v>
      </c>
      <c r="G42" s="13" t="s">
        <v>677</v>
      </c>
      <c r="H42" s="13" t="s">
        <v>677</v>
      </c>
      <c r="I42" s="13" t="s">
        <v>677</v>
      </c>
      <c r="J42" s="13" t="s">
        <v>3589</v>
      </c>
    </row>
    <row r="43" spans="1:10" ht="38.25">
      <c r="A43" s="13" t="s">
        <v>446</v>
      </c>
      <c r="B43" s="13" t="s">
        <v>3586</v>
      </c>
      <c r="C43" s="13" t="s">
        <v>677</v>
      </c>
      <c r="D43" s="13" t="s">
        <v>677</v>
      </c>
      <c r="E43" s="13" t="s">
        <v>677</v>
      </c>
      <c r="F43" s="13" t="s">
        <v>677</v>
      </c>
      <c r="G43" s="13" t="s">
        <v>677</v>
      </c>
      <c r="H43" s="13" t="s">
        <v>677</v>
      </c>
      <c r="I43" s="13" t="s">
        <v>677</v>
      </c>
      <c r="J43" s="13" t="s">
        <v>3590</v>
      </c>
    </row>
    <row r="44" spans="1:10" ht="38.25">
      <c r="A44" s="13" t="s">
        <v>684</v>
      </c>
      <c r="B44" s="13" t="s">
        <v>3586</v>
      </c>
      <c r="C44" s="13" t="s">
        <v>677</v>
      </c>
      <c r="D44" s="13" t="s">
        <v>677</v>
      </c>
      <c r="E44" s="13" t="s">
        <v>677</v>
      </c>
      <c r="F44" s="13" t="s">
        <v>677</v>
      </c>
      <c r="G44" s="13" t="s">
        <v>677</v>
      </c>
      <c r="H44" s="13" t="s">
        <v>677</v>
      </c>
      <c r="I44" s="13" t="s">
        <v>677</v>
      </c>
      <c r="J44" s="13" t="s">
        <v>3591</v>
      </c>
    </row>
    <row r="45" spans="1:10" ht="38.25">
      <c r="A45" s="13" t="s">
        <v>713</v>
      </c>
      <c r="B45" s="13" t="s">
        <v>3586</v>
      </c>
      <c r="C45" s="13" t="s">
        <v>677</v>
      </c>
      <c r="D45" s="13" t="s">
        <v>677</v>
      </c>
      <c r="E45" s="13" t="s">
        <v>677</v>
      </c>
      <c r="F45" s="13" t="s">
        <v>677</v>
      </c>
      <c r="G45" s="13" t="s">
        <v>677</v>
      </c>
      <c r="H45" s="13" t="s">
        <v>677</v>
      </c>
      <c r="I45" s="13" t="s">
        <v>677</v>
      </c>
      <c r="J45" s="13" t="s">
        <v>3592</v>
      </c>
    </row>
    <row r="46" spans="1:10" ht="51">
      <c r="A46" s="13" t="s">
        <v>606</v>
      </c>
      <c r="B46" s="13" t="s">
        <v>946</v>
      </c>
      <c r="C46" s="13" t="s">
        <v>677</v>
      </c>
      <c r="D46" s="13" t="s">
        <v>677</v>
      </c>
      <c r="E46" s="13" t="s">
        <v>677</v>
      </c>
      <c r="F46" s="13" t="s">
        <v>677</v>
      </c>
      <c r="G46" s="13" t="s">
        <v>677</v>
      </c>
      <c r="H46" s="13" t="s">
        <v>677</v>
      </c>
      <c r="I46" s="13" t="s">
        <v>677</v>
      </c>
      <c r="J46" s="13" t="s">
        <v>3593</v>
      </c>
    </row>
    <row r="47" spans="1:10">
      <c r="A47" s="13"/>
      <c r="B47" s="13"/>
      <c r="C47" s="13"/>
      <c r="D47" s="13"/>
      <c r="E47" s="13"/>
      <c r="F47" s="13"/>
      <c r="G47" s="13"/>
      <c r="H47" s="13"/>
      <c r="I47" s="13"/>
      <c r="J47" s="13"/>
    </row>
    <row r="48" spans="1:10">
      <c r="A48" s="575" t="s">
        <v>977</v>
      </c>
      <c r="B48" s="896"/>
      <c r="C48" s="896"/>
      <c r="D48" s="85"/>
      <c r="E48" s="85"/>
      <c r="F48" s="85"/>
      <c r="G48" s="85"/>
      <c r="H48" s="85"/>
      <c r="I48" s="85"/>
      <c r="J48" s="85"/>
    </row>
    <row r="49" spans="1:10">
      <c r="A49" s="50" t="s">
        <v>275</v>
      </c>
      <c r="B49" s="50" t="s">
        <v>978</v>
      </c>
      <c r="C49" s="50" t="s">
        <v>979</v>
      </c>
      <c r="D49" s="50" t="s">
        <v>980</v>
      </c>
      <c r="E49" s="50" t="s">
        <v>981</v>
      </c>
      <c r="F49" s="50" t="s">
        <v>982</v>
      </c>
      <c r="G49" s="50" t="s">
        <v>983</v>
      </c>
      <c r="H49" s="50" t="s">
        <v>984</v>
      </c>
      <c r="I49" s="50" t="s">
        <v>899</v>
      </c>
      <c r="J49" s="50" t="s">
        <v>11</v>
      </c>
    </row>
    <row r="50" spans="1:10" ht="63.75">
      <c r="A50" s="13" t="s">
        <v>443</v>
      </c>
      <c r="B50" s="13" t="s">
        <v>677</v>
      </c>
      <c r="C50" s="13" t="s">
        <v>985</v>
      </c>
      <c r="D50" s="13" t="s">
        <v>677</v>
      </c>
      <c r="E50" s="13" t="s">
        <v>677</v>
      </c>
      <c r="F50" s="13" t="s">
        <v>3594</v>
      </c>
      <c r="G50" s="13" t="s">
        <v>677</v>
      </c>
      <c r="H50" s="13" t="s">
        <v>677</v>
      </c>
      <c r="I50" s="13" t="s">
        <v>677</v>
      </c>
      <c r="J50" s="13" t="s">
        <v>3595</v>
      </c>
    </row>
    <row r="51" spans="1:10" ht="38.25">
      <c r="A51" s="13" t="s">
        <v>3551</v>
      </c>
      <c r="B51" s="13" t="s">
        <v>677</v>
      </c>
      <c r="C51" s="13" t="s">
        <v>985</v>
      </c>
      <c r="D51" s="13" t="s">
        <v>677</v>
      </c>
      <c r="E51" s="13" t="s">
        <v>677</v>
      </c>
      <c r="F51" s="13" t="s">
        <v>3596</v>
      </c>
      <c r="G51" s="13" t="s">
        <v>677</v>
      </c>
      <c r="H51" s="13" t="s">
        <v>677</v>
      </c>
      <c r="I51" s="13" t="s">
        <v>677</v>
      </c>
      <c r="J51" s="13" t="s">
        <v>3597</v>
      </c>
    </row>
    <row r="52" spans="1:10" ht="38.25">
      <c r="A52" s="13" t="s">
        <v>712</v>
      </c>
      <c r="B52" s="13" t="s">
        <v>677</v>
      </c>
      <c r="C52" s="13" t="s">
        <v>985</v>
      </c>
      <c r="D52" s="13" t="s">
        <v>677</v>
      </c>
      <c r="E52" s="13" t="s">
        <v>677</v>
      </c>
      <c r="F52" s="13" t="s">
        <v>3598</v>
      </c>
      <c r="G52" s="13" t="s">
        <v>677</v>
      </c>
      <c r="H52" s="13" t="s">
        <v>677</v>
      </c>
      <c r="I52" s="13" t="s">
        <v>677</v>
      </c>
      <c r="J52" s="13" t="s">
        <v>3599</v>
      </c>
    </row>
    <row r="53" spans="1:10" ht="38.25">
      <c r="A53" s="13" t="s">
        <v>446</v>
      </c>
      <c r="B53" s="13" t="s">
        <v>677</v>
      </c>
      <c r="C53" s="13" t="s">
        <v>985</v>
      </c>
      <c r="D53" s="13" t="s">
        <v>677</v>
      </c>
      <c r="E53" s="13" t="s">
        <v>677</v>
      </c>
      <c r="F53" s="13" t="s">
        <v>3600</v>
      </c>
      <c r="G53" s="13" t="s">
        <v>677</v>
      </c>
      <c r="H53" s="13" t="s">
        <v>677</v>
      </c>
      <c r="I53" s="13" t="s">
        <v>677</v>
      </c>
      <c r="J53" s="13" t="s">
        <v>3601</v>
      </c>
    </row>
    <row r="54" spans="1:10" ht="38.25">
      <c r="A54" s="13" t="s">
        <v>684</v>
      </c>
      <c r="B54" s="13" t="s">
        <v>677</v>
      </c>
      <c r="C54" s="13" t="s">
        <v>985</v>
      </c>
      <c r="D54" s="13" t="s">
        <v>677</v>
      </c>
      <c r="E54" s="13" t="s">
        <v>677</v>
      </c>
      <c r="F54" s="13" t="s">
        <v>3602</v>
      </c>
      <c r="G54" s="13" t="s">
        <v>677</v>
      </c>
      <c r="H54" s="13" t="s">
        <v>677</v>
      </c>
      <c r="I54" s="13" t="s">
        <v>677</v>
      </c>
      <c r="J54" s="13" t="s">
        <v>3603</v>
      </c>
    </row>
    <row r="55" spans="1:10" ht="25.5">
      <c r="A55" s="13" t="s">
        <v>713</v>
      </c>
      <c r="B55" s="13" t="s">
        <v>677</v>
      </c>
      <c r="C55" s="13" t="s">
        <v>985</v>
      </c>
      <c r="D55" s="13" t="s">
        <v>677</v>
      </c>
      <c r="E55" s="13" t="s">
        <v>677</v>
      </c>
      <c r="F55" s="13" t="s">
        <v>3604</v>
      </c>
      <c r="G55" s="13" t="s">
        <v>677</v>
      </c>
      <c r="H55" s="13" t="s">
        <v>677</v>
      </c>
      <c r="I55" s="13" t="s">
        <v>677</v>
      </c>
      <c r="J55" s="13" t="s">
        <v>3605</v>
      </c>
    </row>
    <row r="56" spans="1:10" ht="63.75">
      <c r="A56" s="13" t="s">
        <v>606</v>
      </c>
      <c r="B56" s="13" t="s">
        <v>946</v>
      </c>
      <c r="C56" s="13" t="s">
        <v>3606</v>
      </c>
      <c r="D56" s="13" t="s">
        <v>946</v>
      </c>
      <c r="E56" s="13" t="s">
        <v>677</v>
      </c>
      <c r="F56" s="13" t="s">
        <v>3607</v>
      </c>
      <c r="G56" s="13" t="s">
        <v>677</v>
      </c>
      <c r="H56" s="13" t="s">
        <v>677</v>
      </c>
      <c r="I56" s="13" t="s">
        <v>677</v>
      </c>
      <c r="J56" s="13" t="s">
        <v>3608</v>
      </c>
    </row>
    <row r="57" spans="1:10">
      <c r="A57" s="13"/>
      <c r="B57" s="13"/>
      <c r="C57" s="13"/>
      <c r="D57" s="13"/>
      <c r="E57" s="13"/>
      <c r="F57" s="13"/>
      <c r="G57" s="13"/>
      <c r="H57" s="13"/>
      <c r="I57" s="13"/>
      <c r="J57" s="13"/>
    </row>
    <row r="58" spans="1:10">
      <c r="A58" s="575" t="s">
        <v>994</v>
      </c>
      <c r="B58" s="896"/>
      <c r="C58" s="896"/>
      <c r="D58" s="85"/>
      <c r="E58" s="85"/>
      <c r="F58" s="85"/>
      <c r="G58" s="85"/>
      <c r="H58" s="85"/>
      <c r="I58" s="85"/>
      <c r="J58" s="85"/>
    </row>
    <row r="59" spans="1:10">
      <c r="A59" s="50" t="s">
        <v>275</v>
      </c>
      <c r="B59" s="50" t="s">
        <v>995</v>
      </c>
      <c r="C59" s="50" t="s">
        <v>996</v>
      </c>
      <c r="D59" s="50" t="s">
        <v>997</v>
      </c>
      <c r="E59" s="50" t="s">
        <v>998</v>
      </c>
      <c r="F59" s="50" t="s">
        <v>999</v>
      </c>
      <c r="G59" s="50" t="s">
        <v>1000</v>
      </c>
      <c r="H59" s="50" t="s">
        <v>1001</v>
      </c>
      <c r="I59" s="50" t="s">
        <v>899</v>
      </c>
      <c r="J59" s="50" t="s">
        <v>11</v>
      </c>
    </row>
    <row r="60" spans="1:10" ht="51">
      <c r="A60" s="13" t="s">
        <v>443</v>
      </c>
      <c r="B60" s="13" t="s">
        <v>677</v>
      </c>
      <c r="C60" s="13" t="s">
        <v>677</v>
      </c>
      <c r="D60" s="13" t="s">
        <v>677</v>
      </c>
      <c r="E60" s="13" t="s">
        <v>677</v>
      </c>
      <c r="F60" s="13" t="s">
        <v>677</v>
      </c>
      <c r="G60" s="13" t="s">
        <v>677</v>
      </c>
      <c r="H60" s="13" t="s">
        <v>677</v>
      </c>
      <c r="I60" s="13" t="s">
        <v>677</v>
      </c>
      <c r="J60" s="13" t="s">
        <v>3609</v>
      </c>
    </row>
    <row r="61" spans="1:10" ht="51">
      <c r="A61" s="13" t="s">
        <v>3551</v>
      </c>
      <c r="B61" s="13" t="s">
        <v>677</v>
      </c>
      <c r="C61" s="13" t="s">
        <v>677</v>
      </c>
      <c r="D61" s="13" t="s">
        <v>677</v>
      </c>
      <c r="E61" s="13" t="s">
        <v>677</v>
      </c>
      <c r="F61" s="13" t="s">
        <v>677</v>
      </c>
      <c r="G61" s="13" t="s">
        <v>677</v>
      </c>
      <c r="H61" s="13" t="s">
        <v>677</v>
      </c>
      <c r="I61" s="13" t="s">
        <v>677</v>
      </c>
      <c r="J61" s="13" t="s">
        <v>3610</v>
      </c>
    </row>
    <row r="62" spans="1:10" ht="51">
      <c r="A62" s="13" t="s">
        <v>712</v>
      </c>
      <c r="B62" s="13" t="s">
        <v>677</v>
      </c>
      <c r="C62" s="13" t="s">
        <v>677</v>
      </c>
      <c r="D62" s="13" t="s">
        <v>677</v>
      </c>
      <c r="E62" s="13" t="s">
        <v>677</v>
      </c>
      <c r="F62" s="13" t="s">
        <v>677</v>
      </c>
      <c r="G62" s="13" t="s">
        <v>677</v>
      </c>
      <c r="H62" s="13" t="s">
        <v>677</v>
      </c>
      <c r="I62" s="13" t="s">
        <v>677</v>
      </c>
      <c r="J62" s="13" t="s">
        <v>3611</v>
      </c>
    </row>
    <row r="63" spans="1:10" ht="51">
      <c r="A63" s="13" t="s">
        <v>446</v>
      </c>
      <c r="B63" s="13" t="s">
        <v>677</v>
      </c>
      <c r="C63" s="13" t="s">
        <v>677</v>
      </c>
      <c r="D63" s="13" t="s">
        <v>677</v>
      </c>
      <c r="E63" s="13" t="s">
        <v>677</v>
      </c>
      <c r="F63" s="13" t="s">
        <v>677</v>
      </c>
      <c r="G63" s="13" t="s">
        <v>677</v>
      </c>
      <c r="H63" s="13" t="s">
        <v>677</v>
      </c>
      <c r="I63" s="13" t="s">
        <v>677</v>
      </c>
      <c r="J63" s="13" t="s">
        <v>3612</v>
      </c>
    </row>
    <row r="64" spans="1:10" ht="38.25">
      <c r="A64" s="13" t="s">
        <v>684</v>
      </c>
      <c r="B64" s="13" t="s">
        <v>677</v>
      </c>
      <c r="C64" s="13" t="s">
        <v>677</v>
      </c>
      <c r="D64" s="13" t="s">
        <v>677</v>
      </c>
      <c r="E64" s="13" t="s">
        <v>677</v>
      </c>
      <c r="F64" s="13" t="s">
        <v>677</v>
      </c>
      <c r="G64" s="13" t="s">
        <v>677</v>
      </c>
      <c r="H64" s="13" t="s">
        <v>677</v>
      </c>
      <c r="I64" s="13" t="s">
        <v>677</v>
      </c>
      <c r="J64" s="13" t="s">
        <v>3613</v>
      </c>
    </row>
    <row r="65" spans="1:10" ht="38.25">
      <c r="A65" s="13" t="s">
        <v>713</v>
      </c>
      <c r="B65" s="13" t="s">
        <v>677</v>
      </c>
      <c r="C65" s="13" t="s">
        <v>677</v>
      </c>
      <c r="D65" s="13" t="s">
        <v>677</v>
      </c>
      <c r="E65" s="13" t="s">
        <v>677</v>
      </c>
      <c r="F65" s="13" t="s">
        <v>677</v>
      </c>
      <c r="G65" s="13" t="s">
        <v>677</v>
      </c>
      <c r="H65" s="13" t="s">
        <v>677</v>
      </c>
      <c r="I65" s="13" t="s">
        <v>677</v>
      </c>
      <c r="J65" s="13" t="s">
        <v>3614</v>
      </c>
    </row>
    <row r="66" spans="1:10" ht="51">
      <c r="A66" s="13" t="s">
        <v>606</v>
      </c>
      <c r="B66" s="13" t="s">
        <v>946</v>
      </c>
      <c r="C66" s="13" t="s">
        <v>946</v>
      </c>
      <c r="D66" s="13" t="s">
        <v>946</v>
      </c>
      <c r="E66" s="13" t="s">
        <v>677</v>
      </c>
      <c r="F66" s="13" t="s">
        <v>677</v>
      </c>
      <c r="G66" s="13" t="s">
        <v>677</v>
      </c>
      <c r="H66" s="13" t="s">
        <v>677</v>
      </c>
      <c r="I66" s="13" t="s">
        <v>677</v>
      </c>
      <c r="J66" s="13" t="s">
        <v>3615</v>
      </c>
    </row>
    <row r="67" spans="1:10">
      <c r="A67" s="13"/>
      <c r="B67" s="13"/>
      <c r="C67" s="13"/>
      <c r="D67" s="13"/>
      <c r="E67" s="13"/>
      <c r="F67" s="13"/>
      <c r="G67" s="13"/>
      <c r="H67" s="13"/>
      <c r="I67" s="13"/>
      <c r="J67" s="13"/>
    </row>
    <row r="68" spans="1:10">
      <c r="A68" s="575" t="s">
        <v>1007</v>
      </c>
      <c r="B68" s="896"/>
      <c r="C68" s="896"/>
      <c r="D68" s="85"/>
      <c r="E68" s="85"/>
      <c r="F68" s="85"/>
      <c r="G68" s="85"/>
      <c r="H68" s="85"/>
      <c r="I68" s="85"/>
      <c r="J68" s="85"/>
    </row>
    <row r="69" spans="1:10">
      <c r="A69" s="50" t="s">
        <v>275</v>
      </c>
      <c r="B69" s="50" t="s">
        <v>1008</v>
      </c>
      <c r="C69" s="50" t="s">
        <v>1009</v>
      </c>
      <c r="D69" s="50" t="s">
        <v>1010</v>
      </c>
      <c r="E69" s="50" t="s">
        <v>1011</v>
      </c>
      <c r="F69" s="50" t="s">
        <v>1012</v>
      </c>
      <c r="G69" s="50" t="s">
        <v>1013</v>
      </c>
      <c r="H69" s="50" t="s">
        <v>1014</v>
      </c>
      <c r="I69" s="50" t="s">
        <v>899</v>
      </c>
      <c r="J69" s="50" t="s">
        <v>11</v>
      </c>
    </row>
    <row r="70" spans="1:10" ht="51">
      <c r="A70" s="13" t="s">
        <v>443</v>
      </c>
      <c r="B70" s="13" t="s">
        <v>677</v>
      </c>
      <c r="C70" s="13" t="s">
        <v>677</v>
      </c>
      <c r="D70" s="13" t="s">
        <v>677</v>
      </c>
      <c r="E70" s="13" t="s">
        <v>677</v>
      </c>
      <c r="F70" s="13" t="s">
        <v>677</v>
      </c>
      <c r="G70" s="13" t="s">
        <v>677</v>
      </c>
      <c r="H70" s="13" t="s">
        <v>677</v>
      </c>
      <c r="I70" s="13" t="s">
        <v>677</v>
      </c>
      <c r="J70" s="13" t="s">
        <v>3616</v>
      </c>
    </row>
    <row r="71" spans="1:10" ht="25.5">
      <c r="A71" s="13" t="s">
        <v>3551</v>
      </c>
      <c r="B71" s="13" t="s">
        <v>677</v>
      </c>
      <c r="C71" s="13" t="s">
        <v>677</v>
      </c>
      <c r="D71" s="13" t="s">
        <v>677</v>
      </c>
      <c r="E71" s="13" t="s">
        <v>677</v>
      </c>
      <c r="F71" s="13" t="s">
        <v>677</v>
      </c>
      <c r="G71" s="13" t="s">
        <v>677</v>
      </c>
      <c r="H71" s="13" t="s">
        <v>677</v>
      </c>
      <c r="I71" s="13" t="s">
        <v>677</v>
      </c>
      <c r="J71" s="13" t="s">
        <v>3617</v>
      </c>
    </row>
    <row r="72" spans="1:10" ht="25.5">
      <c r="A72" s="13" t="s">
        <v>712</v>
      </c>
      <c r="B72" s="13" t="s">
        <v>677</v>
      </c>
      <c r="C72" s="13" t="s">
        <v>677</v>
      </c>
      <c r="D72" s="13" t="s">
        <v>677</v>
      </c>
      <c r="E72" s="13" t="s">
        <v>677</v>
      </c>
      <c r="F72" s="13" t="s">
        <v>677</v>
      </c>
      <c r="G72" s="13" t="s">
        <v>677</v>
      </c>
      <c r="H72" s="13" t="s">
        <v>677</v>
      </c>
      <c r="I72" s="13" t="s">
        <v>677</v>
      </c>
      <c r="J72" s="13" t="s">
        <v>3618</v>
      </c>
    </row>
    <row r="73" spans="1:10" ht="25.5">
      <c r="A73" s="13" t="s">
        <v>446</v>
      </c>
      <c r="B73" s="13" t="s">
        <v>677</v>
      </c>
      <c r="C73" s="13" t="s">
        <v>677</v>
      </c>
      <c r="D73" s="13" t="s">
        <v>677</v>
      </c>
      <c r="E73" s="13" t="s">
        <v>677</v>
      </c>
      <c r="F73" s="13" t="s">
        <v>677</v>
      </c>
      <c r="G73" s="13" t="s">
        <v>677</v>
      </c>
      <c r="H73" s="13" t="s">
        <v>677</v>
      </c>
      <c r="I73" s="13" t="s">
        <v>677</v>
      </c>
      <c r="J73" s="13" t="s">
        <v>3619</v>
      </c>
    </row>
    <row r="74" spans="1:10" ht="25.5">
      <c r="A74" s="13" t="s">
        <v>684</v>
      </c>
      <c r="B74" s="13" t="s">
        <v>677</v>
      </c>
      <c r="C74" s="13" t="s">
        <v>677</v>
      </c>
      <c r="D74" s="13" t="s">
        <v>677</v>
      </c>
      <c r="E74" s="13" t="s">
        <v>677</v>
      </c>
      <c r="F74" s="13" t="s">
        <v>677</v>
      </c>
      <c r="G74" s="13" t="s">
        <v>677</v>
      </c>
      <c r="H74" s="13" t="s">
        <v>677</v>
      </c>
      <c r="I74" s="13" t="s">
        <v>677</v>
      </c>
      <c r="J74" s="13" t="s">
        <v>3620</v>
      </c>
    </row>
    <row r="75" spans="1:10" ht="25.5">
      <c r="A75" s="13" t="s">
        <v>713</v>
      </c>
      <c r="B75" s="13" t="s">
        <v>677</v>
      </c>
      <c r="C75" s="13" t="s">
        <v>677</v>
      </c>
      <c r="D75" s="13" t="s">
        <v>677</v>
      </c>
      <c r="E75" s="13" t="s">
        <v>677</v>
      </c>
      <c r="F75" s="13" t="s">
        <v>677</v>
      </c>
      <c r="G75" s="13" t="s">
        <v>677</v>
      </c>
      <c r="H75" s="13" t="s">
        <v>677</v>
      </c>
      <c r="I75" s="13" t="s">
        <v>677</v>
      </c>
      <c r="J75" s="13" t="s">
        <v>3621</v>
      </c>
    </row>
    <row r="76" spans="1:10" ht="38.25">
      <c r="A76" s="13" t="s">
        <v>606</v>
      </c>
      <c r="B76" s="13" t="s">
        <v>946</v>
      </c>
      <c r="C76" s="13" t="s">
        <v>946</v>
      </c>
      <c r="D76" s="13" t="s">
        <v>946</v>
      </c>
      <c r="E76" s="13" t="s">
        <v>946</v>
      </c>
      <c r="F76" s="13" t="s">
        <v>677</v>
      </c>
      <c r="G76" s="13" t="s">
        <v>677</v>
      </c>
      <c r="H76" s="13" t="s">
        <v>677</v>
      </c>
      <c r="I76" s="13" t="s">
        <v>677</v>
      </c>
      <c r="J76" s="13" t="s">
        <v>3622</v>
      </c>
    </row>
    <row r="77" spans="1:10">
      <c r="A77" s="13"/>
      <c r="B77" s="13"/>
      <c r="C77" s="13"/>
      <c r="D77" s="13"/>
      <c r="E77" s="13"/>
      <c r="F77" s="13"/>
      <c r="G77" s="13"/>
      <c r="H77" s="13"/>
      <c r="I77" s="13"/>
      <c r="J77" s="13"/>
    </row>
    <row r="78" spans="1:10">
      <c r="A78" s="575" t="s">
        <v>1019</v>
      </c>
      <c r="B78" s="896"/>
      <c r="C78" s="896"/>
      <c r="D78" s="85"/>
      <c r="E78" s="85"/>
      <c r="F78" s="85"/>
      <c r="G78" s="85"/>
      <c r="H78" s="85"/>
      <c r="I78" s="85"/>
      <c r="J78" s="85"/>
    </row>
    <row r="79" spans="1:10">
      <c r="A79" s="50" t="s">
        <v>213</v>
      </c>
      <c r="B79" s="50" t="s">
        <v>275</v>
      </c>
      <c r="C79" s="50" t="s">
        <v>573</v>
      </c>
      <c r="D79" s="50" t="s">
        <v>215</v>
      </c>
      <c r="E79" s="50" t="s">
        <v>257</v>
      </c>
      <c r="F79" s="50" t="s">
        <v>572</v>
      </c>
      <c r="G79" s="50" t="s">
        <v>259</v>
      </c>
      <c r="H79" s="50" t="s">
        <v>216</v>
      </c>
      <c r="I79" s="50" t="s">
        <v>77</v>
      </c>
      <c r="J79" s="50" t="s">
        <v>11</v>
      </c>
    </row>
    <row r="80" spans="1:10" ht="63.75">
      <c r="A80" s="13" t="s">
        <v>3623</v>
      </c>
      <c r="B80" s="13" t="s">
        <v>575</v>
      </c>
      <c r="C80" s="13" t="s">
        <v>3624</v>
      </c>
      <c r="D80" s="13" t="s">
        <v>391</v>
      </c>
      <c r="E80" s="13" t="s">
        <v>488</v>
      </c>
      <c r="F80" s="13">
        <v>6</v>
      </c>
      <c r="G80" s="13" t="s">
        <v>3625</v>
      </c>
      <c r="H80" s="13" t="s">
        <v>1023</v>
      </c>
      <c r="I80" s="13" t="s">
        <v>502</v>
      </c>
      <c r="J80" s="13" t="s">
        <v>3626</v>
      </c>
    </row>
    <row r="81" spans="1:10" ht="76.5">
      <c r="A81" s="13" t="s">
        <v>3627</v>
      </c>
      <c r="B81" s="13" t="s">
        <v>3628</v>
      </c>
      <c r="C81" s="13" t="s">
        <v>3629</v>
      </c>
      <c r="D81" s="13" t="s">
        <v>391</v>
      </c>
      <c r="E81" s="13" t="s">
        <v>488</v>
      </c>
      <c r="F81" s="13">
        <v>6</v>
      </c>
      <c r="G81" s="13" t="s">
        <v>3630</v>
      </c>
      <c r="H81" s="13" t="s">
        <v>1858</v>
      </c>
      <c r="I81" s="13" t="s">
        <v>502</v>
      </c>
      <c r="J81" s="13" t="s">
        <v>3631</v>
      </c>
    </row>
    <row r="82" spans="1:10" ht="63.75">
      <c r="A82" s="13" t="s">
        <v>3632</v>
      </c>
      <c r="B82" s="13" t="s">
        <v>606</v>
      </c>
      <c r="C82" s="13" t="s">
        <v>2418</v>
      </c>
      <c r="D82" s="13" t="s">
        <v>492</v>
      </c>
      <c r="E82" s="13" t="s">
        <v>488</v>
      </c>
      <c r="F82" s="13">
        <v>8</v>
      </c>
      <c r="G82" s="13" t="s">
        <v>3633</v>
      </c>
      <c r="H82" s="13" t="s">
        <v>584</v>
      </c>
      <c r="I82" s="13" t="s">
        <v>502</v>
      </c>
      <c r="J82" s="13" t="s">
        <v>3634</v>
      </c>
    </row>
    <row r="83" spans="1:10" ht="76.5">
      <c r="A83" s="13" t="s">
        <v>3635</v>
      </c>
      <c r="B83" s="13" t="s">
        <v>1159</v>
      </c>
      <c r="C83" s="13" t="s">
        <v>3636</v>
      </c>
      <c r="D83" s="13" t="s">
        <v>492</v>
      </c>
      <c r="E83" s="13" t="s">
        <v>488</v>
      </c>
      <c r="F83" s="13">
        <v>8</v>
      </c>
      <c r="G83" s="13" t="s">
        <v>3637</v>
      </c>
      <c r="H83" s="13" t="s">
        <v>592</v>
      </c>
      <c r="I83" s="13" t="s">
        <v>502</v>
      </c>
      <c r="J83" s="13" t="s">
        <v>3638</v>
      </c>
    </row>
    <row r="84" spans="1:10" ht="76.5">
      <c r="A84" s="13" t="s">
        <v>3639</v>
      </c>
      <c r="B84" s="13" t="s">
        <v>1159</v>
      </c>
      <c r="C84" s="13" t="s">
        <v>3238</v>
      </c>
      <c r="D84" s="13" t="s">
        <v>492</v>
      </c>
      <c r="E84" s="13" t="s">
        <v>488</v>
      </c>
      <c r="F84" s="13">
        <v>8</v>
      </c>
      <c r="G84" s="13" t="s">
        <v>3640</v>
      </c>
      <c r="H84" s="13" t="s">
        <v>1032</v>
      </c>
      <c r="I84" s="13" t="s">
        <v>502</v>
      </c>
      <c r="J84" s="13" t="s">
        <v>3641</v>
      </c>
    </row>
    <row r="85" spans="1:10" ht="76.5">
      <c r="A85" s="13" t="s">
        <v>3642</v>
      </c>
      <c r="B85" s="13" t="s">
        <v>575</v>
      </c>
      <c r="C85" s="13" t="s">
        <v>3242</v>
      </c>
      <c r="D85" s="13" t="s">
        <v>391</v>
      </c>
      <c r="E85" s="13" t="s">
        <v>488</v>
      </c>
      <c r="F85" s="13">
        <v>6</v>
      </c>
      <c r="G85" s="13" t="s">
        <v>3643</v>
      </c>
      <c r="H85" s="13" t="s">
        <v>1037</v>
      </c>
      <c r="I85" s="13" t="s">
        <v>502</v>
      </c>
      <c r="J85" s="13" t="s">
        <v>3644</v>
      </c>
    </row>
    <row r="86" spans="1:10" ht="76.5">
      <c r="A86" s="13" t="s">
        <v>3645</v>
      </c>
      <c r="B86" s="13" t="s">
        <v>575</v>
      </c>
      <c r="C86" s="13" t="s">
        <v>3646</v>
      </c>
      <c r="D86" s="13" t="s">
        <v>492</v>
      </c>
      <c r="E86" s="13" t="s">
        <v>488</v>
      </c>
      <c r="F86" s="13">
        <v>8</v>
      </c>
      <c r="G86" s="13" t="s">
        <v>1039</v>
      </c>
      <c r="H86" s="13" t="s">
        <v>584</v>
      </c>
      <c r="I86" s="13" t="s">
        <v>502</v>
      </c>
      <c r="J86" s="13" t="s">
        <v>3647</v>
      </c>
    </row>
    <row r="87" spans="1:10" ht="76.5">
      <c r="A87" s="13" t="s">
        <v>3648</v>
      </c>
      <c r="B87" s="13" t="s">
        <v>575</v>
      </c>
      <c r="C87" s="13" t="s">
        <v>1047</v>
      </c>
      <c r="D87" s="13" t="s">
        <v>391</v>
      </c>
      <c r="E87" s="13" t="s">
        <v>488</v>
      </c>
      <c r="F87" s="13">
        <v>6</v>
      </c>
      <c r="G87" s="13" t="s">
        <v>1048</v>
      </c>
      <c r="H87" s="13" t="s">
        <v>1049</v>
      </c>
      <c r="I87" s="13" t="s">
        <v>502</v>
      </c>
      <c r="J87" s="13" t="s">
        <v>3649</v>
      </c>
    </row>
    <row r="88" spans="1:10">
      <c r="A88" s="13"/>
      <c r="B88" s="13"/>
      <c r="C88" s="13"/>
      <c r="D88" s="13"/>
      <c r="E88" s="13"/>
      <c r="F88" s="13"/>
      <c r="G88" s="13"/>
      <c r="H88" s="13"/>
      <c r="I88" s="13"/>
      <c r="J88" s="13"/>
    </row>
    <row r="89" spans="1:10">
      <c r="A89" s="575" t="s">
        <v>1051</v>
      </c>
      <c r="B89" s="896"/>
      <c r="C89" s="896"/>
      <c r="D89" s="85"/>
      <c r="E89" s="85"/>
      <c r="F89" s="85"/>
      <c r="G89" s="85"/>
      <c r="H89" s="85"/>
      <c r="I89" s="85"/>
      <c r="J89" s="85"/>
    </row>
    <row r="90" spans="1:10">
      <c r="A90" s="50" t="s">
        <v>221</v>
      </c>
      <c r="B90" s="50" t="s">
        <v>222</v>
      </c>
      <c r="C90" s="50" t="s">
        <v>265</v>
      </c>
      <c r="D90" s="50" t="s">
        <v>77</v>
      </c>
      <c r="E90" s="50" t="s">
        <v>878</v>
      </c>
      <c r="F90" s="50" t="s">
        <v>879</v>
      </c>
      <c r="G90" s="50" t="s">
        <v>880</v>
      </c>
      <c r="H90" s="50" t="s">
        <v>494</v>
      </c>
      <c r="I90" s="50" t="s">
        <v>881</v>
      </c>
      <c r="J90" s="50" t="s">
        <v>11</v>
      </c>
    </row>
    <row r="91" spans="1:10" ht="102">
      <c r="A91" s="13" t="s">
        <v>3650</v>
      </c>
      <c r="B91" s="13" t="s">
        <v>3651</v>
      </c>
      <c r="C91" s="13" t="s">
        <v>579</v>
      </c>
      <c r="D91" s="13" t="s">
        <v>502</v>
      </c>
      <c r="E91" s="13"/>
      <c r="F91" s="13"/>
      <c r="G91" s="13" t="s">
        <v>580</v>
      </c>
      <c r="H91" s="13"/>
      <c r="I91" s="13"/>
      <c r="J91" s="13"/>
    </row>
    <row r="92" spans="1:10" ht="63.75">
      <c r="A92" s="13" t="s">
        <v>3652</v>
      </c>
      <c r="B92" s="13" t="s">
        <v>3653</v>
      </c>
      <c r="C92" s="13" t="s">
        <v>587</v>
      </c>
      <c r="D92" s="13" t="s">
        <v>502</v>
      </c>
      <c r="E92" s="13"/>
      <c r="F92" s="13"/>
      <c r="G92" s="13" t="s">
        <v>3254</v>
      </c>
      <c r="H92" s="13"/>
      <c r="I92" s="13"/>
      <c r="J92" s="13"/>
    </row>
    <row r="93" spans="1:10" ht="76.5">
      <c r="A93" s="13" t="s">
        <v>3654</v>
      </c>
      <c r="B93" s="13" t="s">
        <v>3655</v>
      </c>
      <c r="C93" s="13" t="s">
        <v>2432</v>
      </c>
      <c r="D93" s="13" t="s">
        <v>502</v>
      </c>
      <c r="E93" s="13"/>
      <c r="F93" s="13"/>
      <c r="G93" s="13" t="s">
        <v>3656</v>
      </c>
      <c r="H93" s="13"/>
      <c r="I93" s="13"/>
      <c r="J93" s="13"/>
    </row>
    <row r="94" spans="1:10" ht="76.5">
      <c r="A94" s="13" t="s">
        <v>3657</v>
      </c>
      <c r="B94" s="13" t="s">
        <v>3658</v>
      </c>
      <c r="C94" s="13" t="s">
        <v>601</v>
      </c>
      <c r="D94" s="13" t="s">
        <v>502</v>
      </c>
      <c r="E94" s="13"/>
      <c r="F94" s="13"/>
      <c r="G94" s="13" t="s">
        <v>602</v>
      </c>
      <c r="H94" s="13"/>
      <c r="I94" s="13"/>
      <c r="J94" s="13"/>
    </row>
    <row r="95" spans="1:10" ht="63.75">
      <c r="A95" s="13" t="s">
        <v>3659</v>
      </c>
      <c r="B95" s="13" t="s">
        <v>3261</v>
      </c>
      <c r="C95" s="13" t="s">
        <v>609</v>
      </c>
      <c r="D95" s="13" t="s">
        <v>502</v>
      </c>
      <c r="E95" s="13"/>
      <c r="F95" s="13"/>
      <c r="G95" s="13" t="s">
        <v>610</v>
      </c>
      <c r="H95" s="13"/>
      <c r="I95" s="13"/>
      <c r="J95" s="13"/>
    </row>
    <row r="96" spans="1:10" ht="89.25">
      <c r="A96" s="13" t="s">
        <v>3660</v>
      </c>
      <c r="B96" s="13" t="s">
        <v>3263</v>
      </c>
      <c r="C96" s="13" t="s">
        <v>616</v>
      </c>
      <c r="D96" s="13" t="s">
        <v>502</v>
      </c>
      <c r="E96" s="13"/>
      <c r="F96" s="13"/>
      <c r="G96" s="13" t="s">
        <v>617</v>
      </c>
      <c r="H96" s="13"/>
      <c r="I96" s="13"/>
      <c r="J96" s="13"/>
    </row>
    <row r="97" spans="1:10" ht="102">
      <c r="A97" s="13" t="s">
        <v>3661</v>
      </c>
      <c r="B97" s="13" t="s">
        <v>3265</v>
      </c>
      <c r="C97" s="13" t="s">
        <v>622</v>
      </c>
      <c r="D97" s="13" t="s">
        <v>502</v>
      </c>
      <c r="E97" s="13"/>
      <c r="F97" s="13"/>
      <c r="G97" s="13" t="s">
        <v>623</v>
      </c>
      <c r="H97" s="13"/>
      <c r="I97" s="13"/>
      <c r="J97" s="13"/>
    </row>
    <row r="98" spans="1:10" ht="89.25">
      <c r="A98" s="13" t="s">
        <v>3662</v>
      </c>
      <c r="B98" s="13" t="s">
        <v>3267</v>
      </c>
      <c r="C98" s="13" t="s">
        <v>630</v>
      </c>
      <c r="D98" s="13" t="s">
        <v>502</v>
      </c>
      <c r="E98" s="13"/>
      <c r="F98" s="13"/>
      <c r="G98" s="13" t="s">
        <v>631</v>
      </c>
      <c r="H98" s="13"/>
      <c r="I98" s="13"/>
      <c r="J98" s="13"/>
    </row>
    <row r="99" spans="1:10">
      <c r="A99" s="13"/>
      <c r="B99" s="13"/>
      <c r="C99" s="13"/>
      <c r="D99" s="13"/>
      <c r="E99" s="13"/>
      <c r="F99" s="13"/>
      <c r="G99" s="13"/>
      <c r="H99" s="13"/>
      <c r="I99" s="13"/>
      <c r="J99" s="13"/>
    </row>
    <row r="100" spans="1:10">
      <c r="A100" s="575" t="s">
        <v>1052</v>
      </c>
      <c r="B100" s="896"/>
      <c r="C100" s="896"/>
      <c r="D100" s="85"/>
      <c r="E100" s="85"/>
      <c r="F100" s="85"/>
      <c r="G100" s="85"/>
      <c r="H100" s="85"/>
      <c r="I100" s="85"/>
      <c r="J100" s="85"/>
    </row>
    <row r="101" spans="1:10">
      <c r="A101" s="50" t="s">
        <v>291</v>
      </c>
      <c r="B101" s="50" t="s">
        <v>275</v>
      </c>
      <c r="C101" s="50" t="s">
        <v>493</v>
      </c>
      <c r="D101" s="50" t="s">
        <v>214</v>
      </c>
      <c r="E101" s="50" t="s">
        <v>263</v>
      </c>
      <c r="F101" s="50" t="s">
        <v>891</v>
      </c>
      <c r="G101" s="50" t="s">
        <v>892</v>
      </c>
      <c r="H101" s="50" t="s">
        <v>893</v>
      </c>
      <c r="I101" s="50" t="s">
        <v>77</v>
      </c>
      <c r="J101" s="50" t="s">
        <v>11</v>
      </c>
    </row>
    <row r="102" spans="1:10" ht="89.25">
      <c r="A102" s="13" t="s">
        <v>3663</v>
      </c>
      <c r="B102" s="13" t="s">
        <v>443</v>
      </c>
      <c r="C102" s="13" t="s">
        <v>269</v>
      </c>
      <c r="D102" s="13" t="s">
        <v>3664</v>
      </c>
      <c r="E102" s="13"/>
      <c r="F102" s="13" t="s">
        <v>229</v>
      </c>
      <c r="G102" s="13"/>
      <c r="H102" s="13" t="s">
        <v>3665</v>
      </c>
      <c r="I102" s="13" t="s">
        <v>502</v>
      </c>
      <c r="J102" s="13"/>
    </row>
    <row r="103" spans="1:10" ht="102">
      <c r="A103" s="13" t="s">
        <v>3666</v>
      </c>
      <c r="B103" s="13" t="s">
        <v>3551</v>
      </c>
      <c r="C103" s="13" t="s">
        <v>269</v>
      </c>
      <c r="D103" s="13" t="s">
        <v>3667</v>
      </c>
      <c r="E103" s="13"/>
      <c r="F103" s="13" t="s">
        <v>229</v>
      </c>
      <c r="G103" s="13"/>
      <c r="H103" s="13" t="s">
        <v>3668</v>
      </c>
      <c r="I103" s="13" t="s">
        <v>502</v>
      </c>
      <c r="J103" s="13"/>
    </row>
    <row r="104" spans="1:10" ht="102">
      <c r="A104" s="13" t="s">
        <v>3669</v>
      </c>
      <c r="B104" s="13" t="s">
        <v>3670</v>
      </c>
      <c r="C104" s="13" t="s">
        <v>269</v>
      </c>
      <c r="D104" s="13" t="s">
        <v>3671</v>
      </c>
      <c r="E104" s="13"/>
      <c r="F104" s="13" t="s">
        <v>229</v>
      </c>
      <c r="G104" s="13"/>
      <c r="H104" s="13" t="s">
        <v>3668</v>
      </c>
      <c r="I104" s="13" t="s">
        <v>502</v>
      </c>
      <c r="J104" s="13"/>
    </row>
    <row r="105" spans="1:10" ht="102">
      <c r="A105" s="13" t="s">
        <v>3672</v>
      </c>
      <c r="B105" s="13" t="s">
        <v>3673</v>
      </c>
      <c r="C105" s="13" t="s">
        <v>269</v>
      </c>
      <c r="D105" s="13" t="s">
        <v>3674</v>
      </c>
      <c r="E105" s="13"/>
      <c r="F105" s="13" t="s">
        <v>229</v>
      </c>
      <c r="G105" s="13"/>
      <c r="H105" s="13" t="s">
        <v>3668</v>
      </c>
      <c r="I105" s="13" t="s">
        <v>502</v>
      </c>
      <c r="J105" s="13"/>
    </row>
    <row r="106" spans="1:10" ht="102">
      <c r="A106" s="13" t="s">
        <v>3675</v>
      </c>
      <c r="B106" s="13" t="s">
        <v>3676</v>
      </c>
      <c r="C106" s="13" t="s">
        <v>269</v>
      </c>
      <c r="D106" s="13" t="s">
        <v>3677</v>
      </c>
      <c r="E106" s="13"/>
      <c r="F106" s="13" t="s">
        <v>229</v>
      </c>
      <c r="G106" s="13"/>
      <c r="H106" s="13" t="s">
        <v>3668</v>
      </c>
      <c r="I106" s="13" t="s">
        <v>502</v>
      </c>
      <c r="J106" s="13"/>
    </row>
    <row r="107" spans="1:10" ht="89.25">
      <c r="A107" s="13" t="s">
        <v>3678</v>
      </c>
      <c r="B107" s="13" t="s">
        <v>3679</v>
      </c>
      <c r="C107" s="13" t="s">
        <v>269</v>
      </c>
      <c r="D107" s="13" t="s">
        <v>3680</v>
      </c>
      <c r="E107" s="13"/>
      <c r="F107" s="13" t="s">
        <v>229</v>
      </c>
      <c r="G107" s="13"/>
      <c r="H107" s="13" t="s">
        <v>3668</v>
      </c>
      <c r="I107" s="13" t="s">
        <v>502</v>
      </c>
      <c r="J107" s="13"/>
    </row>
    <row r="108" spans="1:10" ht="102">
      <c r="A108" s="13" t="s">
        <v>3681</v>
      </c>
      <c r="B108" s="13" t="s">
        <v>575</v>
      </c>
      <c r="C108" s="13" t="s">
        <v>1072</v>
      </c>
      <c r="D108" s="13" t="s">
        <v>3682</v>
      </c>
      <c r="E108" s="13"/>
      <c r="F108" s="13" t="s">
        <v>229</v>
      </c>
      <c r="G108" s="13"/>
      <c r="H108" s="13" t="s">
        <v>3642</v>
      </c>
      <c r="I108" s="13" t="s">
        <v>502</v>
      </c>
      <c r="J108" s="13"/>
    </row>
    <row r="109" spans="1:10" ht="89.25">
      <c r="A109" s="13" t="s">
        <v>3683</v>
      </c>
      <c r="B109" s="13" t="s">
        <v>575</v>
      </c>
      <c r="C109" s="13" t="s">
        <v>3684</v>
      </c>
      <c r="D109" s="13" t="s">
        <v>3685</v>
      </c>
      <c r="E109" s="13"/>
      <c r="F109" s="13" t="s">
        <v>229</v>
      </c>
      <c r="G109" s="13"/>
      <c r="H109" s="13" t="s">
        <v>3686</v>
      </c>
      <c r="I109" s="13" t="s">
        <v>502</v>
      </c>
      <c r="J109" s="13"/>
    </row>
    <row r="110" spans="1:10">
      <c r="A110" s="13"/>
      <c r="B110" s="13"/>
      <c r="C110" s="13"/>
      <c r="D110" s="13"/>
      <c r="E110" s="13"/>
      <c r="F110" s="13"/>
      <c r="G110" s="13"/>
      <c r="H110" s="13"/>
      <c r="I110" s="13"/>
      <c r="J110" s="13"/>
    </row>
    <row r="111" spans="1:10">
      <c r="A111" s="575" t="s">
        <v>1079</v>
      </c>
      <c r="B111" s="896"/>
      <c r="C111" s="896"/>
      <c r="D111" s="85"/>
      <c r="E111" s="85"/>
      <c r="F111" s="85"/>
      <c r="G111" s="85"/>
      <c r="H111" s="85"/>
      <c r="I111" s="85"/>
      <c r="J111" s="85"/>
    </row>
    <row r="112" spans="1:10">
      <c r="A112" s="50" t="s">
        <v>275</v>
      </c>
      <c r="B112" s="50" t="s">
        <v>895</v>
      </c>
      <c r="C112" s="50" t="s">
        <v>896</v>
      </c>
      <c r="D112" s="50" t="s">
        <v>148</v>
      </c>
      <c r="E112" s="50" t="s">
        <v>153</v>
      </c>
      <c r="F112" s="50" t="s">
        <v>155</v>
      </c>
      <c r="G112" s="50" t="s">
        <v>491</v>
      </c>
      <c r="H112" s="50" t="s">
        <v>897</v>
      </c>
      <c r="I112" s="50" t="s">
        <v>174</v>
      </c>
      <c r="J112" s="50" t="s">
        <v>11</v>
      </c>
    </row>
    <row r="113" spans="1:10" ht="51">
      <c r="A113" s="13" t="s">
        <v>443</v>
      </c>
      <c r="B113" s="13">
        <v>0.5</v>
      </c>
      <c r="C113" s="13">
        <v>0.5</v>
      </c>
      <c r="D113" s="13">
        <v>0.5</v>
      </c>
      <c r="E113" s="13">
        <v>0.5</v>
      </c>
      <c r="F113" s="13">
        <v>0.5</v>
      </c>
      <c r="G113" s="13" t="s">
        <v>677</v>
      </c>
      <c r="H113" s="13">
        <v>0.5</v>
      </c>
      <c r="I113" s="13" t="s">
        <v>1201</v>
      </c>
      <c r="J113" s="13" t="s">
        <v>3687</v>
      </c>
    </row>
    <row r="114" spans="1:10" ht="38.25">
      <c r="A114" s="13" t="s">
        <v>3551</v>
      </c>
      <c r="B114" s="13">
        <v>0.5</v>
      </c>
      <c r="C114" s="13">
        <v>0.5</v>
      </c>
      <c r="D114" s="13">
        <v>0.5</v>
      </c>
      <c r="E114" s="13">
        <v>0.5</v>
      </c>
      <c r="F114" s="13">
        <v>0.5</v>
      </c>
      <c r="G114" s="13" t="s">
        <v>677</v>
      </c>
      <c r="H114" s="13">
        <v>0.5</v>
      </c>
      <c r="I114" s="13" t="s">
        <v>1201</v>
      </c>
      <c r="J114" s="13" t="s">
        <v>3688</v>
      </c>
    </row>
    <row r="115" spans="1:10" ht="38.25">
      <c r="A115" s="13" t="s">
        <v>712</v>
      </c>
      <c r="B115" s="13">
        <v>0.5</v>
      </c>
      <c r="C115" s="13">
        <v>0.5</v>
      </c>
      <c r="D115" s="13">
        <v>0.5</v>
      </c>
      <c r="E115" s="13">
        <v>0.5</v>
      </c>
      <c r="F115" s="13">
        <v>0.5</v>
      </c>
      <c r="G115" s="13" t="s">
        <v>677</v>
      </c>
      <c r="H115" s="13">
        <v>0.5</v>
      </c>
      <c r="I115" s="13" t="s">
        <v>1201</v>
      </c>
      <c r="J115" s="13" t="s">
        <v>3689</v>
      </c>
    </row>
    <row r="116" spans="1:10" ht="38.25">
      <c r="A116" s="13" t="s">
        <v>446</v>
      </c>
      <c r="B116" s="13">
        <v>0.5</v>
      </c>
      <c r="C116" s="13">
        <v>0.5</v>
      </c>
      <c r="D116" s="13">
        <v>0.5</v>
      </c>
      <c r="E116" s="13">
        <v>0.5</v>
      </c>
      <c r="F116" s="13">
        <v>0.5</v>
      </c>
      <c r="G116" s="13" t="s">
        <v>677</v>
      </c>
      <c r="H116" s="13">
        <v>0.5</v>
      </c>
      <c r="I116" s="13" t="s">
        <v>1201</v>
      </c>
      <c r="J116" s="13" t="s">
        <v>3690</v>
      </c>
    </row>
    <row r="117" spans="1:10" ht="38.25">
      <c r="A117" s="13" t="s">
        <v>684</v>
      </c>
      <c r="B117" s="13">
        <v>0.5</v>
      </c>
      <c r="C117" s="13">
        <v>0.5</v>
      </c>
      <c r="D117" s="13">
        <v>0.5</v>
      </c>
      <c r="E117" s="13">
        <v>0.5</v>
      </c>
      <c r="F117" s="13">
        <v>0.5</v>
      </c>
      <c r="G117" s="13" t="s">
        <v>677</v>
      </c>
      <c r="H117" s="13">
        <v>0.5</v>
      </c>
      <c r="I117" s="13" t="s">
        <v>1201</v>
      </c>
      <c r="J117" s="13" t="s">
        <v>3691</v>
      </c>
    </row>
    <row r="118" spans="1:10" ht="38.25">
      <c r="A118" s="13" t="s">
        <v>713</v>
      </c>
      <c r="B118" s="13">
        <v>0.5</v>
      </c>
      <c r="C118" s="13">
        <v>0.5</v>
      </c>
      <c r="D118" s="13">
        <v>0.5</v>
      </c>
      <c r="E118" s="13">
        <v>0.5</v>
      </c>
      <c r="F118" s="13">
        <v>0.5</v>
      </c>
      <c r="G118" s="13" t="s">
        <v>677</v>
      </c>
      <c r="H118" s="13">
        <v>0.5</v>
      </c>
      <c r="I118" s="13" t="s">
        <v>1201</v>
      </c>
      <c r="J118" s="13" t="s">
        <v>3692</v>
      </c>
    </row>
    <row r="119" spans="1:10" ht="38.25">
      <c r="A119" s="13" t="s">
        <v>606</v>
      </c>
      <c r="B119" s="13">
        <v>0.5</v>
      </c>
      <c r="C119" s="13">
        <v>0.5</v>
      </c>
      <c r="D119" s="13">
        <v>0.5</v>
      </c>
      <c r="E119" s="13">
        <v>0.5</v>
      </c>
      <c r="F119" s="13">
        <v>0.5</v>
      </c>
      <c r="G119" s="13" t="s">
        <v>677</v>
      </c>
      <c r="H119" s="13">
        <v>0.5</v>
      </c>
      <c r="I119" s="13" t="s">
        <v>1201</v>
      </c>
      <c r="J119" s="13" t="s">
        <v>3693</v>
      </c>
    </row>
    <row r="120" spans="1:10">
      <c r="A120" s="13"/>
      <c r="B120" s="13"/>
      <c r="C120" s="13"/>
      <c r="D120" s="13"/>
      <c r="E120" s="13"/>
      <c r="F120" s="13"/>
      <c r="G120" s="13"/>
      <c r="H120" s="13"/>
      <c r="I120" s="13"/>
      <c r="J120" s="13"/>
    </row>
    <row r="131" spans="1:10" ht="15.75" thickBot="1"/>
    <row r="132" spans="1:10">
      <c r="A132" s="605" t="s">
        <v>5668</v>
      </c>
      <c r="B132" s="602"/>
      <c r="C132" s="602"/>
      <c r="D132" s="606"/>
      <c r="E132" s="602"/>
      <c r="F132" s="602"/>
      <c r="G132" s="606"/>
      <c r="H132" s="606"/>
      <c r="I132" s="606"/>
      <c r="J132" s="607"/>
    </row>
    <row r="133" spans="1:10">
      <c r="A133" s="321" t="s">
        <v>5610</v>
      </c>
      <c r="B133" s="322" t="s">
        <v>77</v>
      </c>
      <c r="C133" s="322" t="s">
        <v>5611</v>
      </c>
      <c r="D133" s="322" t="s">
        <v>5612</v>
      </c>
      <c r="E133" s="322" t="s">
        <v>5634</v>
      </c>
      <c r="F133" s="322" t="s">
        <v>5601</v>
      </c>
      <c r="G133" s="578" t="s">
        <v>5635</v>
      </c>
      <c r="H133" s="578"/>
      <c r="I133" s="578"/>
      <c r="J133" s="579"/>
    </row>
    <row r="134" spans="1:10" ht="25.5">
      <c r="A134" s="323" t="s">
        <v>5613</v>
      </c>
      <c r="B134" s="333" t="s">
        <v>484</v>
      </c>
      <c r="C134" s="325">
        <v>0</v>
      </c>
      <c r="D134" s="325">
        <v>0</v>
      </c>
      <c r="E134" s="192" t="s">
        <v>5674</v>
      </c>
      <c r="F134" s="325">
        <f>IF(AND(C134&lt;&gt;"",D134&lt;&gt;""),D134-C134,"")</f>
        <v>0</v>
      </c>
      <c r="G134" s="608"/>
      <c r="H134" s="608"/>
      <c r="I134" s="608"/>
      <c r="J134" s="609"/>
    </row>
    <row r="135" spans="1:10" ht="25.5">
      <c r="A135" s="326" t="s">
        <v>5614</v>
      </c>
      <c r="B135" s="333" t="s">
        <v>484</v>
      </c>
      <c r="C135" s="327">
        <v>1</v>
      </c>
      <c r="D135" s="327">
        <v>0</v>
      </c>
      <c r="E135" s="310" t="s">
        <v>5675</v>
      </c>
      <c r="F135" s="327">
        <f>IF(AND(C135&lt;&gt;"",D135&lt;&gt;""),D135-C135,"")</f>
        <v>-1</v>
      </c>
      <c r="G135" s="610"/>
      <c r="H135" s="610"/>
      <c r="I135" s="610"/>
      <c r="J135" s="611"/>
    </row>
    <row r="136" spans="1:10">
      <c r="A136" s="323" t="s">
        <v>5615</v>
      </c>
      <c r="B136" s="333" t="s">
        <v>484</v>
      </c>
      <c r="C136" s="327">
        <v>1</v>
      </c>
      <c r="D136" s="327">
        <v>0</v>
      </c>
      <c r="E136" s="310" t="s">
        <v>5675</v>
      </c>
      <c r="F136" s="325">
        <f>IF(AND(C136&lt;&gt;"",D136&lt;&gt;""),D136-C136,"")</f>
        <v>-1</v>
      </c>
      <c r="G136" s="328"/>
      <c r="H136" s="227"/>
      <c r="I136" s="227"/>
      <c r="J136" s="329"/>
    </row>
    <row r="137" spans="1:10">
      <c r="A137" s="326" t="s">
        <v>5616</v>
      </c>
      <c r="B137" s="333" t="s">
        <v>484</v>
      </c>
      <c r="C137" s="327">
        <v>1</v>
      </c>
      <c r="D137" s="327">
        <v>0</v>
      </c>
      <c r="E137" s="310" t="s">
        <v>5675</v>
      </c>
      <c r="F137" s="327">
        <f>IF(AND(C137&lt;&gt;"",D137&lt;&gt;""),D137-C137,"")</f>
        <v>-1</v>
      </c>
      <c r="G137" s="610"/>
      <c r="H137" s="610"/>
      <c r="I137" s="610"/>
      <c r="J137" s="611"/>
    </row>
    <row r="138" spans="1:10">
      <c r="A138" s="323" t="s">
        <v>5168</v>
      </c>
      <c r="B138" s="333" t="s">
        <v>484</v>
      </c>
      <c r="C138" s="327">
        <v>1</v>
      </c>
      <c r="D138" s="327">
        <v>0</v>
      </c>
      <c r="E138" s="310" t="s">
        <v>5675</v>
      </c>
      <c r="F138" s="325">
        <f>IF(AND(C138&lt;&gt;"",D138&lt;&gt;""),D138-C138,"")</f>
        <v>-1</v>
      </c>
      <c r="G138" s="328"/>
      <c r="H138" s="227"/>
      <c r="I138" s="227"/>
      <c r="J138" s="329"/>
    </row>
    <row r="139" spans="1:10" ht="15.75">
      <c r="A139" s="585" t="s">
        <v>5636</v>
      </c>
      <c r="B139" s="586"/>
      <c r="C139" s="330">
        <f>IFERROR(AVERAGE(C134:C138),"")</f>
        <v>0.8</v>
      </c>
      <c r="D139" s="330">
        <f>IFERROR(AVERAGE(D134:D138),"")</f>
        <v>0</v>
      </c>
      <c r="E139" s="589" t="s">
        <v>5637</v>
      </c>
      <c r="F139" s="589"/>
      <c r="G139" s="589"/>
      <c r="H139" s="589"/>
      <c r="I139" s="589"/>
      <c r="J139" s="590"/>
    </row>
    <row r="140" spans="1:10">
      <c r="A140" s="331"/>
      <c r="B140" s="316"/>
      <c r="C140" s="316"/>
      <c r="D140" s="316"/>
      <c r="E140" s="316"/>
      <c r="F140" s="316"/>
      <c r="G140" s="316"/>
      <c r="H140" s="227"/>
      <c r="I140" s="227"/>
      <c r="J140" s="329"/>
    </row>
    <row r="141" spans="1:10">
      <c r="A141" s="574" t="s">
        <v>5669</v>
      </c>
      <c r="B141" s="582"/>
      <c r="C141" s="582"/>
      <c r="D141" s="575"/>
      <c r="E141" s="582"/>
      <c r="F141" s="582"/>
      <c r="G141" s="575"/>
      <c r="H141" s="575"/>
      <c r="I141" s="575"/>
      <c r="J141" s="576"/>
    </row>
    <row r="142" spans="1:10">
      <c r="A142" s="321" t="s">
        <v>4946</v>
      </c>
      <c r="B142" s="322" t="s">
        <v>77</v>
      </c>
      <c r="C142" s="322" t="s">
        <v>5676</v>
      </c>
      <c r="D142" s="322" t="s">
        <v>482</v>
      </c>
      <c r="E142" s="322" t="s">
        <v>572</v>
      </c>
      <c r="F142" s="322" t="s">
        <v>5639</v>
      </c>
      <c r="G142" s="578" t="s">
        <v>5640</v>
      </c>
      <c r="H142" s="578"/>
      <c r="I142" s="578"/>
      <c r="J142" s="579"/>
    </row>
    <row r="143" spans="1:10" ht="25.5">
      <c r="A143" s="326" t="s">
        <v>5602</v>
      </c>
      <c r="B143" s="333" t="s">
        <v>484</v>
      </c>
      <c r="C143" s="332" t="s">
        <v>679</v>
      </c>
      <c r="D143" s="324" t="s">
        <v>679</v>
      </c>
      <c r="E143" s="332">
        <f>IF(D143="Yes",1,0)</f>
        <v>0</v>
      </c>
      <c r="F143" s="580"/>
      <c r="G143" s="580"/>
      <c r="H143" s="580"/>
      <c r="I143" s="580"/>
      <c r="J143" s="581"/>
    </row>
    <row r="144" spans="1:10">
      <c r="A144" s="323" t="s">
        <v>995</v>
      </c>
      <c r="B144" s="333" t="s">
        <v>484</v>
      </c>
      <c r="C144" s="332" t="s">
        <v>679</v>
      </c>
      <c r="D144" s="324" t="s">
        <v>679</v>
      </c>
      <c r="E144" s="324">
        <f t="shared" ref="E144:E150" si="0">IF(D144="Yes",1,0)</f>
        <v>0</v>
      </c>
      <c r="F144" s="580"/>
      <c r="G144" s="580"/>
      <c r="H144" s="580"/>
      <c r="I144" s="580"/>
      <c r="J144" s="581"/>
    </row>
    <row r="145" spans="1:10">
      <c r="A145" s="326" t="s">
        <v>5603</v>
      </c>
      <c r="B145" s="333" t="s">
        <v>484</v>
      </c>
      <c r="C145" s="332" t="s">
        <v>679</v>
      </c>
      <c r="D145" s="324" t="s">
        <v>679</v>
      </c>
      <c r="E145" s="332">
        <f t="shared" si="0"/>
        <v>0</v>
      </c>
      <c r="F145" s="580"/>
      <c r="G145" s="580"/>
      <c r="H145" s="580"/>
      <c r="I145" s="580"/>
      <c r="J145" s="581"/>
    </row>
    <row r="146" spans="1:10">
      <c r="A146" s="323" t="s">
        <v>5617</v>
      </c>
      <c r="B146" s="333" t="s">
        <v>484</v>
      </c>
      <c r="C146" s="332" t="s">
        <v>679</v>
      </c>
      <c r="D146" s="324" t="s">
        <v>679</v>
      </c>
      <c r="E146" s="324">
        <f t="shared" si="0"/>
        <v>0</v>
      </c>
      <c r="F146" s="580"/>
      <c r="G146" s="580"/>
      <c r="H146" s="580"/>
      <c r="I146" s="580"/>
      <c r="J146" s="581"/>
    </row>
    <row r="147" spans="1:10" ht="38.25">
      <c r="A147" s="326" t="s">
        <v>5618</v>
      </c>
      <c r="B147" s="333" t="s">
        <v>484</v>
      </c>
      <c r="C147" s="332" t="s">
        <v>679</v>
      </c>
      <c r="D147" s="324" t="s">
        <v>679</v>
      </c>
      <c r="E147" s="332">
        <f t="shared" si="0"/>
        <v>0</v>
      </c>
      <c r="F147" s="580"/>
      <c r="G147" s="580"/>
      <c r="H147" s="580"/>
      <c r="I147" s="580"/>
      <c r="J147" s="581"/>
    </row>
    <row r="148" spans="1:10" ht="25.5">
      <c r="A148" s="323" t="s">
        <v>5619</v>
      </c>
      <c r="B148" s="333" t="s">
        <v>484</v>
      </c>
      <c r="C148" s="332" t="s">
        <v>679</v>
      </c>
      <c r="D148" s="324" t="s">
        <v>679</v>
      </c>
      <c r="E148" s="324">
        <f t="shared" si="0"/>
        <v>0</v>
      </c>
      <c r="F148" s="580"/>
      <c r="G148" s="580"/>
      <c r="H148" s="580"/>
      <c r="I148" s="580"/>
      <c r="J148" s="581"/>
    </row>
    <row r="149" spans="1:10">
      <c r="A149" s="326" t="s">
        <v>5604</v>
      </c>
      <c r="B149" s="333" t="s">
        <v>484</v>
      </c>
      <c r="C149" s="332" t="s">
        <v>679</v>
      </c>
      <c r="D149" s="324" t="s">
        <v>679</v>
      </c>
      <c r="E149" s="332">
        <f t="shared" si="0"/>
        <v>0</v>
      </c>
      <c r="F149" s="580"/>
      <c r="G149" s="580"/>
      <c r="H149" s="580"/>
      <c r="I149" s="580"/>
      <c r="J149" s="581"/>
    </row>
    <row r="150" spans="1:10" ht="25.5">
      <c r="A150" s="323" t="s">
        <v>5605</v>
      </c>
      <c r="B150" s="333" t="s">
        <v>484</v>
      </c>
      <c r="C150" s="332" t="s">
        <v>679</v>
      </c>
      <c r="D150" s="324" t="s">
        <v>679</v>
      </c>
      <c r="E150" s="324">
        <f t="shared" si="0"/>
        <v>0</v>
      </c>
      <c r="F150" s="580"/>
      <c r="G150" s="580"/>
      <c r="H150" s="580"/>
      <c r="I150" s="580"/>
      <c r="J150" s="581"/>
    </row>
    <row r="151" spans="1:10" ht="15.75">
      <c r="A151" s="585" t="s">
        <v>5641</v>
      </c>
      <c r="B151" s="586"/>
      <c r="C151" s="587" t="str">
        <f>IFERROR(SUM(E143:E150)/COUNTIF(C143:C150,"Yes"),"")</f>
        <v/>
      </c>
      <c r="D151" s="588"/>
      <c r="E151" s="589" t="s">
        <v>5642</v>
      </c>
      <c r="F151" s="589"/>
      <c r="G151" s="589"/>
      <c r="H151" s="589"/>
      <c r="I151" s="589"/>
      <c r="J151" s="590"/>
    </row>
    <row r="152" spans="1:10">
      <c r="A152" s="331"/>
      <c r="B152" s="316"/>
      <c r="C152" s="316"/>
      <c r="D152" s="316"/>
      <c r="E152" s="316"/>
      <c r="F152" s="316"/>
      <c r="G152" s="316"/>
      <c r="H152" s="227"/>
      <c r="I152" s="227"/>
      <c r="J152" s="329"/>
    </row>
    <row r="153" spans="1:10">
      <c r="A153" s="574" t="s">
        <v>5670</v>
      </c>
      <c r="B153" s="582"/>
      <c r="C153" s="582"/>
      <c r="D153" s="575"/>
      <c r="E153" s="582"/>
      <c r="F153" s="582"/>
      <c r="G153" s="575"/>
      <c r="H153" s="575"/>
      <c r="I153" s="575"/>
      <c r="J153" s="576"/>
    </row>
    <row r="154" spans="1:10">
      <c r="A154" s="321" t="s">
        <v>5643</v>
      </c>
      <c r="B154" s="322" t="s">
        <v>77</v>
      </c>
      <c r="C154" s="322" t="s">
        <v>5620</v>
      </c>
      <c r="D154" s="322" t="s">
        <v>5621</v>
      </c>
      <c r="E154" s="322" t="s">
        <v>5622</v>
      </c>
      <c r="F154" s="322" t="s">
        <v>5644</v>
      </c>
      <c r="G154" s="578" t="s">
        <v>5645</v>
      </c>
      <c r="H154" s="578"/>
      <c r="I154" s="578"/>
      <c r="J154" s="579"/>
    </row>
    <row r="155" spans="1:10" ht="25.5">
      <c r="A155" s="326" t="s">
        <v>5623</v>
      </c>
      <c r="B155" s="332" t="s">
        <v>484</v>
      </c>
      <c r="C155" s="332" t="s">
        <v>1096</v>
      </c>
      <c r="D155" s="332" t="s">
        <v>1096</v>
      </c>
      <c r="E155" s="332" t="s">
        <v>1096</v>
      </c>
      <c r="F155" s="332" t="s">
        <v>348</v>
      </c>
      <c r="G155" s="583"/>
      <c r="H155" s="583"/>
      <c r="I155" s="583"/>
      <c r="J155" s="584"/>
    </row>
    <row r="156" spans="1:10">
      <c r="A156" s="323" t="s">
        <v>5624</v>
      </c>
      <c r="B156" s="332" t="s">
        <v>484</v>
      </c>
      <c r="C156" s="332" t="s">
        <v>1096</v>
      </c>
      <c r="D156" s="332" t="s">
        <v>1096</v>
      </c>
      <c r="E156" s="332" t="s">
        <v>1096</v>
      </c>
      <c r="F156" s="332" t="s">
        <v>348</v>
      </c>
      <c r="G156" s="583"/>
      <c r="H156" s="583"/>
      <c r="I156" s="583"/>
      <c r="J156" s="584"/>
    </row>
    <row r="157" spans="1:10">
      <c r="A157" s="326" t="s">
        <v>5646</v>
      </c>
      <c r="B157" s="332" t="s">
        <v>484</v>
      </c>
      <c r="C157" s="332" t="s">
        <v>1096</v>
      </c>
      <c r="D157" s="332" t="s">
        <v>1096</v>
      </c>
      <c r="E157" s="332" t="s">
        <v>1096</v>
      </c>
      <c r="F157" s="332" t="s">
        <v>348</v>
      </c>
      <c r="G157" s="583"/>
      <c r="H157" s="583"/>
      <c r="I157" s="583"/>
      <c r="J157" s="584"/>
    </row>
    <row r="158" spans="1:10">
      <c r="A158" s="323" t="s">
        <v>5625</v>
      </c>
      <c r="B158" s="332" t="s">
        <v>484</v>
      </c>
      <c r="C158" s="332" t="s">
        <v>1096</v>
      </c>
      <c r="D158" s="332" t="s">
        <v>1096</v>
      </c>
      <c r="E158" s="332" t="s">
        <v>1096</v>
      </c>
      <c r="F158" s="332" t="s">
        <v>348</v>
      </c>
      <c r="G158" s="583"/>
      <c r="H158" s="583"/>
      <c r="I158" s="583"/>
      <c r="J158" s="584"/>
    </row>
    <row r="159" spans="1:10" ht="25.5">
      <c r="A159" s="326" t="s">
        <v>5626</v>
      </c>
      <c r="B159" s="332" t="s">
        <v>484</v>
      </c>
      <c r="C159" s="332" t="s">
        <v>1096</v>
      </c>
      <c r="D159" s="332" t="s">
        <v>1096</v>
      </c>
      <c r="E159" s="332" t="s">
        <v>1096</v>
      </c>
      <c r="F159" s="332" t="s">
        <v>348</v>
      </c>
      <c r="G159" s="583"/>
      <c r="H159" s="583"/>
      <c r="I159" s="583"/>
      <c r="J159" s="584"/>
    </row>
    <row r="160" spans="1:10" ht="15.75">
      <c r="A160" s="585" t="s">
        <v>5677</v>
      </c>
      <c r="B160" s="586"/>
      <c r="C160" s="587">
        <f>IFERROR(COUNTIF(E155:E159,"Yes")/COUNTA(A155:A159),"")</f>
        <v>0</v>
      </c>
      <c r="D160" s="588"/>
      <c r="E160" s="589" t="s">
        <v>5648</v>
      </c>
      <c r="F160" s="589"/>
      <c r="G160" s="589"/>
      <c r="H160" s="589"/>
      <c r="I160" s="589"/>
      <c r="J160" s="590"/>
    </row>
    <row r="161" spans="1:10">
      <c r="A161" s="331"/>
      <c r="B161" s="316"/>
      <c r="C161" s="316"/>
      <c r="D161" s="316"/>
      <c r="E161" s="316"/>
      <c r="F161" s="316"/>
      <c r="G161" s="599"/>
      <c r="H161" s="599"/>
      <c r="I161" s="599"/>
      <c r="J161" s="600"/>
    </row>
    <row r="162" spans="1:10">
      <c r="A162" s="574" t="s">
        <v>5671</v>
      </c>
      <c r="B162" s="582"/>
      <c r="C162" s="582"/>
      <c r="D162" s="575"/>
      <c r="E162" s="582"/>
      <c r="F162" s="582"/>
      <c r="G162" s="575"/>
      <c r="H162" s="575"/>
      <c r="I162" s="575"/>
      <c r="J162" s="576"/>
    </row>
    <row r="163" spans="1:10">
      <c r="A163" s="322" t="s">
        <v>5606</v>
      </c>
      <c r="B163" s="322" t="s">
        <v>77</v>
      </c>
      <c r="C163" s="322" t="s">
        <v>5627</v>
      </c>
      <c r="D163" s="322" t="s">
        <v>5628</v>
      </c>
      <c r="E163" s="322" t="s">
        <v>5629</v>
      </c>
      <c r="F163" s="322" t="s">
        <v>5630</v>
      </c>
      <c r="G163" s="578" t="s">
        <v>5678</v>
      </c>
      <c r="H163" s="578"/>
      <c r="I163" s="578"/>
      <c r="J163" s="578"/>
    </row>
    <row r="164" spans="1:10">
      <c r="A164" s="328" t="s">
        <v>153</v>
      </c>
      <c r="B164" s="324" t="s">
        <v>484</v>
      </c>
      <c r="C164" s="324"/>
      <c r="D164" s="324"/>
      <c r="E164" s="324"/>
      <c r="F164" s="325" t="str">
        <f>IFERROR(D164/C164,"")</f>
        <v/>
      </c>
      <c r="G164" s="572"/>
      <c r="H164" s="572"/>
      <c r="I164" s="572"/>
      <c r="J164" s="572"/>
    </row>
    <row r="165" spans="1:10">
      <c r="A165" s="335" t="s">
        <v>155</v>
      </c>
      <c r="B165" s="332" t="s">
        <v>484</v>
      </c>
      <c r="C165" s="332"/>
      <c r="D165" s="332"/>
      <c r="E165" s="332"/>
      <c r="F165" s="327" t="str">
        <f>IFERROR(D165/C165,"")</f>
        <v/>
      </c>
      <c r="G165" s="572"/>
      <c r="H165" s="572"/>
      <c r="I165" s="572"/>
      <c r="J165" s="572"/>
    </row>
    <row r="166" spans="1:10">
      <c r="A166" s="328" t="s">
        <v>4821</v>
      </c>
      <c r="B166" s="324" t="s">
        <v>484</v>
      </c>
      <c r="C166" s="324"/>
      <c r="D166" s="324"/>
      <c r="E166" s="324"/>
      <c r="F166" s="325" t="str">
        <f>IFERROR(D166/C166,"")</f>
        <v/>
      </c>
      <c r="G166" s="572"/>
      <c r="H166" s="572"/>
      <c r="I166" s="572"/>
      <c r="J166" s="572"/>
    </row>
    <row r="167" spans="1:10">
      <c r="A167" s="335" t="s">
        <v>957</v>
      </c>
      <c r="B167" s="332" t="s">
        <v>484</v>
      </c>
      <c r="C167" s="332"/>
      <c r="D167" s="332"/>
      <c r="E167" s="332"/>
      <c r="F167" s="327" t="str">
        <f>IFERROR(D167/C167,"")</f>
        <v/>
      </c>
      <c r="G167" s="572"/>
      <c r="H167" s="572"/>
      <c r="I167" s="572"/>
      <c r="J167" s="572"/>
    </row>
    <row r="168" spans="1:10">
      <c r="A168" s="597" t="s">
        <v>5649</v>
      </c>
      <c r="B168" s="597"/>
      <c r="C168" s="597"/>
      <c r="D168" s="597"/>
      <c r="E168" s="589" t="s">
        <v>5650</v>
      </c>
      <c r="F168" s="589"/>
      <c r="G168" s="589"/>
      <c r="H168" s="589"/>
      <c r="I168" s="589"/>
      <c r="J168" s="589"/>
    </row>
    <row r="169" spans="1:10">
      <c r="A169" s="597"/>
      <c r="B169" s="597"/>
      <c r="C169" s="597"/>
      <c r="D169" s="597"/>
      <c r="E169" s="589"/>
      <c r="F169" s="589"/>
      <c r="G169" s="589"/>
      <c r="H169" s="589"/>
      <c r="I169" s="589"/>
      <c r="J169" s="589"/>
    </row>
    <row r="170" spans="1:10">
      <c r="A170" s="575" t="s">
        <v>5672</v>
      </c>
      <c r="B170" s="575"/>
      <c r="C170" s="575"/>
      <c r="D170" s="575"/>
      <c r="E170" s="575"/>
      <c r="F170" s="575"/>
      <c r="G170" s="575"/>
      <c r="H170" s="575"/>
      <c r="I170" s="575"/>
      <c r="J170" s="575"/>
    </row>
    <row r="171" spans="1:10">
      <c r="A171" s="322" t="s">
        <v>4946</v>
      </c>
      <c r="B171" s="322" t="s">
        <v>77</v>
      </c>
      <c r="C171" s="322" t="s">
        <v>5638</v>
      </c>
      <c r="D171" s="322" t="s">
        <v>482</v>
      </c>
      <c r="E171" s="322" t="s">
        <v>572</v>
      </c>
      <c r="F171" s="322" t="s">
        <v>944</v>
      </c>
      <c r="G171" s="578" t="s">
        <v>5640</v>
      </c>
      <c r="H171" s="578"/>
      <c r="I171" s="578"/>
      <c r="J171" s="578"/>
    </row>
    <row r="172" spans="1:10" ht="25.5">
      <c r="A172" s="328" t="s">
        <v>5607</v>
      </c>
      <c r="B172" s="324" t="s">
        <v>484</v>
      </c>
      <c r="C172" s="324" t="s">
        <v>392</v>
      </c>
      <c r="D172" s="324" t="s">
        <v>1096</v>
      </c>
      <c r="E172" s="324">
        <f t="shared" ref="E172:E177" si="1">IF(D172="Yes",1,0)</f>
        <v>0</v>
      </c>
      <c r="F172" s="324"/>
      <c r="G172" s="572"/>
      <c r="H172" s="572"/>
      <c r="I172" s="572"/>
      <c r="J172" s="572"/>
    </row>
    <row r="173" spans="1:10">
      <c r="A173" s="335" t="s">
        <v>5608</v>
      </c>
      <c r="B173" s="324" t="s">
        <v>484</v>
      </c>
      <c r="C173" s="332" t="s">
        <v>392</v>
      </c>
      <c r="D173" s="324" t="s">
        <v>1096</v>
      </c>
      <c r="E173" s="332">
        <f t="shared" si="1"/>
        <v>0</v>
      </c>
      <c r="F173" s="332"/>
      <c r="G173" s="572"/>
      <c r="H173" s="572"/>
      <c r="I173" s="572"/>
      <c r="J173" s="572"/>
    </row>
    <row r="174" spans="1:10" ht="25.5">
      <c r="A174" s="328" t="s">
        <v>5609</v>
      </c>
      <c r="B174" s="324" t="s">
        <v>484</v>
      </c>
      <c r="C174" s="324" t="s">
        <v>392</v>
      </c>
      <c r="D174" s="324" t="s">
        <v>1096</v>
      </c>
      <c r="E174" s="324">
        <f t="shared" si="1"/>
        <v>0</v>
      </c>
      <c r="F174" s="324"/>
      <c r="G174" s="572"/>
      <c r="H174" s="572"/>
      <c r="I174" s="572"/>
      <c r="J174" s="572"/>
    </row>
    <row r="175" spans="1:10">
      <c r="A175" s="335" t="s">
        <v>5631</v>
      </c>
      <c r="B175" s="324" t="s">
        <v>484</v>
      </c>
      <c r="C175" s="332" t="s">
        <v>392</v>
      </c>
      <c r="D175" s="324" t="s">
        <v>1096</v>
      </c>
      <c r="E175" s="332">
        <f t="shared" si="1"/>
        <v>0</v>
      </c>
      <c r="F175" s="332"/>
      <c r="G175" s="572"/>
      <c r="H175" s="572"/>
      <c r="I175" s="572"/>
      <c r="J175" s="572"/>
    </row>
    <row r="176" spans="1:10" ht="25.5">
      <c r="A176" s="328" t="s">
        <v>5632</v>
      </c>
      <c r="B176" s="324" t="s">
        <v>484</v>
      </c>
      <c r="C176" s="324" t="s">
        <v>392</v>
      </c>
      <c r="D176" s="324" t="s">
        <v>1096</v>
      </c>
      <c r="E176" s="324">
        <f t="shared" si="1"/>
        <v>0</v>
      </c>
      <c r="F176" s="324"/>
      <c r="G176" s="572"/>
      <c r="H176" s="572"/>
      <c r="I176" s="572"/>
      <c r="J176" s="572"/>
    </row>
    <row r="177" spans="1:10" ht="25.5">
      <c r="A177" s="335" t="s">
        <v>5633</v>
      </c>
      <c r="B177" s="324" t="s">
        <v>484</v>
      </c>
      <c r="C177" s="332" t="s">
        <v>392</v>
      </c>
      <c r="D177" s="332" t="s">
        <v>1096</v>
      </c>
      <c r="E177" s="332">
        <f t="shared" si="1"/>
        <v>0</v>
      </c>
      <c r="F177" s="332"/>
      <c r="G177" s="572"/>
      <c r="H177" s="572"/>
      <c r="I177" s="572"/>
      <c r="J177" s="572"/>
    </row>
    <row r="178" spans="1:10" ht="15.75">
      <c r="A178" s="930" t="s">
        <v>5651</v>
      </c>
      <c r="B178" s="586"/>
      <c r="C178" s="587">
        <f>IFERROR(SUM(E172:E177)/COUNTIF(C172:C177,"Yes"),"")</f>
        <v>0</v>
      </c>
      <c r="D178" s="588"/>
      <c r="E178" s="589" t="s">
        <v>5652</v>
      </c>
      <c r="F178" s="589"/>
      <c r="G178" s="589"/>
      <c r="H178" s="589"/>
      <c r="I178" s="589"/>
      <c r="J178" s="589"/>
    </row>
    <row r="179" spans="1:10">
      <c r="A179" s="192"/>
      <c r="B179" s="192"/>
      <c r="C179" s="192"/>
      <c r="D179" s="192"/>
      <c r="E179" s="192"/>
      <c r="F179" s="192"/>
      <c r="G179" s="192"/>
      <c r="H179" s="192"/>
      <c r="I179" s="192"/>
      <c r="J179" s="192"/>
    </row>
    <row r="180" spans="1:10">
      <c r="A180" s="575" t="s">
        <v>5673</v>
      </c>
      <c r="B180" s="582"/>
      <c r="C180" s="582"/>
      <c r="D180" s="317"/>
      <c r="E180" s="317"/>
      <c r="F180" s="317"/>
      <c r="G180" s="317"/>
      <c r="H180" s="317"/>
      <c r="I180" s="317"/>
      <c r="J180" s="317"/>
    </row>
    <row r="181" spans="1:10" ht="38.25">
      <c r="A181" s="318" t="s">
        <v>905</v>
      </c>
      <c r="B181" s="318" t="s">
        <v>830</v>
      </c>
      <c r="C181" s="318"/>
      <c r="D181" s="318"/>
      <c r="E181" s="318"/>
      <c r="F181" s="318"/>
      <c r="G181" s="318"/>
      <c r="H181" s="318"/>
      <c r="I181" s="318"/>
      <c r="J181" s="318"/>
    </row>
    <row r="182" spans="1:10">
      <c r="A182" s="315" t="s">
        <v>1086</v>
      </c>
      <c r="B182" s="594" t="s">
        <v>3292</v>
      </c>
      <c r="C182" s="582"/>
      <c r="D182" s="582"/>
      <c r="E182" s="582"/>
      <c r="F182" s="582"/>
      <c r="G182" s="582"/>
      <c r="H182" s="582"/>
      <c r="I182" s="582"/>
      <c r="J182" s="582"/>
    </row>
    <row r="183" spans="1:10" ht="25.5">
      <c r="A183" s="315" t="s">
        <v>2090</v>
      </c>
      <c r="B183" s="594" t="s">
        <v>3293</v>
      </c>
      <c r="C183" s="582"/>
      <c r="D183" s="582"/>
      <c r="E183" s="582"/>
      <c r="F183" s="582"/>
      <c r="G183" s="582"/>
      <c r="H183" s="582"/>
      <c r="I183" s="582"/>
      <c r="J183" s="582"/>
    </row>
    <row r="184" spans="1:10">
      <c r="A184" s="315" t="s">
        <v>1089</v>
      </c>
      <c r="B184" s="594" t="s">
        <v>3294</v>
      </c>
      <c r="C184" s="582"/>
      <c r="D184" s="582"/>
      <c r="E184" s="582"/>
      <c r="F184" s="582"/>
      <c r="G184" s="582"/>
      <c r="H184" s="582"/>
      <c r="I184" s="582"/>
      <c r="J184" s="582"/>
    </row>
    <row r="185" spans="1:10">
      <c r="A185" s="315" t="s">
        <v>1090</v>
      </c>
      <c r="B185" s="594" t="s">
        <v>3295</v>
      </c>
      <c r="C185" s="582"/>
      <c r="D185" s="582"/>
      <c r="E185" s="582"/>
      <c r="F185" s="582"/>
      <c r="G185" s="582"/>
      <c r="H185" s="582"/>
      <c r="I185" s="582"/>
      <c r="J185" s="582"/>
    </row>
    <row r="186" spans="1:10">
      <c r="A186" s="315" t="s">
        <v>1088</v>
      </c>
      <c r="B186" s="594" t="s">
        <v>3296</v>
      </c>
      <c r="C186" s="582"/>
      <c r="D186" s="582"/>
      <c r="E186" s="582"/>
      <c r="F186" s="582"/>
      <c r="G186" s="582"/>
      <c r="H186" s="582"/>
      <c r="I186" s="582"/>
      <c r="J186" s="582"/>
    </row>
    <row r="187" spans="1:10" ht="25.5">
      <c r="A187" s="315" t="s">
        <v>3297</v>
      </c>
      <c r="B187" s="594" t="s">
        <v>3298</v>
      </c>
      <c r="C187" s="582"/>
      <c r="D187" s="582"/>
      <c r="E187" s="582"/>
      <c r="F187" s="582"/>
      <c r="G187" s="582"/>
      <c r="H187" s="582"/>
      <c r="I187" s="582"/>
      <c r="J187" s="582"/>
    </row>
    <row r="188" spans="1:10">
      <c r="A188" s="315" t="s">
        <v>1563</v>
      </c>
      <c r="B188" s="594" t="s">
        <v>1776</v>
      </c>
      <c r="C188" s="582"/>
      <c r="D188" s="582"/>
      <c r="E188" s="582"/>
      <c r="F188" s="582"/>
      <c r="G188" s="582"/>
      <c r="H188" s="582"/>
      <c r="I188" s="582"/>
      <c r="J188" s="582"/>
    </row>
    <row r="189" spans="1:10">
      <c r="A189" s="227"/>
      <c r="B189" s="227"/>
      <c r="C189" s="227"/>
      <c r="D189" s="227"/>
      <c r="E189" s="227"/>
      <c r="F189" s="227"/>
      <c r="G189" s="227"/>
      <c r="H189" s="227"/>
      <c r="I189" s="227"/>
      <c r="J189" s="227"/>
    </row>
    <row r="190" spans="1:10" ht="18">
      <c r="A190" s="598" t="s">
        <v>5562</v>
      </c>
      <c r="B190" s="598"/>
      <c r="C190" s="598"/>
      <c r="D190" s="598"/>
      <c r="E190" s="598"/>
      <c r="F190" s="598"/>
      <c r="G190" s="598"/>
      <c r="H190" s="598"/>
      <c r="I190" s="227"/>
      <c r="J190" s="227"/>
    </row>
    <row r="191" spans="1:10">
      <c r="A191" s="272" t="s">
        <v>2</v>
      </c>
      <c r="B191" s="591" t="s">
        <v>5563</v>
      </c>
      <c r="C191" s="591"/>
      <c r="D191" s="591"/>
      <c r="E191" s="591"/>
      <c r="F191" s="591"/>
      <c r="G191" s="591"/>
      <c r="H191" s="591"/>
      <c r="I191" s="227"/>
      <c r="J191" s="227"/>
    </row>
    <row r="192" spans="1:10">
      <c r="A192" s="272" t="s">
        <v>5564</v>
      </c>
      <c r="B192" s="591" t="s">
        <v>5565</v>
      </c>
      <c r="C192" s="591"/>
      <c r="D192" s="591"/>
      <c r="E192" s="591"/>
      <c r="F192" s="591"/>
      <c r="G192" s="591"/>
      <c r="H192" s="591"/>
      <c r="I192" s="227"/>
      <c r="J192" s="227"/>
    </row>
    <row r="193" spans="1:10">
      <c r="A193" s="192"/>
      <c r="B193" s="192"/>
      <c r="C193" s="192"/>
      <c r="D193" s="192"/>
      <c r="E193" s="192"/>
      <c r="F193" s="192"/>
      <c r="G193" s="192"/>
      <c r="H193" s="192"/>
      <c r="I193" s="227"/>
      <c r="J193" s="227"/>
    </row>
    <row r="194" spans="1:10">
      <c r="A194" s="319" t="s">
        <v>4946</v>
      </c>
      <c r="B194" s="319" t="s">
        <v>77</v>
      </c>
      <c r="C194" s="319" t="s">
        <v>5566</v>
      </c>
      <c r="D194" s="319" t="s">
        <v>263</v>
      </c>
      <c r="E194" s="319" t="s">
        <v>216</v>
      </c>
      <c r="F194" s="319" t="s">
        <v>5567</v>
      </c>
      <c r="G194" s="319" t="s">
        <v>5568</v>
      </c>
      <c r="H194" s="319" t="s">
        <v>5569</v>
      </c>
      <c r="I194" s="227"/>
      <c r="J194" s="227"/>
    </row>
    <row r="195" spans="1:10" ht="25.5">
      <c r="A195" s="273" t="s">
        <v>5570</v>
      </c>
      <c r="B195" s="274" t="s">
        <v>1096</v>
      </c>
      <c r="C195" s="273"/>
      <c r="D195" s="273"/>
      <c r="E195" s="273"/>
      <c r="F195" s="273"/>
      <c r="G195" s="275" t="str">
        <f t="shared" ref="G195:G202" si="2">IF(OR(B195="Yes",B195="N/A"),"🟢","🟡")</f>
        <v>🟡</v>
      </c>
      <c r="H195" s="273"/>
      <c r="I195" s="227"/>
      <c r="J195" s="227"/>
    </row>
    <row r="196" spans="1:10">
      <c r="A196" s="273" t="s">
        <v>5571</v>
      </c>
      <c r="B196" s="274" t="s">
        <v>1096</v>
      </c>
      <c r="C196" s="273"/>
      <c r="D196" s="273"/>
      <c r="E196" s="273"/>
      <c r="F196" s="273"/>
      <c r="G196" s="275" t="str">
        <f t="shared" si="2"/>
        <v>🟡</v>
      </c>
      <c r="H196" s="273"/>
      <c r="I196" s="227"/>
      <c r="J196" s="227"/>
    </row>
    <row r="197" spans="1:10">
      <c r="A197" s="273" t="s">
        <v>5572</v>
      </c>
      <c r="B197" s="274" t="s">
        <v>1096</v>
      </c>
      <c r="C197" s="273"/>
      <c r="D197" s="273"/>
      <c r="E197" s="273"/>
      <c r="F197" s="273"/>
      <c r="G197" s="275" t="str">
        <f t="shared" si="2"/>
        <v>🟡</v>
      </c>
      <c r="H197" s="273"/>
      <c r="I197" s="227"/>
      <c r="J197" s="227"/>
    </row>
    <row r="198" spans="1:10">
      <c r="A198" s="273" t="s">
        <v>5168</v>
      </c>
      <c r="B198" s="274" t="s">
        <v>1096</v>
      </c>
      <c r="C198" s="273"/>
      <c r="D198" s="273"/>
      <c r="E198" s="273"/>
      <c r="F198" s="273"/>
      <c r="G198" s="275" t="str">
        <f t="shared" si="2"/>
        <v>🟡</v>
      </c>
      <c r="H198" s="273"/>
      <c r="I198" s="227"/>
      <c r="J198" s="227"/>
    </row>
    <row r="199" spans="1:10">
      <c r="A199" s="273" t="s">
        <v>5573</v>
      </c>
      <c r="B199" s="274" t="s">
        <v>1096</v>
      </c>
      <c r="C199" s="273"/>
      <c r="D199" s="273"/>
      <c r="E199" s="273"/>
      <c r="F199" s="273"/>
      <c r="G199" s="275" t="str">
        <f t="shared" si="2"/>
        <v>🟡</v>
      </c>
      <c r="H199" s="273"/>
      <c r="I199" s="227"/>
      <c r="J199" s="227"/>
    </row>
    <row r="200" spans="1:10">
      <c r="A200" s="273" t="s">
        <v>5574</v>
      </c>
      <c r="B200" s="274" t="s">
        <v>1096</v>
      </c>
      <c r="C200" s="273"/>
      <c r="D200" s="273"/>
      <c r="E200" s="273"/>
      <c r="F200" s="273"/>
      <c r="G200" s="275" t="str">
        <f t="shared" si="2"/>
        <v>🟡</v>
      </c>
      <c r="H200" s="273"/>
      <c r="I200" s="227"/>
      <c r="J200" s="227"/>
    </row>
    <row r="201" spans="1:10">
      <c r="A201" s="273" t="s">
        <v>178</v>
      </c>
      <c r="B201" s="274" t="s">
        <v>1096</v>
      </c>
      <c r="C201" s="273"/>
      <c r="D201" s="273"/>
      <c r="E201" s="273"/>
      <c r="F201" s="273"/>
      <c r="G201" s="275" t="str">
        <f t="shared" si="2"/>
        <v>🟡</v>
      </c>
      <c r="H201" s="273"/>
      <c r="I201" s="227"/>
      <c r="J201" s="227"/>
    </row>
    <row r="202" spans="1:10" ht="25.5">
      <c r="A202" s="273" t="s">
        <v>5575</v>
      </c>
      <c r="B202" s="274" t="s">
        <v>1096</v>
      </c>
      <c r="C202" s="273"/>
      <c r="D202" s="273"/>
      <c r="E202" s="273"/>
      <c r="F202" s="273"/>
      <c r="G202" s="275" t="str">
        <f t="shared" si="2"/>
        <v>🟡</v>
      </c>
      <c r="H202" s="273"/>
      <c r="I202" s="227"/>
      <c r="J202" s="227"/>
    </row>
    <row r="203" spans="1:10">
      <c r="A203" s="320" t="s">
        <v>4946</v>
      </c>
      <c r="B203" s="320" t="s">
        <v>5583</v>
      </c>
      <c r="C203" s="192"/>
      <c r="D203" s="192"/>
      <c r="E203" s="320" t="s">
        <v>5584</v>
      </c>
      <c r="F203" s="192"/>
      <c r="G203" s="192"/>
      <c r="H203" s="192"/>
      <c r="I203" s="227"/>
      <c r="J203" s="227"/>
    </row>
    <row r="204" spans="1:10" ht="25.5">
      <c r="A204" s="287" t="s">
        <v>5570</v>
      </c>
      <c r="B204" s="577" t="s">
        <v>5585</v>
      </c>
      <c r="C204" s="577"/>
      <c r="D204" s="577"/>
      <c r="E204" s="577" t="s">
        <v>5586</v>
      </c>
      <c r="F204" s="577"/>
      <c r="G204" s="577"/>
      <c r="H204" s="192"/>
      <c r="I204" s="227"/>
      <c r="J204" s="227"/>
    </row>
    <row r="205" spans="1:10">
      <c r="A205" s="287" t="s">
        <v>5571</v>
      </c>
      <c r="B205" s="577" t="s">
        <v>5587</v>
      </c>
      <c r="C205" s="577"/>
      <c r="D205" s="577"/>
      <c r="E205" s="577" t="s">
        <v>5588</v>
      </c>
      <c r="F205" s="577"/>
      <c r="G205" s="577"/>
      <c r="H205" s="192"/>
      <c r="I205" s="227"/>
      <c r="J205" s="227"/>
    </row>
    <row r="206" spans="1:10">
      <c r="A206" s="287" t="s">
        <v>5572</v>
      </c>
      <c r="B206" s="577" t="s">
        <v>5589</v>
      </c>
      <c r="C206" s="577"/>
      <c r="D206" s="577"/>
      <c r="E206" s="577" t="s">
        <v>5590</v>
      </c>
      <c r="F206" s="577"/>
      <c r="G206" s="577"/>
      <c r="H206" s="192"/>
      <c r="I206" s="227"/>
      <c r="J206" s="227"/>
    </row>
    <row r="207" spans="1:10">
      <c r="A207" s="287" t="s">
        <v>5168</v>
      </c>
      <c r="B207" s="577" t="s">
        <v>5591</v>
      </c>
      <c r="C207" s="577"/>
      <c r="D207" s="577"/>
      <c r="E207" s="577" t="s">
        <v>5592</v>
      </c>
      <c r="F207" s="577"/>
      <c r="G207" s="577"/>
      <c r="H207" s="192"/>
      <c r="I207" s="227"/>
      <c r="J207" s="227"/>
    </row>
    <row r="208" spans="1:10">
      <c r="A208" s="287" t="s">
        <v>5573</v>
      </c>
      <c r="B208" s="577" t="s">
        <v>5593</v>
      </c>
      <c r="C208" s="577"/>
      <c r="D208" s="577"/>
      <c r="E208" s="577" t="s">
        <v>5594</v>
      </c>
      <c r="F208" s="577"/>
      <c r="G208" s="577"/>
      <c r="H208" s="192"/>
      <c r="I208" s="227"/>
      <c r="J208" s="227"/>
    </row>
    <row r="209" spans="1:10">
      <c r="A209" s="287" t="s">
        <v>5574</v>
      </c>
      <c r="B209" s="577" t="s">
        <v>5595</v>
      </c>
      <c r="C209" s="577"/>
      <c r="D209" s="577"/>
      <c r="E209" s="577" t="s">
        <v>5596</v>
      </c>
      <c r="F209" s="577"/>
      <c r="G209" s="577"/>
      <c r="H209" s="192"/>
      <c r="I209" s="227"/>
      <c r="J209" s="227"/>
    </row>
    <row r="210" spans="1:10">
      <c r="A210" s="287" t="s">
        <v>178</v>
      </c>
      <c r="B210" s="577" t="s">
        <v>5597</v>
      </c>
      <c r="C210" s="577"/>
      <c r="D210" s="577"/>
      <c r="E210" s="577" t="s">
        <v>5598</v>
      </c>
      <c r="F210" s="577"/>
      <c r="G210" s="577"/>
      <c r="H210" s="192"/>
      <c r="I210" s="227"/>
      <c r="J210" s="227"/>
    </row>
    <row r="211" spans="1:10" ht="25.5">
      <c r="A211" s="287" t="s">
        <v>5575</v>
      </c>
      <c r="B211" s="577" t="s">
        <v>5599</v>
      </c>
      <c r="C211" s="577"/>
      <c r="D211" s="577"/>
      <c r="E211" s="577" t="s">
        <v>5600</v>
      </c>
      <c r="F211" s="577"/>
      <c r="G211" s="577"/>
      <c r="H211" s="192"/>
      <c r="I211" s="227"/>
      <c r="J211" s="227"/>
    </row>
    <row r="212" spans="1:10">
      <c r="A212" s="272" t="s">
        <v>5576</v>
      </c>
      <c r="B212" s="276" t="str">
        <f>IF(COUNTIF(B195:B202,"No")=0,"🟢 PILOT COMPLETE / ACCEPTANCE READY","🟡 NOT COMPLETE — ACCEPTANCE GATES OPEN")</f>
        <v>🟡 NOT COMPLETE — ACCEPTANCE GATES OPEN</v>
      </c>
      <c r="C212" s="276"/>
      <c r="D212" s="276"/>
      <c r="E212" s="276"/>
      <c r="F212" s="276"/>
      <c r="G212" s="276"/>
      <c r="H212" s="276"/>
    </row>
    <row r="213" spans="1:10">
      <c r="A213" s="272" t="s">
        <v>5577</v>
      </c>
      <c r="B213" s="276">
        <f>COUNTIF(B195:B202,"No")</f>
        <v>8</v>
      </c>
      <c r="C213" s="276"/>
      <c r="D213" s="276"/>
      <c r="E213" s="276"/>
      <c r="F213" s="276"/>
      <c r="G213" s="276"/>
      <c r="H213" s="276"/>
    </row>
    <row r="214" spans="1:10">
      <c r="A214" s="272" t="s">
        <v>5578</v>
      </c>
      <c r="B214" s="276" t="str">
        <f>COUNTIF(B195:B202,"Yes")&amp;" / 8 Complete"</f>
        <v>0 / 8 Complete</v>
      </c>
      <c r="C214" s="276"/>
      <c r="D214" s="276"/>
      <c r="E214" s="276"/>
      <c r="F214" s="276"/>
      <c r="G214" s="276"/>
      <c r="H214" s="276"/>
    </row>
    <row r="215" spans="1:10" ht="90">
      <c r="A215" s="277" t="s">
        <v>5579</v>
      </c>
      <c r="B215" s="278" t="s">
        <v>5580</v>
      </c>
      <c r="C215" s="278"/>
      <c r="D215" s="278"/>
      <c r="E215" s="278"/>
      <c r="F215" s="278"/>
      <c r="G215" s="278"/>
      <c r="H215" s="278"/>
    </row>
    <row r="216" spans="1:10">
      <c r="A216" s="277"/>
      <c r="B216" s="278"/>
      <c r="C216" s="278"/>
      <c r="D216" s="278"/>
      <c r="E216" s="278"/>
      <c r="F216" s="278"/>
      <c r="G216" s="278"/>
      <c r="H216" s="278"/>
    </row>
    <row r="217" spans="1:10" ht="64.5">
      <c r="A217" s="277" t="s">
        <v>5581</v>
      </c>
      <c r="B217" s="278" t="s">
        <v>5582</v>
      </c>
      <c r="C217" s="278"/>
      <c r="D217" s="278"/>
      <c r="E217" s="278"/>
      <c r="F217" s="278"/>
      <c r="G217" s="278"/>
      <c r="H217" s="278"/>
    </row>
    <row r="218" spans="1:10">
      <c r="A218" s="575" t="s">
        <v>5694</v>
      </c>
      <c r="B218" s="575"/>
      <c r="C218" s="575"/>
      <c r="D218" s="575"/>
      <c r="E218" s="575"/>
      <c r="F218" s="575"/>
      <c r="G218" s="575"/>
      <c r="H218" s="575"/>
      <c r="I218" s="575"/>
      <c r="J218" s="575"/>
    </row>
    <row r="219" spans="1:10">
      <c r="A219" s="336" t="s">
        <v>5679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5682</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575" t="s">
        <v>5695</v>
      </c>
      <c r="B229" s="575"/>
      <c r="C229" s="575"/>
      <c r="D229" s="575"/>
      <c r="E229" s="575"/>
      <c r="F229" s="575"/>
      <c r="G229" s="575"/>
      <c r="H229" s="575"/>
      <c r="I229" s="575"/>
      <c r="J229" s="575"/>
    </row>
    <row r="230" spans="1:10">
      <c r="A230" s="192"/>
      <c r="B230" s="192"/>
      <c r="C230" s="192"/>
      <c r="D230" s="192"/>
      <c r="E230" s="192"/>
      <c r="F230" s="192"/>
      <c r="G230" s="192"/>
      <c r="H230" s="192"/>
      <c r="I230" s="192"/>
      <c r="J230" s="192"/>
    </row>
    <row r="231" spans="1:10">
      <c r="A231" s="192" t="s">
        <v>5683</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5684</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t="s">
        <v>5685</v>
      </c>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575" t="s">
        <v>5696</v>
      </c>
      <c r="B239" s="575"/>
      <c r="C239" s="575"/>
      <c r="D239" s="575"/>
      <c r="E239" s="575"/>
      <c r="F239" s="575"/>
      <c r="G239" s="575"/>
      <c r="H239" s="575"/>
      <c r="I239" s="575"/>
      <c r="J239" s="575"/>
    </row>
    <row r="240" spans="1:10">
      <c r="A240" s="192"/>
      <c r="B240" s="192"/>
      <c r="C240" s="192"/>
      <c r="D240" s="192"/>
      <c r="E240" s="192"/>
      <c r="F240" s="192"/>
      <c r="G240" s="192"/>
      <c r="H240" s="192"/>
      <c r="I240" s="192"/>
      <c r="J240" s="192"/>
    </row>
    <row r="241" spans="1:10">
      <c r="A241" s="192" t="s">
        <v>5686</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5687</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5688</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5689</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192"/>
      <c r="B249" s="192"/>
      <c r="C249" s="192"/>
      <c r="D249" s="192"/>
      <c r="E249" s="192"/>
      <c r="F249" s="192"/>
      <c r="G249" s="192"/>
      <c r="H249" s="192"/>
      <c r="I249" s="192"/>
      <c r="J249" s="192"/>
    </row>
    <row r="250" spans="1:10">
      <c r="A250" s="192"/>
      <c r="B250" s="192"/>
      <c r="C250" s="192"/>
      <c r="D250" s="192"/>
      <c r="E250" s="192"/>
      <c r="F250" s="192"/>
      <c r="G250" s="192"/>
      <c r="H250" s="192"/>
      <c r="I250" s="192"/>
      <c r="J250" s="192"/>
    </row>
    <row r="251" spans="1:10">
      <c r="A251" s="575" t="s">
        <v>5697</v>
      </c>
      <c r="B251" s="575"/>
      <c r="C251" s="575"/>
      <c r="D251" s="575"/>
      <c r="E251" s="575"/>
      <c r="F251" s="575"/>
      <c r="G251" s="575"/>
      <c r="H251" s="575"/>
      <c r="I251" s="575"/>
      <c r="J251" s="575"/>
    </row>
    <row r="252" spans="1:10">
      <c r="A252" s="192"/>
      <c r="B252" s="192"/>
      <c r="C252" s="192"/>
      <c r="D252" s="192"/>
      <c r="E252" s="192"/>
      <c r="F252" s="192"/>
      <c r="G252" s="192"/>
      <c r="H252" s="192"/>
      <c r="I252" s="192"/>
      <c r="J252" s="192"/>
    </row>
    <row r="253" spans="1:10">
      <c r="A253" s="192" t="s">
        <v>5690</v>
      </c>
      <c r="B253" s="192"/>
      <c r="C253" s="192"/>
      <c r="D253" s="192"/>
      <c r="E253" s="192"/>
      <c r="F253" s="192"/>
      <c r="G253" s="192"/>
      <c r="H253" s="192"/>
      <c r="I253" s="192"/>
      <c r="J253" s="192"/>
    </row>
    <row r="254" spans="1:10">
      <c r="A254" s="192"/>
      <c r="B254" s="192"/>
      <c r="C254" s="192"/>
      <c r="D254" s="192"/>
      <c r="E254" s="192"/>
      <c r="F254" s="192"/>
      <c r="G254" s="192"/>
      <c r="H254" s="192"/>
      <c r="I254" s="192"/>
      <c r="J254" s="192"/>
    </row>
    <row r="255" spans="1:10">
      <c r="A255" s="192" t="s">
        <v>5691</v>
      </c>
      <c r="B255" s="192"/>
      <c r="C255" s="192"/>
      <c r="D255" s="192"/>
      <c r="E255" s="192"/>
      <c r="F255" s="192"/>
      <c r="G255" s="192"/>
      <c r="H255" s="192"/>
      <c r="I255" s="192"/>
      <c r="J255" s="192"/>
    </row>
    <row r="256" spans="1:10">
      <c r="A256" s="192"/>
      <c r="B256" s="192"/>
      <c r="C256" s="192"/>
      <c r="D256" s="192"/>
      <c r="E256" s="192"/>
      <c r="F256" s="192"/>
      <c r="G256" s="192"/>
      <c r="H256" s="192"/>
      <c r="I256" s="192"/>
      <c r="J256" s="192"/>
    </row>
    <row r="257" spans="1:10">
      <c r="A257" s="192" t="s">
        <v>5692</v>
      </c>
      <c r="B257" s="192"/>
      <c r="C257" s="192"/>
      <c r="D257" s="192"/>
      <c r="E257" s="192"/>
      <c r="F257" s="192"/>
      <c r="G257" s="192"/>
      <c r="H257" s="192"/>
      <c r="I257" s="192"/>
      <c r="J257" s="192"/>
    </row>
    <row r="258" spans="1:10">
      <c r="A258" s="192"/>
      <c r="B258" s="192"/>
      <c r="C258" s="192"/>
      <c r="D258" s="192"/>
      <c r="E258" s="192"/>
      <c r="F258" s="192"/>
      <c r="G258" s="192"/>
      <c r="H258" s="192"/>
      <c r="I258" s="192"/>
      <c r="J258" s="192"/>
    </row>
    <row r="259" spans="1:10">
      <c r="A259" s="192"/>
      <c r="B259" s="192"/>
      <c r="C259" s="192"/>
      <c r="D259" s="192"/>
      <c r="E259" s="192"/>
      <c r="F259" s="192"/>
      <c r="G259" s="192"/>
      <c r="H259" s="192"/>
      <c r="I259" s="192"/>
      <c r="J259" s="192"/>
    </row>
    <row r="260" spans="1:10">
      <c r="A260" s="192"/>
      <c r="B260" s="192"/>
      <c r="C260" s="192"/>
      <c r="D260" s="192"/>
      <c r="E260" s="192"/>
      <c r="F260" s="192"/>
      <c r="G260" s="192"/>
      <c r="H260" s="192"/>
      <c r="I260" s="192"/>
      <c r="J260" s="192"/>
    </row>
    <row r="261" spans="1:10">
      <c r="A261" s="192" t="s">
        <v>5693</v>
      </c>
      <c r="B261" s="192"/>
      <c r="C261" s="192"/>
      <c r="D261" s="192"/>
      <c r="E261" s="192"/>
      <c r="F261" s="192"/>
      <c r="G261" s="192"/>
      <c r="H261" s="192"/>
      <c r="I261" s="192"/>
      <c r="J261" s="192"/>
    </row>
    <row r="262" spans="1:10">
      <c r="A262" s="192"/>
      <c r="B262" s="192"/>
      <c r="C262" s="192"/>
      <c r="D262" s="192"/>
      <c r="E262" s="192"/>
      <c r="F262" s="192"/>
      <c r="G262" s="192"/>
      <c r="H262" s="192"/>
      <c r="I262" s="192"/>
      <c r="J262" s="192"/>
    </row>
    <row r="263" spans="1:10">
      <c r="A263" s="337"/>
      <c r="B263" s="337"/>
      <c r="C263" s="337"/>
      <c r="D263" s="337"/>
      <c r="E263" s="337"/>
      <c r="F263" s="337"/>
      <c r="G263" s="337"/>
      <c r="H263" s="337"/>
      <c r="I263" s="337"/>
      <c r="J263" s="337"/>
    </row>
    <row r="264" spans="1:10">
      <c r="A264" s="337"/>
      <c r="B264" s="337"/>
      <c r="C264" s="337"/>
      <c r="D264" s="337"/>
      <c r="E264" s="337"/>
      <c r="F264" s="337"/>
      <c r="G264" s="337"/>
      <c r="H264" s="337"/>
      <c r="I264" s="337"/>
      <c r="J264" s="337"/>
    </row>
    <row r="265" spans="1:10">
      <c r="A265" s="337"/>
      <c r="B265" s="337"/>
      <c r="C265" s="337"/>
      <c r="D265" s="337"/>
      <c r="E265" s="337"/>
      <c r="F265" s="337"/>
      <c r="G265" s="337"/>
      <c r="H265" s="337"/>
      <c r="I265" s="337"/>
      <c r="J265" s="337"/>
    </row>
    <row r="266" spans="1:10">
      <c r="A266" s="337"/>
      <c r="B266" s="337"/>
      <c r="C266" s="337"/>
      <c r="D266" s="337"/>
      <c r="E266" s="337"/>
      <c r="F266" s="337"/>
      <c r="G266" s="337"/>
      <c r="H266" s="337"/>
      <c r="I266" s="337"/>
      <c r="J266" s="337"/>
    </row>
    <row r="267" spans="1:10">
      <c r="A267" s="337"/>
      <c r="B267" s="337"/>
      <c r="C267" s="337"/>
      <c r="D267" s="337"/>
      <c r="E267" s="337"/>
      <c r="F267" s="337"/>
      <c r="G267" s="337"/>
      <c r="H267" s="337"/>
      <c r="I267" s="337"/>
      <c r="J267" s="337"/>
    </row>
    <row r="268" spans="1:10">
      <c r="A268" s="337"/>
      <c r="B268" s="337"/>
      <c r="C268" s="337"/>
      <c r="D268" s="337"/>
      <c r="E268" s="337"/>
      <c r="F268" s="337"/>
      <c r="G268" s="337"/>
      <c r="H268" s="337"/>
      <c r="I268" s="337"/>
      <c r="J268" s="337"/>
    </row>
    <row r="269" spans="1:10">
      <c r="A269" s="337"/>
      <c r="B269" s="337"/>
      <c r="C269" s="337"/>
      <c r="D269" s="337"/>
      <c r="E269" s="337"/>
      <c r="F269" s="337"/>
      <c r="G269" s="337"/>
      <c r="H269" s="337"/>
      <c r="I269" s="337"/>
      <c r="J269" s="337"/>
    </row>
    <row r="270" spans="1:10">
      <c r="A270" s="337"/>
      <c r="B270" s="337"/>
      <c r="C270" s="337"/>
      <c r="D270" s="337"/>
      <c r="E270" s="337"/>
      <c r="F270" s="337"/>
      <c r="G270" s="337"/>
      <c r="H270" s="337"/>
      <c r="I270" s="337"/>
      <c r="J270" s="337"/>
    </row>
    <row r="271" spans="1:10">
      <c r="A271" s="337"/>
      <c r="B271" s="337"/>
      <c r="C271" s="337"/>
      <c r="D271" s="337"/>
      <c r="E271" s="337"/>
      <c r="F271" s="337"/>
      <c r="G271" s="337"/>
      <c r="H271" s="337"/>
      <c r="I271" s="337"/>
      <c r="J271" s="337"/>
    </row>
    <row r="272" spans="1:10">
      <c r="A272" s="192"/>
      <c r="B272" s="192"/>
      <c r="C272" s="192"/>
      <c r="D272" s="192"/>
      <c r="E272" s="192"/>
      <c r="F272" s="192"/>
      <c r="G272" s="192"/>
      <c r="H272" s="192"/>
      <c r="I272" s="192"/>
      <c r="J272" s="192"/>
    </row>
    <row r="273" spans="1:10">
      <c r="A273" s="316"/>
      <c r="B273" s="316"/>
      <c r="C273" s="316"/>
      <c r="D273" s="316"/>
      <c r="E273" s="316"/>
      <c r="F273" s="316"/>
      <c r="G273" s="599"/>
      <c r="H273" s="599"/>
      <c r="I273" s="599"/>
      <c r="J273" s="599"/>
    </row>
    <row r="275" spans="1:10">
      <c r="A275" s="575" t="s">
        <v>1085</v>
      </c>
      <c r="B275" s="896"/>
      <c r="C275" s="896"/>
      <c r="D275" s="85"/>
      <c r="E275" s="85"/>
      <c r="F275" s="85"/>
      <c r="G275" s="85"/>
      <c r="H275" s="85"/>
      <c r="I275" s="85"/>
      <c r="J275" s="85"/>
    </row>
    <row r="276" spans="1:10" ht="51">
      <c r="A276" s="50" t="s">
        <v>905</v>
      </c>
      <c r="B276" s="50" t="s">
        <v>839</v>
      </c>
      <c r="C276" s="50"/>
      <c r="D276" s="50"/>
      <c r="E276" s="50"/>
      <c r="F276" s="50"/>
      <c r="G276" s="50"/>
      <c r="H276" s="50"/>
      <c r="I276" s="50"/>
      <c r="J276" s="50"/>
    </row>
    <row r="277" spans="1:10" ht="191.25">
      <c r="A277" s="13" t="s">
        <v>1086</v>
      </c>
      <c r="B277" s="13" t="s">
        <v>3694</v>
      </c>
      <c r="C277" s="13"/>
      <c r="D277" s="13"/>
      <c r="E277" s="13"/>
      <c r="F277" s="13"/>
      <c r="G277" s="13"/>
      <c r="H277" s="13"/>
      <c r="I277" s="13"/>
      <c r="J277" s="13"/>
    </row>
    <row r="278" spans="1:10" ht="191.25">
      <c r="A278" s="13" t="s">
        <v>2090</v>
      </c>
      <c r="B278" s="13" t="s">
        <v>3695</v>
      </c>
      <c r="C278" s="13"/>
      <c r="D278" s="13"/>
      <c r="E278" s="13"/>
      <c r="F278" s="13"/>
      <c r="G278" s="13"/>
      <c r="H278" s="13"/>
      <c r="I278" s="13"/>
      <c r="J278" s="13"/>
    </row>
    <row r="279" spans="1:10" ht="165.75">
      <c r="A279" s="13" t="s">
        <v>3696</v>
      </c>
      <c r="B279" s="13" t="s">
        <v>3697</v>
      </c>
      <c r="C279" s="13"/>
      <c r="D279" s="13"/>
      <c r="E279" s="13"/>
      <c r="F279" s="13"/>
      <c r="G279" s="13"/>
      <c r="H279" s="13"/>
      <c r="I279" s="13"/>
      <c r="J279" s="13"/>
    </row>
    <row r="280" spans="1:10" ht="165.75">
      <c r="A280" s="13" t="s">
        <v>1090</v>
      </c>
      <c r="B280" s="13" t="s">
        <v>3698</v>
      </c>
      <c r="C280" s="13"/>
      <c r="D280" s="13"/>
      <c r="E280" s="13"/>
      <c r="F280" s="13"/>
      <c r="G280" s="13"/>
      <c r="H280" s="13"/>
      <c r="I280" s="13"/>
      <c r="J280" s="13"/>
    </row>
    <row r="281" spans="1:10" ht="178.5">
      <c r="A281" s="13" t="s">
        <v>1088</v>
      </c>
      <c r="B281" s="13" t="s">
        <v>3699</v>
      </c>
      <c r="C281" s="13"/>
      <c r="D281" s="13"/>
      <c r="E281" s="13"/>
      <c r="F281" s="13"/>
      <c r="G281" s="13"/>
      <c r="H281" s="13"/>
      <c r="I281" s="13"/>
      <c r="J281" s="13"/>
    </row>
    <row r="282" spans="1:10" ht="127.5">
      <c r="A282" s="13" t="s">
        <v>3700</v>
      </c>
      <c r="B282" s="13" t="s">
        <v>3701</v>
      </c>
      <c r="C282" s="13"/>
      <c r="D282" s="13"/>
      <c r="E282" s="13"/>
      <c r="F282" s="13"/>
      <c r="G282" s="13"/>
      <c r="H282" s="13"/>
      <c r="I282" s="13"/>
      <c r="J282" s="13"/>
    </row>
    <row r="283" spans="1:10" ht="191.25">
      <c r="A283" s="13" t="s">
        <v>1563</v>
      </c>
      <c r="B283" s="13" t="s">
        <v>1776</v>
      </c>
      <c r="C283" s="13"/>
      <c r="D283" s="13"/>
      <c r="E283" s="13"/>
      <c r="F283" s="13"/>
      <c r="G283" s="13"/>
      <c r="H283" s="13"/>
      <c r="I283" s="13"/>
      <c r="J283" s="13"/>
    </row>
  </sheetData>
  <mergeCells count="114">
    <mergeCell ref="A251:C251"/>
    <mergeCell ref="D251:F251"/>
    <mergeCell ref="G251:J251"/>
    <mergeCell ref="G273:J273"/>
    <mergeCell ref="A229:C229"/>
    <mergeCell ref="D229:F229"/>
    <mergeCell ref="G229:J229"/>
    <mergeCell ref="A239:C239"/>
    <mergeCell ref="D239:F239"/>
    <mergeCell ref="G239:J239"/>
    <mergeCell ref="B211:D211"/>
    <mergeCell ref="E211:G211"/>
    <mergeCell ref="A218:C218"/>
    <mergeCell ref="D218:F218"/>
    <mergeCell ref="G218:J218"/>
    <mergeCell ref="B208:D208"/>
    <mergeCell ref="E208:G208"/>
    <mergeCell ref="B209:D209"/>
    <mergeCell ref="E209:G209"/>
    <mergeCell ref="B210:D210"/>
    <mergeCell ref="E210:G210"/>
    <mergeCell ref="B205:D205"/>
    <mergeCell ref="E205:G205"/>
    <mergeCell ref="B206:D206"/>
    <mergeCell ref="E206:G206"/>
    <mergeCell ref="B207:D207"/>
    <mergeCell ref="E207:G207"/>
    <mergeCell ref="B188:J188"/>
    <mergeCell ref="A190:H190"/>
    <mergeCell ref="B191:H191"/>
    <mergeCell ref="B192:H192"/>
    <mergeCell ref="B204:D204"/>
    <mergeCell ref="E204:G204"/>
    <mergeCell ref="B183:J183"/>
    <mergeCell ref="B184:J184"/>
    <mergeCell ref="B185:J185"/>
    <mergeCell ref="B186:J186"/>
    <mergeCell ref="B187:J187"/>
    <mergeCell ref="A178:B178"/>
    <mergeCell ref="C178:D178"/>
    <mergeCell ref="E178:J178"/>
    <mergeCell ref="A180:C180"/>
    <mergeCell ref="B182:J182"/>
    <mergeCell ref="G173:J173"/>
    <mergeCell ref="G174:J174"/>
    <mergeCell ref="G175:J175"/>
    <mergeCell ref="G176:J176"/>
    <mergeCell ref="G177:J177"/>
    <mergeCell ref="A170:C170"/>
    <mergeCell ref="D170:F170"/>
    <mergeCell ref="G170:J170"/>
    <mergeCell ref="G171:J171"/>
    <mergeCell ref="G172:J172"/>
    <mergeCell ref="G164:J164"/>
    <mergeCell ref="G165:J165"/>
    <mergeCell ref="G166:J166"/>
    <mergeCell ref="G167:J167"/>
    <mergeCell ref="A168:D169"/>
    <mergeCell ref="E168:J169"/>
    <mergeCell ref="G161:J161"/>
    <mergeCell ref="A162:C162"/>
    <mergeCell ref="D162:F162"/>
    <mergeCell ref="G162:J162"/>
    <mergeCell ref="G163:J163"/>
    <mergeCell ref="G156:J156"/>
    <mergeCell ref="G157:J157"/>
    <mergeCell ref="G158:J158"/>
    <mergeCell ref="G159:J159"/>
    <mergeCell ref="A160:B160"/>
    <mergeCell ref="C160:D160"/>
    <mergeCell ref="E160:J160"/>
    <mergeCell ref="A153:C153"/>
    <mergeCell ref="D153:F153"/>
    <mergeCell ref="G153:J153"/>
    <mergeCell ref="G154:J154"/>
    <mergeCell ref="G155:J155"/>
    <mergeCell ref="G133:J133"/>
    <mergeCell ref="G134:J134"/>
    <mergeCell ref="F147:J147"/>
    <mergeCell ref="F148:J148"/>
    <mergeCell ref="F149:J149"/>
    <mergeCell ref="F150:J150"/>
    <mergeCell ref="A151:B151"/>
    <mergeCell ref="C151:D151"/>
    <mergeCell ref="E151:J151"/>
    <mergeCell ref="G142:J142"/>
    <mergeCell ref="F143:J143"/>
    <mergeCell ref="F144:J144"/>
    <mergeCell ref="F145:J145"/>
    <mergeCell ref="F146:J146"/>
    <mergeCell ref="A275:C275"/>
    <mergeCell ref="A28:C28"/>
    <mergeCell ref="A1:J1"/>
    <mergeCell ref="A68:C68"/>
    <mergeCell ref="A111:C111"/>
    <mergeCell ref="A8:C8"/>
    <mergeCell ref="A89:C89"/>
    <mergeCell ref="A58:C58"/>
    <mergeCell ref="D6:J6"/>
    <mergeCell ref="A18:C18"/>
    <mergeCell ref="A100:C100"/>
    <mergeCell ref="A78:C78"/>
    <mergeCell ref="A48:C48"/>
    <mergeCell ref="A38:C38"/>
    <mergeCell ref="G135:J135"/>
    <mergeCell ref="G137:J137"/>
    <mergeCell ref="A139:B139"/>
    <mergeCell ref="E139:J139"/>
    <mergeCell ref="A141:C141"/>
    <mergeCell ref="D141:F141"/>
    <mergeCell ref="G141:J141"/>
    <mergeCell ref="A132:C132"/>
    <mergeCell ref="D132:F132"/>
    <mergeCell ref="G132:J132"/>
  </mergeCells>
  <conditionalFormatting sqref="B134:B138">
    <cfRule type="expression" dxfId="292" priority="21">
      <formula>B134="Complete"</formula>
    </cfRule>
    <cfRule type="expression" dxfId="291" priority="22">
      <formula>B134="In Progress"</formula>
    </cfRule>
    <cfRule type="expression" dxfId="290" priority="23">
      <formula>B134="At Risk"</formula>
    </cfRule>
    <cfRule type="expression" dxfId="289" priority="24">
      <formula>B134="Blocked"</formula>
    </cfRule>
    <cfRule type="expression" dxfId="288" priority="25">
      <formula>B134="Not Started"</formula>
    </cfRule>
  </conditionalFormatting>
  <conditionalFormatting sqref="B143:B150">
    <cfRule type="expression" dxfId="287" priority="1">
      <formula>B143="Complete"</formula>
    </cfRule>
    <cfRule type="expression" dxfId="286" priority="2">
      <formula>B143="In Progress"</formula>
    </cfRule>
    <cfRule type="expression" dxfId="285" priority="3">
      <formula>B143="At Risk"</formula>
    </cfRule>
    <cfRule type="expression" dxfId="284" priority="4">
      <formula>B143="Blocked"</formula>
    </cfRule>
    <cfRule type="expression" dxfId="283" priority="5">
      <formula>B143="Not Started"</formula>
    </cfRule>
  </conditionalFormatting>
  <conditionalFormatting sqref="B155:B159">
    <cfRule type="expression" dxfId="282" priority="30">
      <formula>B155="Not Started"</formula>
    </cfRule>
    <cfRule type="expression" dxfId="281" priority="29">
      <formula>B155="Blocked"</formula>
    </cfRule>
    <cfRule type="expression" dxfId="280" priority="28">
      <formula>B155="At Risk"</formula>
    </cfRule>
    <cfRule type="expression" dxfId="279" priority="27">
      <formula>B155="In Progress"</formula>
    </cfRule>
    <cfRule type="expression" dxfId="278" priority="26">
      <formula>B155="Complete"</formula>
    </cfRule>
  </conditionalFormatting>
  <conditionalFormatting sqref="B164:B167">
    <cfRule type="expression" dxfId="277" priority="6">
      <formula>B164="Complete"</formula>
    </cfRule>
    <cfRule type="expression" dxfId="276" priority="7">
      <formula>B164="In Progress"</formula>
    </cfRule>
    <cfRule type="expression" dxfId="275" priority="8">
      <formula>B164="At Risk"</formula>
    </cfRule>
    <cfRule type="expression" dxfId="274" priority="9">
      <formula>B164="Blocked"</formula>
    </cfRule>
    <cfRule type="expression" dxfId="273" priority="10">
      <formula>B164="Not Started"</formula>
    </cfRule>
  </conditionalFormatting>
  <conditionalFormatting sqref="B172:B177">
    <cfRule type="expression" dxfId="272" priority="11">
      <formula>B172="Complete"</formula>
    </cfRule>
    <cfRule type="expression" dxfId="271" priority="12">
      <formula>B172="In Progress"</formula>
    </cfRule>
    <cfRule type="expression" dxfId="270" priority="13">
      <formula>B172="At Risk"</formula>
    </cfRule>
    <cfRule type="expression" dxfId="269" priority="14">
      <formula>B172="Blocked"</formula>
    </cfRule>
    <cfRule type="expression" dxfId="268" priority="15">
      <formula>B172="Not Started"</formula>
    </cfRule>
  </conditionalFormatting>
  <conditionalFormatting sqref="B195:B202">
    <cfRule type="expression" dxfId="267" priority="82">
      <formula>B195="Yes"</formula>
    </cfRule>
    <cfRule type="expression" dxfId="266" priority="83">
      <formula>B195="N/A"</formula>
    </cfRule>
    <cfRule type="expression" dxfId="265" priority="84">
      <formula>B195="No"</formula>
    </cfRule>
  </conditionalFormatting>
  <conditionalFormatting sqref="B212:H212">
    <cfRule type="expression" dxfId="264" priority="86">
      <formula>COUNTIF($B$6:$B$13,"No")&gt;0</formula>
    </cfRule>
    <cfRule type="expression" dxfId="263" priority="85">
      <formula>COUNTIF($B$6:$B$13,"No")=0</formula>
    </cfRule>
  </conditionalFormatting>
  <conditionalFormatting sqref="C139:D139">
    <cfRule type="dataBar" priority="37">
      <dataBar>
        <cfvo type="num" val="0"/>
        <cfvo type="num" val="1"/>
        <color rgb="FF5B9BD5"/>
      </dataBar>
    </cfRule>
  </conditionalFormatting>
  <conditionalFormatting sqref="C143:D150">
    <cfRule type="expression" dxfId="262" priority="32">
      <formula>C143="No"</formula>
    </cfRule>
    <cfRule type="expression" dxfId="261" priority="31">
      <formula>C143="Yes"</formula>
    </cfRule>
    <cfRule type="expression" dxfId="260" priority="33">
      <formula>C143="N/A"</formula>
    </cfRule>
  </conditionalFormatting>
  <conditionalFormatting sqref="C151:D151">
    <cfRule type="dataBar" priority="38">
      <dataBar>
        <cfvo type="num" val="0"/>
        <cfvo type="num" val="1"/>
        <color rgb="FF5B9BD5"/>
      </dataBar>
    </cfRule>
  </conditionalFormatting>
  <conditionalFormatting sqref="C160:D160">
    <cfRule type="dataBar" priority="39">
      <dataBar>
        <cfvo type="num" val="0"/>
        <cfvo type="num" val="1"/>
        <color rgb="FF5B9BD5"/>
      </dataBar>
    </cfRule>
  </conditionalFormatting>
  <conditionalFormatting sqref="C172:D177">
    <cfRule type="expression" dxfId="259" priority="17">
      <formula>C172="No"</formula>
    </cfRule>
    <cfRule type="expression" dxfId="258" priority="16">
      <formula>C172="Yes"</formula>
    </cfRule>
    <cfRule type="expression" dxfId="257" priority="18">
      <formula>C172="N/A"</formula>
    </cfRule>
  </conditionalFormatting>
  <conditionalFormatting sqref="C178:D178">
    <cfRule type="dataBar" priority="20">
      <dataBar>
        <cfvo type="num" val="0"/>
        <cfvo type="num" val="1"/>
        <color rgb="FF5B9BD5"/>
      </dataBar>
    </cfRule>
  </conditionalFormatting>
  <conditionalFormatting sqref="E5 G5 I5">
    <cfRule type="expression" dxfId="256" priority="87">
      <formula>E5="Pass"</formula>
    </cfRule>
    <cfRule type="expression" dxfId="255" priority="88">
      <formula>E5="Verify"</formula>
    </cfRule>
    <cfRule type="expression" dxfId="254" priority="89">
      <formula>E5="Fail"</formula>
    </cfRule>
    <cfRule type="expression" dxfId="253" priority="90">
      <formula>E5="Not Started"</formula>
    </cfRule>
  </conditionalFormatting>
  <conditionalFormatting sqref="F3">
    <cfRule type="expression" dxfId="252" priority="91">
      <formula>F3="Yes"</formula>
    </cfRule>
    <cfRule type="expression" dxfId="251" priority="92">
      <formula>F3="No"</formula>
    </cfRule>
  </conditionalFormatting>
  <conditionalFormatting sqref="F155:F159">
    <cfRule type="expression" dxfId="250" priority="35">
      <formula>F155="Fail"</formula>
    </cfRule>
    <cfRule type="expression" dxfId="249" priority="36">
      <formula>F155="Pending"</formula>
    </cfRule>
    <cfRule type="expression" dxfId="248" priority="34">
      <formula>F155="Pass"</formula>
    </cfRule>
  </conditionalFormatting>
  <conditionalFormatting sqref="F164:F167">
    <cfRule type="dataBar" priority="19">
      <dataBar>
        <cfvo type="num" val="0"/>
        <cfvo type="num" val="1"/>
        <color rgb="FF5B9BD5"/>
      </dataBar>
    </cfRule>
  </conditionalFormatting>
  <dataValidations count="5">
    <dataValidation type="list" sqref="B5:B6 D5 F5 H5 H10:H16 I16 J5 H183:I188 H180:I181 H275:I283 D91:D98 H17:I120" xr:uid="{00000000-0002-0000-3C00-000000000000}">
      <formula1>"Not Started,Verify,Pass,Fail,N/A,Open,Closed,Partial / Yellow"</formula1>
      <formula2>0</formula2>
    </dataValidation>
    <dataValidation type="list" sqref="B195:B202" xr:uid="{A0A56ECC-EA60-4A92-B0CB-61DAAC5157EC}">
      <formula1>"No,Yes,N/A"</formula1>
    </dataValidation>
    <dataValidation type="list" allowBlank="1" sqref="B164:B167 B155:B159" xr:uid="{080F47B1-AC31-47AF-8ED9-68E1AFE37B4B}">
      <formula1>"Not Started,In Progress,Complete,At Risk,Blocked"</formula1>
    </dataValidation>
    <dataValidation type="list" allowBlank="1" sqref="C143:D150 C172:D177" xr:uid="{8CBB0626-6FE2-4AC5-BE7E-E9557414E58F}">
      <formula1>"Yes,No,N/A"</formula1>
    </dataValidation>
    <dataValidation type="list" allowBlank="1" sqref="F155:F159"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Lookup_Lists!$A$36:$A$42</xm:f>
          </x14:formula1>
          <xm:sqref>B134:B138 B143:B150 B172:B177</xm:sqref>
        </x14:dataValidation>
        <x14:dataValidation type="list" allowBlank="1" showInputMessage="1" showErrorMessage="1" xr:uid="{B425A3A8-4683-42F5-A3C0-C09203BBEF6B}">
          <x14:formula1>
            <xm:f>Lookup_Lists!$L$37:$L$39</xm:f>
          </x14:formula1>
          <xm:sqref>C155:E159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topLeftCell="A36"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3702</v>
      </c>
      <c r="B1" s="896"/>
      <c r="C1" s="896"/>
      <c r="D1" s="896"/>
      <c r="E1" s="896"/>
      <c r="F1" s="896"/>
      <c r="G1" s="896"/>
      <c r="H1" s="896"/>
      <c r="I1" s="896"/>
      <c r="J1" s="896"/>
    </row>
    <row r="2" spans="1:10" s="223" customFormat="1">
      <c r="A2" s="219" t="s">
        <v>142</v>
      </c>
      <c r="B2" s="220" t="s">
        <v>384</v>
      </c>
      <c r="C2" s="219" t="s">
        <v>902</v>
      </c>
      <c r="D2" s="220" t="s">
        <v>1094</v>
      </c>
      <c r="E2" s="219" t="s">
        <v>151</v>
      </c>
      <c r="F2" s="220" t="s">
        <v>1095</v>
      </c>
      <c r="G2" s="219" t="s">
        <v>174</v>
      </c>
      <c r="H2" s="221">
        <v>0.5</v>
      </c>
      <c r="I2" s="219" t="s">
        <v>154</v>
      </c>
      <c r="J2" s="222" t="s">
        <v>1096</v>
      </c>
    </row>
    <row r="3" spans="1:10" s="227" customFormat="1" ht="25.5">
      <c r="A3" s="219" t="s">
        <v>903</v>
      </c>
      <c r="B3" s="224">
        <v>46198.816384421298</v>
      </c>
      <c r="C3" s="225" t="s">
        <v>904</v>
      </c>
      <c r="D3" s="226" t="s">
        <v>721</v>
      </c>
      <c r="E3" s="219" t="s">
        <v>905</v>
      </c>
      <c r="F3" s="226" t="s">
        <v>3703</v>
      </c>
      <c r="G3" s="219" t="s">
        <v>907</v>
      </c>
      <c r="H3" s="226" t="s">
        <v>908</v>
      </c>
      <c r="I3" s="219" t="s">
        <v>551</v>
      </c>
      <c r="J3" s="226" t="s">
        <v>3704</v>
      </c>
    </row>
    <row r="4" spans="1:10" s="227" customFormat="1" ht="204">
      <c r="A4" s="219" t="s">
        <v>161</v>
      </c>
      <c r="B4" s="226">
        <v>0</v>
      </c>
      <c r="C4" s="219" t="s">
        <v>199</v>
      </c>
      <c r="D4" s="226">
        <v>0</v>
      </c>
      <c r="E4" s="219" t="s">
        <v>179</v>
      </c>
      <c r="F4" s="226">
        <v>0</v>
      </c>
      <c r="G4" s="219" t="s">
        <v>870</v>
      </c>
      <c r="H4" s="228" t="s">
        <v>3705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28.5" customHeight="1">
      <c r="A6" s="234" t="s">
        <v>916</v>
      </c>
      <c r="B6" s="221" t="s">
        <v>677</v>
      </c>
      <c r="C6" s="235" t="s">
        <v>869</v>
      </c>
      <c r="D6" s="604" t="s">
        <v>3706</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384</v>
      </c>
      <c r="B10" s="13" t="s">
        <v>714</v>
      </c>
      <c r="C10" s="13" t="s">
        <v>919</v>
      </c>
      <c r="D10" s="13" t="s">
        <v>2205</v>
      </c>
      <c r="E10" s="13" t="s">
        <v>356</v>
      </c>
      <c r="F10" s="13">
        <v>1</v>
      </c>
      <c r="G10" s="13">
        <v>1</v>
      </c>
      <c r="H10" s="13" t="s">
        <v>677</v>
      </c>
      <c r="I10" s="13" t="s">
        <v>3707</v>
      </c>
      <c r="J10" s="13" t="s">
        <v>3708</v>
      </c>
    </row>
    <row r="11" spans="1:10" ht="140.25">
      <c r="A11" s="13" t="s">
        <v>384</v>
      </c>
      <c r="B11" s="13" t="s">
        <v>3709</v>
      </c>
      <c r="C11" s="13" t="s">
        <v>919</v>
      </c>
      <c r="D11" s="13" t="s">
        <v>3710</v>
      </c>
      <c r="E11" s="13" t="s">
        <v>925</v>
      </c>
      <c r="F11" s="13">
        <v>1</v>
      </c>
      <c r="G11" s="13">
        <v>0</v>
      </c>
      <c r="H11" s="13" t="s">
        <v>677</v>
      </c>
      <c r="I11" s="13" t="s">
        <v>3711</v>
      </c>
      <c r="J11" s="13" t="s">
        <v>3712</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714</v>
      </c>
      <c r="B15" s="13" t="s">
        <v>677</v>
      </c>
      <c r="C15" s="13" t="s">
        <v>677</v>
      </c>
      <c r="D15" s="13" t="s">
        <v>677</v>
      </c>
      <c r="E15" s="13" t="s">
        <v>677</v>
      </c>
      <c r="F15" s="13" t="s">
        <v>677</v>
      </c>
      <c r="G15" s="13" t="s">
        <v>677</v>
      </c>
      <c r="H15" s="13" t="s">
        <v>677</v>
      </c>
      <c r="I15" s="13" t="s">
        <v>677</v>
      </c>
      <c r="J15" s="13" t="s">
        <v>3713</v>
      </c>
    </row>
    <row r="16" spans="1:10" ht="63.75">
      <c r="A16" s="13" t="s">
        <v>3709</v>
      </c>
      <c r="B16" s="13" t="s">
        <v>946</v>
      </c>
      <c r="C16" s="13" t="s">
        <v>946</v>
      </c>
      <c r="D16" s="13" t="s">
        <v>946</v>
      </c>
      <c r="E16" s="13" t="s">
        <v>677</v>
      </c>
      <c r="F16" s="13" t="s">
        <v>947</v>
      </c>
      <c r="G16" s="13" t="s">
        <v>677</v>
      </c>
      <c r="H16" s="13" t="s">
        <v>677</v>
      </c>
      <c r="I16" s="13" t="s">
        <v>677</v>
      </c>
      <c r="J16" s="13" t="s">
        <v>3714</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714</v>
      </c>
      <c r="B20" s="13" t="s">
        <v>677</v>
      </c>
      <c r="C20" s="13" t="s">
        <v>677</v>
      </c>
      <c r="D20" s="13" t="s">
        <v>677</v>
      </c>
      <c r="E20" s="13" t="s">
        <v>677</v>
      </c>
      <c r="F20" s="13" t="s">
        <v>677</v>
      </c>
      <c r="G20" s="13" t="s">
        <v>677</v>
      </c>
      <c r="H20" s="13" t="s">
        <v>677</v>
      </c>
      <c r="I20" s="13" t="s">
        <v>677</v>
      </c>
      <c r="J20" s="13" t="s">
        <v>3715</v>
      </c>
    </row>
    <row r="21" spans="1:10" ht="51">
      <c r="A21" s="13" t="s">
        <v>3709</v>
      </c>
      <c r="B21" s="13" t="s">
        <v>946</v>
      </c>
      <c r="C21" s="13" t="s">
        <v>679</v>
      </c>
      <c r="D21" s="13" t="s">
        <v>947</v>
      </c>
      <c r="E21" s="13" t="s">
        <v>947</v>
      </c>
      <c r="F21" s="13" t="s">
        <v>677</v>
      </c>
      <c r="G21" s="13" t="s">
        <v>677</v>
      </c>
      <c r="H21" s="13" t="s">
        <v>677</v>
      </c>
      <c r="I21" s="13" t="s">
        <v>677</v>
      </c>
      <c r="J21" s="13" t="s">
        <v>3716</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89.25">
      <c r="A25" s="13" t="s">
        <v>714</v>
      </c>
      <c r="B25" s="13" t="s">
        <v>972</v>
      </c>
      <c r="C25" s="13" t="s">
        <v>677</v>
      </c>
      <c r="D25" s="13" t="s">
        <v>677</v>
      </c>
      <c r="E25" s="13" t="s">
        <v>677</v>
      </c>
      <c r="F25" s="13" t="s">
        <v>677</v>
      </c>
      <c r="G25" s="13" t="s">
        <v>677</v>
      </c>
      <c r="H25" s="13" t="s">
        <v>677</v>
      </c>
      <c r="I25" s="13" t="s">
        <v>677</v>
      </c>
      <c r="J25" s="13" t="s">
        <v>3717</v>
      </c>
    </row>
    <row r="26" spans="1:10" ht="63.75">
      <c r="A26" s="13" t="s">
        <v>3709</v>
      </c>
      <c r="B26" s="13" t="s">
        <v>946</v>
      </c>
      <c r="C26" s="13" t="s">
        <v>677</v>
      </c>
      <c r="D26" s="13" t="s">
        <v>677</v>
      </c>
      <c r="E26" s="13" t="s">
        <v>677</v>
      </c>
      <c r="F26" s="13" t="s">
        <v>677</v>
      </c>
      <c r="G26" s="13" t="s">
        <v>677</v>
      </c>
      <c r="H26" s="13" t="s">
        <v>677</v>
      </c>
      <c r="I26" s="13" t="s">
        <v>677</v>
      </c>
      <c r="J26" s="13" t="s">
        <v>3718</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76.5">
      <c r="A30" s="13" t="s">
        <v>714</v>
      </c>
      <c r="B30" s="13" t="s">
        <v>677</v>
      </c>
      <c r="C30" s="13" t="s">
        <v>985</v>
      </c>
      <c r="D30" s="13" t="s">
        <v>677</v>
      </c>
      <c r="E30" s="13" t="s">
        <v>677</v>
      </c>
      <c r="F30" s="13" t="s">
        <v>3719</v>
      </c>
      <c r="G30" s="13" t="s">
        <v>677</v>
      </c>
      <c r="H30" s="13" t="s">
        <v>677</v>
      </c>
      <c r="I30" s="13" t="s">
        <v>677</v>
      </c>
      <c r="J30" s="13" t="s">
        <v>3720</v>
      </c>
    </row>
    <row r="31" spans="1:10" ht="76.5">
      <c r="A31" s="13" t="s">
        <v>3709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14.75">
      <c r="A35" s="13" t="s">
        <v>714</v>
      </c>
      <c r="B35" s="13" t="s">
        <v>677</v>
      </c>
      <c r="C35" s="13" t="s">
        <v>677</v>
      </c>
      <c r="D35" s="13" t="s">
        <v>677</v>
      </c>
      <c r="E35" s="13" t="s">
        <v>677</v>
      </c>
      <c r="F35" s="13" t="s">
        <v>677</v>
      </c>
      <c r="G35" s="13" t="s">
        <v>677</v>
      </c>
      <c r="H35" s="13" t="s">
        <v>677</v>
      </c>
      <c r="I35" s="13" t="s">
        <v>677</v>
      </c>
      <c r="J35" s="13" t="s">
        <v>3722</v>
      </c>
    </row>
    <row r="36" spans="1:10" ht="102">
      <c r="A36" s="13" t="s">
        <v>3709</v>
      </c>
      <c r="B36" s="13" t="s">
        <v>988</v>
      </c>
      <c r="C36" s="13" t="s">
        <v>988</v>
      </c>
      <c r="D36" s="13" t="s">
        <v>988</v>
      </c>
      <c r="E36" s="13" t="s">
        <v>677</v>
      </c>
      <c r="F36" s="13" t="s">
        <v>677</v>
      </c>
      <c r="G36" s="13" t="s">
        <v>677</v>
      </c>
      <c r="H36" s="13" t="s">
        <v>677</v>
      </c>
      <c r="I36" s="13" t="s">
        <v>677</v>
      </c>
      <c r="J36" s="13" t="s">
        <v>3723</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677</v>
      </c>
      <c r="C40" s="13" t="s">
        <v>677</v>
      </c>
      <c r="D40" s="13" t="s">
        <v>677</v>
      </c>
      <c r="E40" s="13" t="s">
        <v>677</v>
      </c>
      <c r="F40" s="13" t="s">
        <v>677</v>
      </c>
      <c r="G40" s="13" t="s">
        <v>677</v>
      </c>
      <c r="H40" s="13" t="s">
        <v>677</v>
      </c>
      <c r="I40" s="13" t="s">
        <v>677</v>
      </c>
      <c r="J40" s="13" t="s">
        <v>3724</v>
      </c>
    </row>
    <row r="41" spans="1:10" ht="51">
      <c r="A41" s="13" t="s">
        <v>3709</v>
      </c>
      <c r="B41" s="13" t="s">
        <v>947</v>
      </c>
      <c r="C41" s="13" t="s">
        <v>947</v>
      </c>
      <c r="D41" s="13" t="s">
        <v>947</v>
      </c>
      <c r="E41" s="13" t="s">
        <v>947</v>
      </c>
      <c r="F41" s="13" t="s">
        <v>947</v>
      </c>
      <c r="G41" s="13" t="s">
        <v>947</v>
      </c>
      <c r="H41" s="13" t="s">
        <v>677</v>
      </c>
      <c r="I41" s="13" t="s">
        <v>677</v>
      </c>
      <c r="J41" s="13" t="s">
        <v>3725</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3726</v>
      </c>
      <c r="B45" s="13" t="s">
        <v>575</v>
      </c>
      <c r="C45" s="13" t="s">
        <v>3727</v>
      </c>
      <c r="D45" s="13" t="s">
        <v>391</v>
      </c>
      <c r="E45" s="13" t="s">
        <v>488</v>
      </c>
      <c r="F45" s="13">
        <v>6</v>
      </c>
      <c r="G45" s="13" t="s">
        <v>1381</v>
      </c>
      <c r="H45" s="13" t="s">
        <v>1023</v>
      </c>
      <c r="I45" s="13" t="s">
        <v>502</v>
      </c>
      <c r="J45" s="13" t="s">
        <v>3728</v>
      </c>
    </row>
    <row r="46" spans="1:10" ht="76.5">
      <c r="A46" s="13" t="s">
        <v>3729</v>
      </c>
      <c r="B46" s="13" t="s">
        <v>3709</v>
      </c>
      <c r="C46" s="13" t="s">
        <v>3730</v>
      </c>
      <c r="D46" s="13" t="s">
        <v>492</v>
      </c>
      <c r="E46" s="13" t="s">
        <v>488</v>
      </c>
      <c r="F46" s="13">
        <v>8</v>
      </c>
      <c r="G46" s="13" t="s">
        <v>3731</v>
      </c>
      <c r="H46" s="13" t="s">
        <v>584</v>
      </c>
      <c r="I46" s="13" t="s">
        <v>502</v>
      </c>
      <c r="J46" s="13" t="s">
        <v>3732</v>
      </c>
    </row>
    <row r="47" spans="1:10" ht="63.75">
      <c r="A47" s="13" t="s">
        <v>3733</v>
      </c>
      <c r="B47" s="13" t="s">
        <v>3734</v>
      </c>
      <c r="C47" s="13" t="s">
        <v>3735</v>
      </c>
      <c r="D47" s="13" t="s">
        <v>391</v>
      </c>
      <c r="E47" s="13" t="s">
        <v>488</v>
      </c>
      <c r="F47" s="13">
        <v>6</v>
      </c>
      <c r="G47" s="13" t="s">
        <v>3736</v>
      </c>
      <c r="H47" s="13" t="s">
        <v>1505</v>
      </c>
      <c r="I47" s="13" t="s">
        <v>502</v>
      </c>
      <c r="J47" s="13" t="s">
        <v>3737</v>
      </c>
    </row>
    <row r="48" spans="1:10" ht="76.5">
      <c r="A48" s="13" t="s">
        <v>3738</v>
      </c>
      <c r="B48" s="13" t="s">
        <v>714</v>
      </c>
      <c r="C48" s="13" t="s">
        <v>593</v>
      </c>
      <c r="D48" s="13" t="s">
        <v>492</v>
      </c>
      <c r="E48" s="13" t="s">
        <v>488</v>
      </c>
      <c r="F48" s="13">
        <v>8</v>
      </c>
      <c r="G48" s="13" t="s">
        <v>2239</v>
      </c>
      <c r="H48" s="13" t="s">
        <v>592</v>
      </c>
      <c r="I48" s="13" t="s">
        <v>502</v>
      </c>
      <c r="J48" s="13" t="s">
        <v>1028</v>
      </c>
    </row>
    <row r="49" spans="1:10" ht="89.25">
      <c r="A49" s="13" t="s">
        <v>3739</v>
      </c>
      <c r="B49" s="13" t="s">
        <v>714</v>
      </c>
      <c r="C49" s="13" t="s">
        <v>3740</v>
      </c>
      <c r="D49" s="13" t="s">
        <v>391</v>
      </c>
      <c r="E49" s="13" t="s">
        <v>488</v>
      </c>
      <c r="F49" s="13">
        <v>6</v>
      </c>
      <c r="G49" s="13" t="s">
        <v>3741</v>
      </c>
      <c r="H49" s="13" t="s">
        <v>1032</v>
      </c>
      <c r="I49" s="13" t="s">
        <v>502</v>
      </c>
      <c r="J49" s="13" t="s">
        <v>3742</v>
      </c>
    </row>
    <row r="50" spans="1:10" ht="76.5">
      <c r="A50" s="13" t="s">
        <v>3743</v>
      </c>
      <c r="B50" s="13" t="s">
        <v>575</v>
      </c>
      <c r="C50" s="13" t="s">
        <v>3744</v>
      </c>
      <c r="D50" s="13" t="s">
        <v>391</v>
      </c>
      <c r="E50" s="13" t="s">
        <v>488</v>
      </c>
      <c r="F50" s="13">
        <v>6</v>
      </c>
      <c r="G50" s="13" t="s">
        <v>1036</v>
      </c>
      <c r="H50" s="13" t="s">
        <v>1037</v>
      </c>
      <c r="I50" s="13" t="s">
        <v>502</v>
      </c>
      <c r="J50" s="13" t="s">
        <v>3745</v>
      </c>
    </row>
    <row r="51" spans="1:10" ht="76.5">
      <c r="A51" s="13" t="s">
        <v>3746</v>
      </c>
      <c r="B51" s="13" t="s">
        <v>575</v>
      </c>
      <c r="C51" s="13" t="s">
        <v>3747</v>
      </c>
      <c r="D51" s="13" t="s">
        <v>492</v>
      </c>
      <c r="E51" s="13" t="s">
        <v>488</v>
      </c>
      <c r="F51" s="13">
        <v>8</v>
      </c>
      <c r="G51" s="13" t="s">
        <v>1039</v>
      </c>
      <c r="H51" s="13" t="s">
        <v>584</v>
      </c>
      <c r="I51" s="13" t="s">
        <v>502</v>
      </c>
      <c r="J51" s="13" t="s">
        <v>3748</v>
      </c>
    </row>
    <row r="52" spans="1:10" ht="76.5">
      <c r="A52" s="13" t="s">
        <v>3749</v>
      </c>
      <c r="B52" s="13" t="s">
        <v>575</v>
      </c>
      <c r="C52" s="13" t="s">
        <v>1047</v>
      </c>
      <c r="D52" s="13" t="s">
        <v>391</v>
      </c>
      <c r="E52" s="13" t="s">
        <v>488</v>
      </c>
      <c r="F52" s="13">
        <v>6</v>
      </c>
      <c r="G52" s="13" t="s">
        <v>1048</v>
      </c>
      <c r="H52" s="13" t="s">
        <v>1049</v>
      </c>
      <c r="I52" s="13" t="s">
        <v>502</v>
      </c>
      <c r="J52" s="13" t="s">
        <v>3750</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3751</v>
      </c>
      <c r="B56" s="13" t="s">
        <v>3752</v>
      </c>
      <c r="C56" s="13" t="s">
        <v>579</v>
      </c>
      <c r="D56" s="13" t="s">
        <v>502</v>
      </c>
      <c r="E56" s="13"/>
      <c r="F56" s="13"/>
      <c r="G56" s="13" t="s">
        <v>580</v>
      </c>
      <c r="H56" s="13"/>
      <c r="I56" s="13"/>
      <c r="J56" s="13"/>
    </row>
    <row r="57" spans="1:10" ht="63.75">
      <c r="A57" s="13" t="s">
        <v>3753</v>
      </c>
      <c r="B57" s="13" t="s">
        <v>3754</v>
      </c>
      <c r="C57" s="13" t="s">
        <v>587</v>
      </c>
      <c r="D57" s="13" t="s">
        <v>502</v>
      </c>
      <c r="E57" s="13"/>
      <c r="F57" s="13"/>
      <c r="G57" s="13" t="s">
        <v>588</v>
      </c>
      <c r="H57" s="13"/>
      <c r="I57" s="13"/>
      <c r="J57" s="13"/>
    </row>
    <row r="58" spans="1:10" ht="51">
      <c r="A58" s="13" t="s">
        <v>3755</v>
      </c>
      <c r="B58" s="13" t="s">
        <v>3756</v>
      </c>
      <c r="C58" s="13" t="s">
        <v>2432</v>
      </c>
      <c r="D58" s="13" t="s">
        <v>502</v>
      </c>
      <c r="E58" s="13"/>
      <c r="F58" s="13"/>
      <c r="G58" s="13" t="s">
        <v>3757</v>
      </c>
      <c r="H58" s="13"/>
      <c r="I58" s="13"/>
      <c r="J58" s="13"/>
    </row>
    <row r="59" spans="1:10" ht="76.5">
      <c r="A59" s="13" t="s">
        <v>3758</v>
      </c>
      <c r="B59" s="13" t="s">
        <v>3759</v>
      </c>
      <c r="C59" s="13" t="s">
        <v>601</v>
      </c>
      <c r="D59" s="13" t="s">
        <v>502</v>
      </c>
      <c r="E59" s="13"/>
      <c r="F59" s="13"/>
      <c r="G59" s="13" t="s">
        <v>602</v>
      </c>
      <c r="H59" s="13"/>
      <c r="I59" s="13"/>
      <c r="J59" s="13"/>
    </row>
    <row r="60" spans="1:10" ht="63.75">
      <c r="A60" s="13" t="s">
        <v>3760</v>
      </c>
      <c r="B60" s="13" t="s">
        <v>3761</v>
      </c>
      <c r="C60" s="13" t="s">
        <v>609</v>
      </c>
      <c r="D60" s="13" t="s">
        <v>502</v>
      </c>
      <c r="E60" s="13"/>
      <c r="F60" s="13"/>
      <c r="G60" s="13" t="s">
        <v>610</v>
      </c>
      <c r="H60" s="13"/>
      <c r="I60" s="13"/>
      <c r="J60" s="13"/>
    </row>
    <row r="61" spans="1:10" ht="76.5">
      <c r="A61" s="13" t="s">
        <v>3762</v>
      </c>
      <c r="B61" s="13" t="s">
        <v>3763</v>
      </c>
      <c r="C61" s="13" t="s">
        <v>616</v>
      </c>
      <c r="D61" s="13" t="s">
        <v>502</v>
      </c>
      <c r="E61" s="13"/>
      <c r="F61" s="13"/>
      <c r="G61" s="13" t="s">
        <v>617</v>
      </c>
      <c r="H61" s="13"/>
      <c r="I61" s="13"/>
      <c r="J61" s="13"/>
    </row>
    <row r="62" spans="1:10" ht="89.25">
      <c r="A62" s="13" t="s">
        <v>3764</v>
      </c>
      <c r="B62" s="13" t="s">
        <v>624</v>
      </c>
      <c r="C62" s="13" t="s">
        <v>622</v>
      </c>
      <c r="D62" s="13" t="s">
        <v>502</v>
      </c>
      <c r="E62" s="13"/>
      <c r="F62" s="13"/>
      <c r="G62" s="13" t="s">
        <v>623</v>
      </c>
      <c r="H62" s="13"/>
      <c r="I62" s="13"/>
      <c r="J62" s="13"/>
    </row>
    <row r="63" spans="1:10" ht="76.5">
      <c r="A63" s="13" t="s">
        <v>3765</v>
      </c>
      <c r="B63" s="13" t="s">
        <v>632</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3766</v>
      </c>
      <c r="B67" s="13" t="s">
        <v>714</v>
      </c>
      <c r="C67" s="13" t="s">
        <v>269</v>
      </c>
      <c r="D67" s="13" t="s">
        <v>3767</v>
      </c>
      <c r="E67" s="13"/>
      <c r="F67" s="13" t="s">
        <v>229</v>
      </c>
      <c r="G67" s="13"/>
      <c r="H67" s="13" t="s">
        <v>3768</v>
      </c>
      <c r="I67" s="13" t="s">
        <v>502</v>
      </c>
      <c r="J67" s="13"/>
    </row>
    <row r="68" spans="1:10" ht="102">
      <c r="A68" s="13" t="s">
        <v>3769</v>
      </c>
      <c r="B68" s="13" t="s">
        <v>3709</v>
      </c>
      <c r="C68" s="13" t="s">
        <v>269</v>
      </c>
      <c r="D68" s="13" t="s">
        <v>3770</v>
      </c>
      <c r="E68" s="13"/>
      <c r="F68" s="13" t="s">
        <v>229</v>
      </c>
      <c r="G68" s="13"/>
      <c r="H68" s="13" t="s">
        <v>3771</v>
      </c>
      <c r="I68" s="13" t="s">
        <v>502</v>
      </c>
      <c r="J68" s="13"/>
    </row>
    <row r="69" spans="1:10" ht="89.25">
      <c r="A69" s="13" t="s">
        <v>3772</v>
      </c>
      <c r="B69" s="13" t="s">
        <v>3709</v>
      </c>
      <c r="C69" s="13" t="s">
        <v>1058</v>
      </c>
      <c r="D69" s="13" t="s">
        <v>3773</v>
      </c>
      <c r="E69" s="13"/>
      <c r="F69" s="13" t="s">
        <v>229</v>
      </c>
      <c r="G69" s="13"/>
      <c r="H69" s="13" t="s">
        <v>3774</v>
      </c>
      <c r="I69" s="13" t="s">
        <v>502</v>
      </c>
      <c r="J69" s="13"/>
    </row>
    <row r="70" spans="1:10" ht="89.25">
      <c r="A70" s="13" t="s">
        <v>3775</v>
      </c>
      <c r="B70" s="13" t="s">
        <v>714</v>
      </c>
      <c r="C70" s="13" t="s">
        <v>148</v>
      </c>
      <c r="D70" s="13" t="s">
        <v>2081</v>
      </c>
      <c r="E70" s="13"/>
      <c r="F70" s="13" t="s">
        <v>229</v>
      </c>
      <c r="G70" s="13"/>
      <c r="H70" s="13" t="s">
        <v>3738</v>
      </c>
      <c r="I70" s="13" t="s">
        <v>502</v>
      </c>
      <c r="J70" s="13"/>
    </row>
    <row r="71" spans="1:10" ht="89.25">
      <c r="A71" s="13" t="s">
        <v>3776</v>
      </c>
      <c r="B71" s="13" t="s">
        <v>714</v>
      </c>
      <c r="C71" s="13" t="s">
        <v>153</v>
      </c>
      <c r="D71" s="13" t="s">
        <v>3777</v>
      </c>
      <c r="E71" s="13"/>
      <c r="F71" s="13" t="s">
        <v>229</v>
      </c>
      <c r="G71" s="13"/>
      <c r="H71" s="13" t="s">
        <v>3739</v>
      </c>
      <c r="I71" s="13" t="s">
        <v>502</v>
      </c>
      <c r="J71" s="13"/>
    </row>
    <row r="72" spans="1:10" ht="102">
      <c r="A72" s="13" t="s">
        <v>3778</v>
      </c>
      <c r="B72" s="13" t="s">
        <v>575</v>
      </c>
      <c r="C72" s="13" t="s">
        <v>1072</v>
      </c>
      <c r="D72" s="13" t="s">
        <v>1322</v>
      </c>
      <c r="E72" s="13"/>
      <c r="F72" s="13" t="s">
        <v>229</v>
      </c>
      <c r="G72" s="13"/>
      <c r="H72" s="13" t="s">
        <v>3743</v>
      </c>
      <c r="I72" s="13" t="s">
        <v>502</v>
      </c>
      <c r="J72" s="13"/>
    </row>
    <row r="73" spans="1:10" ht="76.5">
      <c r="A73" s="13" t="s">
        <v>3779</v>
      </c>
      <c r="B73" s="13" t="s">
        <v>3734</v>
      </c>
      <c r="C73" s="13" t="s">
        <v>155</v>
      </c>
      <c r="D73" s="13" t="s">
        <v>3780</v>
      </c>
      <c r="E73" s="13"/>
      <c r="F73" s="13" t="s">
        <v>229</v>
      </c>
      <c r="G73" s="13"/>
      <c r="H73" s="13" t="s">
        <v>3746</v>
      </c>
      <c r="I73" s="13" t="s">
        <v>502</v>
      </c>
      <c r="J73" s="13"/>
    </row>
    <row r="74" spans="1:10" ht="102">
      <c r="A74" s="13" t="s">
        <v>3781</v>
      </c>
      <c r="B74" s="13" t="s">
        <v>714</v>
      </c>
      <c r="C74" s="13" t="s">
        <v>556</v>
      </c>
      <c r="D74" s="13" t="s">
        <v>3782</v>
      </c>
      <c r="E74" s="13"/>
      <c r="F74" s="13" t="s">
        <v>229</v>
      </c>
      <c r="G74" s="13"/>
      <c r="H74" s="13" t="s">
        <v>3749</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51">
      <c r="A78" s="13" t="s">
        <v>714</v>
      </c>
      <c r="B78" s="128">
        <v>0.5</v>
      </c>
      <c r="C78" s="128">
        <v>0.5</v>
      </c>
      <c r="D78" s="128">
        <v>0.5</v>
      </c>
      <c r="E78" s="128">
        <v>0.5</v>
      </c>
      <c r="F78" s="128">
        <v>0.5</v>
      </c>
      <c r="G78" s="13" t="s">
        <v>677</v>
      </c>
      <c r="H78" s="126">
        <v>0.5</v>
      </c>
      <c r="I78" s="13" t="s">
        <v>1201</v>
      </c>
      <c r="J78" s="13" t="s">
        <v>3783</v>
      </c>
    </row>
    <row r="79" spans="1:10" ht="51">
      <c r="A79" s="13" t="s">
        <v>3709</v>
      </c>
      <c r="B79" s="128">
        <v>0.5</v>
      </c>
      <c r="C79" s="128">
        <v>0.5</v>
      </c>
      <c r="D79" s="128">
        <v>0.5</v>
      </c>
      <c r="E79" s="128">
        <v>0.5</v>
      </c>
      <c r="F79" s="128">
        <v>0.5</v>
      </c>
      <c r="G79" s="13" t="s">
        <v>677</v>
      </c>
      <c r="H79" s="126">
        <v>0.5</v>
      </c>
      <c r="I79" s="13" t="s">
        <v>1201</v>
      </c>
      <c r="J79" s="13" t="s">
        <v>3784</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38.25">
      <c r="A82" s="50" t="s">
        <v>905</v>
      </c>
      <c r="B82" s="50" t="s">
        <v>842</v>
      </c>
      <c r="C82" s="50"/>
      <c r="D82" s="50"/>
      <c r="E82" s="50"/>
      <c r="F82" s="50"/>
      <c r="G82" s="50"/>
      <c r="H82" s="50"/>
      <c r="I82" s="50"/>
      <c r="J82" s="50"/>
    </row>
    <row r="83" spans="1:10">
      <c r="A83" s="13" t="s">
        <v>1086</v>
      </c>
      <c r="B83" s="594" t="s">
        <v>3785</v>
      </c>
      <c r="C83" s="896"/>
      <c r="D83" s="896"/>
      <c r="E83" s="896"/>
      <c r="F83" s="896"/>
      <c r="G83" s="896"/>
      <c r="H83" s="896"/>
      <c r="I83" s="896"/>
      <c r="J83" s="896"/>
    </row>
    <row r="84" spans="1:10" ht="25.5">
      <c r="A84" s="13" t="s">
        <v>1455</v>
      </c>
      <c r="B84" s="594" t="s">
        <v>3786</v>
      </c>
      <c r="C84" s="896"/>
      <c r="D84" s="896"/>
      <c r="E84" s="896"/>
      <c r="F84" s="896"/>
      <c r="G84" s="896"/>
      <c r="H84" s="896"/>
      <c r="I84" s="896"/>
      <c r="J84" s="896"/>
    </row>
    <row r="85" spans="1:10">
      <c r="A85" s="13" t="s">
        <v>1089</v>
      </c>
      <c r="B85" s="594" t="s">
        <v>3787</v>
      </c>
      <c r="C85" s="896"/>
      <c r="D85" s="896"/>
      <c r="E85" s="896"/>
      <c r="F85" s="896"/>
      <c r="G85" s="896"/>
      <c r="H85" s="896"/>
      <c r="I85" s="896"/>
      <c r="J85" s="896"/>
    </row>
    <row r="86" spans="1:10">
      <c r="A86" s="13" t="s">
        <v>1090</v>
      </c>
      <c r="B86" s="594" t="s">
        <v>3788</v>
      </c>
      <c r="C86" s="896"/>
      <c r="D86" s="896"/>
      <c r="E86" s="896"/>
      <c r="F86" s="896"/>
      <c r="G86" s="896"/>
      <c r="H86" s="896"/>
      <c r="I86" s="896"/>
      <c r="J86" s="896"/>
    </row>
    <row r="87" spans="1:10">
      <c r="A87" s="13" t="s">
        <v>1088</v>
      </c>
      <c r="B87" s="594" t="s">
        <v>3789</v>
      </c>
      <c r="C87" s="896"/>
      <c r="D87" s="896"/>
      <c r="E87" s="896"/>
      <c r="F87" s="896"/>
      <c r="G87" s="896"/>
      <c r="H87" s="896"/>
      <c r="I87" s="896"/>
      <c r="J87" s="896"/>
    </row>
    <row r="88" spans="1:10">
      <c r="A88" s="13" t="s">
        <v>1092</v>
      </c>
      <c r="B88" s="594" t="s">
        <v>3790</v>
      </c>
      <c r="C88" s="896"/>
      <c r="D88" s="896"/>
      <c r="E88" s="896"/>
      <c r="F88" s="896"/>
      <c r="G88" s="896"/>
      <c r="H88" s="896"/>
      <c r="I88" s="896"/>
      <c r="J88" s="896"/>
    </row>
    <row r="89" spans="1:10">
      <c r="A89" s="13" t="s">
        <v>1563</v>
      </c>
      <c r="B89" s="594" t="s">
        <v>1776</v>
      </c>
      <c r="C89" s="896"/>
      <c r="D89" s="896"/>
      <c r="E89" s="896"/>
      <c r="F89" s="896"/>
      <c r="G89" s="896"/>
      <c r="H89" s="896"/>
      <c r="I89" s="896"/>
      <c r="J89" s="896"/>
    </row>
    <row r="90" spans="1:10" ht="15.75" thickBot="1"/>
    <row r="91" spans="1:10">
      <c r="A91" s="605" t="s">
        <v>5668</v>
      </c>
      <c r="B91" s="602"/>
      <c r="C91" s="602"/>
      <c r="D91" s="606"/>
      <c r="E91" s="602"/>
      <c r="F91" s="602"/>
      <c r="G91" s="606"/>
      <c r="H91" s="606"/>
      <c r="I91" s="606"/>
      <c r="J91" s="607"/>
    </row>
    <row r="92" spans="1:10">
      <c r="A92" s="321" t="s">
        <v>5610</v>
      </c>
      <c r="B92" s="322" t="s">
        <v>77</v>
      </c>
      <c r="C92" s="322" t="s">
        <v>5611</v>
      </c>
      <c r="D92" s="322" t="s">
        <v>5612</v>
      </c>
      <c r="E92" s="322" t="s">
        <v>5634</v>
      </c>
      <c r="F92" s="322" t="s">
        <v>5601</v>
      </c>
      <c r="G92" s="578" t="s">
        <v>5635</v>
      </c>
      <c r="H92" s="578"/>
      <c r="I92" s="578"/>
      <c r="J92" s="579"/>
    </row>
    <row r="93" spans="1:10" ht="25.5">
      <c r="A93" s="323" t="s">
        <v>5613</v>
      </c>
      <c r="B93" s="333" t="s">
        <v>484</v>
      </c>
      <c r="C93" s="325">
        <v>0</v>
      </c>
      <c r="D93" s="325">
        <v>0</v>
      </c>
      <c r="E93" s="192" t="s">
        <v>5674</v>
      </c>
      <c r="F93" s="325">
        <f>IF(AND(C93&lt;&gt;"",D93&lt;&gt;""),D93-C93,"")</f>
        <v>0</v>
      </c>
      <c r="G93" s="608"/>
      <c r="H93" s="608"/>
      <c r="I93" s="608"/>
      <c r="J93" s="609"/>
    </row>
    <row r="94" spans="1:10" ht="25.5">
      <c r="A94" s="326" t="s">
        <v>5614</v>
      </c>
      <c r="B94" s="333" t="s">
        <v>484</v>
      </c>
      <c r="C94" s="327">
        <v>1</v>
      </c>
      <c r="D94" s="327">
        <v>0</v>
      </c>
      <c r="E94" s="310" t="s">
        <v>5675</v>
      </c>
      <c r="F94" s="327">
        <f>IF(AND(C94&lt;&gt;"",D94&lt;&gt;""),D94-C94,"")</f>
        <v>-1</v>
      </c>
      <c r="G94" s="610"/>
      <c r="H94" s="610"/>
      <c r="I94" s="610"/>
      <c r="J94" s="611"/>
    </row>
    <row r="95" spans="1:10">
      <c r="A95" s="323" t="s">
        <v>5615</v>
      </c>
      <c r="B95" s="333" t="s">
        <v>484</v>
      </c>
      <c r="C95" s="327">
        <v>1</v>
      </c>
      <c r="D95" s="327">
        <v>0</v>
      </c>
      <c r="E95" s="310" t="s">
        <v>5675</v>
      </c>
      <c r="F95" s="325">
        <f>IF(AND(C95&lt;&gt;"",D95&lt;&gt;""),D95-C95,"")</f>
        <v>-1</v>
      </c>
      <c r="G95" s="328"/>
      <c r="H95" s="227"/>
      <c r="I95" s="227"/>
      <c r="J95" s="329"/>
    </row>
    <row r="96" spans="1:10">
      <c r="A96" s="326" t="s">
        <v>5616</v>
      </c>
      <c r="B96" s="333" t="s">
        <v>484</v>
      </c>
      <c r="C96" s="327">
        <v>1</v>
      </c>
      <c r="D96" s="327">
        <v>0</v>
      </c>
      <c r="E96" s="310" t="s">
        <v>5675</v>
      </c>
      <c r="F96" s="327">
        <f>IF(AND(C96&lt;&gt;"",D96&lt;&gt;""),D96-C96,"")</f>
        <v>-1</v>
      </c>
      <c r="G96" s="610"/>
      <c r="H96" s="610"/>
      <c r="I96" s="610"/>
      <c r="J96" s="611"/>
    </row>
    <row r="97" spans="1:10">
      <c r="A97" s="323" t="s">
        <v>5168</v>
      </c>
      <c r="B97" s="333" t="s">
        <v>484</v>
      </c>
      <c r="C97" s="327">
        <v>1</v>
      </c>
      <c r="D97" s="327">
        <v>0</v>
      </c>
      <c r="E97" s="310" t="s">
        <v>5675</v>
      </c>
      <c r="F97" s="325">
        <f>IF(AND(C97&lt;&gt;"",D97&lt;&gt;""),D97-C97,"")</f>
        <v>-1</v>
      </c>
      <c r="G97" s="328"/>
      <c r="H97" s="227"/>
      <c r="I97" s="227"/>
      <c r="J97" s="329"/>
    </row>
    <row r="98" spans="1:10" ht="15.75">
      <c r="A98" s="585" t="s">
        <v>5636</v>
      </c>
      <c r="B98" s="586"/>
      <c r="C98" s="330">
        <f>IFERROR(AVERAGE(C93:C97),"")</f>
        <v>0.8</v>
      </c>
      <c r="D98" s="330">
        <f>IFERROR(AVERAGE(D93:D97),"")</f>
        <v>0</v>
      </c>
      <c r="E98" s="589" t="s">
        <v>5637</v>
      </c>
      <c r="F98" s="589"/>
      <c r="G98" s="589"/>
      <c r="H98" s="589"/>
      <c r="I98" s="589"/>
      <c r="J98" s="590"/>
    </row>
    <row r="99" spans="1:10">
      <c r="A99" s="331"/>
      <c r="B99" s="316"/>
      <c r="C99" s="316"/>
      <c r="D99" s="316"/>
      <c r="E99" s="316"/>
      <c r="F99" s="316"/>
      <c r="G99" s="316"/>
      <c r="H99" s="227"/>
      <c r="I99" s="227"/>
      <c r="J99" s="329"/>
    </row>
    <row r="100" spans="1:10">
      <c r="A100" s="574" t="s">
        <v>5669</v>
      </c>
      <c r="B100" s="582"/>
      <c r="C100" s="582"/>
      <c r="D100" s="575"/>
      <c r="E100" s="582"/>
      <c r="F100" s="582"/>
      <c r="G100" s="575"/>
      <c r="H100" s="575"/>
      <c r="I100" s="575"/>
      <c r="J100" s="576"/>
    </row>
    <row r="101" spans="1:10">
      <c r="A101" s="321" t="s">
        <v>4946</v>
      </c>
      <c r="B101" s="322" t="s">
        <v>77</v>
      </c>
      <c r="C101" s="322" t="s">
        <v>5676</v>
      </c>
      <c r="D101" s="322" t="s">
        <v>482</v>
      </c>
      <c r="E101" s="322" t="s">
        <v>572</v>
      </c>
      <c r="F101" s="322" t="s">
        <v>5639</v>
      </c>
      <c r="G101" s="578" t="s">
        <v>5640</v>
      </c>
      <c r="H101" s="578"/>
      <c r="I101" s="578"/>
      <c r="J101" s="579"/>
    </row>
    <row r="102" spans="1:10" ht="25.5">
      <c r="A102" s="326" t="s">
        <v>5602</v>
      </c>
      <c r="B102" s="333" t="s">
        <v>484</v>
      </c>
      <c r="C102" s="332" t="s">
        <v>679</v>
      </c>
      <c r="D102" s="324" t="s">
        <v>679</v>
      </c>
      <c r="E102" s="332">
        <f>IF(D102="Yes",1,0)</f>
        <v>0</v>
      </c>
      <c r="F102" s="580"/>
      <c r="G102" s="580"/>
      <c r="H102" s="580"/>
      <c r="I102" s="580"/>
      <c r="J102" s="581"/>
    </row>
    <row r="103" spans="1:10">
      <c r="A103" s="323" t="s">
        <v>995</v>
      </c>
      <c r="B103" s="333" t="s">
        <v>484</v>
      </c>
      <c r="C103" s="332" t="s">
        <v>679</v>
      </c>
      <c r="D103" s="324" t="s">
        <v>679</v>
      </c>
      <c r="E103" s="324">
        <f t="shared" ref="E103:E109" si="0">IF(D103="Yes",1,0)</f>
        <v>0</v>
      </c>
      <c r="F103" s="580"/>
      <c r="G103" s="580"/>
      <c r="H103" s="580"/>
      <c r="I103" s="580"/>
      <c r="J103" s="581"/>
    </row>
    <row r="104" spans="1:10">
      <c r="A104" s="326" t="s">
        <v>5603</v>
      </c>
      <c r="B104" s="333" t="s">
        <v>484</v>
      </c>
      <c r="C104" s="332" t="s">
        <v>679</v>
      </c>
      <c r="D104" s="324" t="s">
        <v>679</v>
      </c>
      <c r="E104" s="332">
        <f t="shared" si="0"/>
        <v>0</v>
      </c>
      <c r="F104" s="580"/>
      <c r="G104" s="580"/>
      <c r="H104" s="580"/>
      <c r="I104" s="580"/>
      <c r="J104" s="581"/>
    </row>
    <row r="105" spans="1:10">
      <c r="A105" s="323" t="s">
        <v>5617</v>
      </c>
      <c r="B105" s="333" t="s">
        <v>484</v>
      </c>
      <c r="C105" s="332" t="s">
        <v>679</v>
      </c>
      <c r="D105" s="324" t="s">
        <v>679</v>
      </c>
      <c r="E105" s="324">
        <f t="shared" si="0"/>
        <v>0</v>
      </c>
      <c r="F105" s="580"/>
      <c r="G105" s="580"/>
      <c r="H105" s="580"/>
      <c r="I105" s="580"/>
      <c r="J105" s="581"/>
    </row>
    <row r="106" spans="1:10" ht="38.25">
      <c r="A106" s="326" t="s">
        <v>5618</v>
      </c>
      <c r="B106" s="333" t="s">
        <v>484</v>
      </c>
      <c r="C106" s="332" t="s">
        <v>679</v>
      </c>
      <c r="D106" s="324" t="s">
        <v>679</v>
      </c>
      <c r="E106" s="332">
        <f t="shared" si="0"/>
        <v>0</v>
      </c>
      <c r="F106" s="580"/>
      <c r="G106" s="580"/>
      <c r="H106" s="580"/>
      <c r="I106" s="580"/>
      <c r="J106" s="581"/>
    </row>
    <row r="107" spans="1:10" ht="25.5">
      <c r="A107" s="323" t="s">
        <v>5619</v>
      </c>
      <c r="B107" s="333" t="s">
        <v>484</v>
      </c>
      <c r="C107" s="332" t="s">
        <v>679</v>
      </c>
      <c r="D107" s="324" t="s">
        <v>679</v>
      </c>
      <c r="E107" s="324">
        <f t="shared" si="0"/>
        <v>0</v>
      </c>
      <c r="F107" s="580"/>
      <c r="G107" s="580"/>
      <c r="H107" s="580"/>
      <c r="I107" s="580"/>
      <c r="J107" s="581"/>
    </row>
    <row r="108" spans="1:10">
      <c r="A108" s="326" t="s">
        <v>5604</v>
      </c>
      <c r="B108" s="333" t="s">
        <v>484</v>
      </c>
      <c r="C108" s="332" t="s">
        <v>679</v>
      </c>
      <c r="D108" s="324" t="s">
        <v>679</v>
      </c>
      <c r="E108" s="332">
        <f t="shared" si="0"/>
        <v>0</v>
      </c>
      <c r="F108" s="580"/>
      <c r="G108" s="580"/>
      <c r="H108" s="580"/>
      <c r="I108" s="580"/>
      <c r="J108" s="581"/>
    </row>
    <row r="109" spans="1:10" ht="25.5">
      <c r="A109" s="323" t="s">
        <v>5605</v>
      </c>
      <c r="B109" s="333" t="s">
        <v>484</v>
      </c>
      <c r="C109" s="332" t="s">
        <v>679</v>
      </c>
      <c r="D109" s="324" t="s">
        <v>679</v>
      </c>
      <c r="E109" s="324">
        <f t="shared" si="0"/>
        <v>0</v>
      </c>
      <c r="F109" s="580"/>
      <c r="G109" s="580"/>
      <c r="H109" s="580"/>
      <c r="I109" s="580"/>
      <c r="J109" s="581"/>
    </row>
    <row r="110" spans="1:10" ht="15.75">
      <c r="A110" s="585" t="s">
        <v>5641</v>
      </c>
      <c r="B110" s="586"/>
      <c r="C110" s="587" t="str">
        <f>IFERROR(SUM(E102:E109)/COUNTIF(C102:C109,"Yes"),"")</f>
        <v/>
      </c>
      <c r="D110" s="588"/>
      <c r="E110" s="589" t="s">
        <v>5642</v>
      </c>
      <c r="F110" s="589"/>
      <c r="G110" s="589"/>
      <c r="H110" s="589"/>
      <c r="I110" s="589"/>
      <c r="J110" s="590"/>
    </row>
    <row r="111" spans="1:10">
      <c r="A111" s="331"/>
      <c r="B111" s="316"/>
      <c r="C111" s="316"/>
      <c r="D111" s="316"/>
      <c r="E111" s="316"/>
      <c r="F111" s="316"/>
      <c r="G111" s="316"/>
      <c r="H111" s="227"/>
      <c r="I111" s="227"/>
      <c r="J111" s="329"/>
    </row>
    <row r="112" spans="1:10">
      <c r="A112" s="574" t="s">
        <v>5670</v>
      </c>
      <c r="B112" s="582"/>
      <c r="C112" s="582"/>
      <c r="D112" s="575"/>
      <c r="E112" s="582"/>
      <c r="F112" s="582"/>
      <c r="G112" s="575"/>
      <c r="H112" s="575"/>
      <c r="I112" s="575"/>
      <c r="J112" s="576"/>
    </row>
    <row r="113" spans="1:10">
      <c r="A113" s="321" t="s">
        <v>5643</v>
      </c>
      <c r="B113" s="322" t="s">
        <v>77</v>
      </c>
      <c r="C113" s="322" t="s">
        <v>5620</v>
      </c>
      <c r="D113" s="322" t="s">
        <v>5621</v>
      </c>
      <c r="E113" s="322" t="s">
        <v>5622</v>
      </c>
      <c r="F113" s="322" t="s">
        <v>5644</v>
      </c>
      <c r="G113" s="578" t="s">
        <v>5645</v>
      </c>
      <c r="H113" s="578"/>
      <c r="I113" s="578"/>
      <c r="J113" s="579"/>
    </row>
    <row r="114" spans="1:10" ht="25.5">
      <c r="A114" s="326" t="s">
        <v>5623</v>
      </c>
      <c r="B114" s="332" t="s">
        <v>484</v>
      </c>
      <c r="C114" s="332" t="s">
        <v>1096</v>
      </c>
      <c r="D114" s="332" t="s">
        <v>1096</v>
      </c>
      <c r="E114" s="332" t="s">
        <v>1096</v>
      </c>
      <c r="F114" s="332" t="s">
        <v>348</v>
      </c>
      <c r="G114" s="583"/>
      <c r="H114" s="583"/>
      <c r="I114" s="583"/>
      <c r="J114" s="584"/>
    </row>
    <row r="115" spans="1:10">
      <c r="A115" s="323" t="s">
        <v>5624</v>
      </c>
      <c r="B115" s="332" t="s">
        <v>484</v>
      </c>
      <c r="C115" s="332" t="s">
        <v>1096</v>
      </c>
      <c r="D115" s="332" t="s">
        <v>1096</v>
      </c>
      <c r="E115" s="332" t="s">
        <v>1096</v>
      </c>
      <c r="F115" s="332" t="s">
        <v>348</v>
      </c>
      <c r="G115" s="583"/>
      <c r="H115" s="583"/>
      <c r="I115" s="583"/>
      <c r="J115" s="584"/>
    </row>
    <row r="116" spans="1:10">
      <c r="A116" s="326" t="s">
        <v>5646</v>
      </c>
      <c r="B116" s="332" t="s">
        <v>484</v>
      </c>
      <c r="C116" s="332" t="s">
        <v>1096</v>
      </c>
      <c r="D116" s="332" t="s">
        <v>1096</v>
      </c>
      <c r="E116" s="332" t="s">
        <v>1096</v>
      </c>
      <c r="F116" s="332" t="s">
        <v>348</v>
      </c>
      <c r="G116" s="583"/>
      <c r="H116" s="583"/>
      <c r="I116" s="583"/>
      <c r="J116" s="584"/>
    </row>
    <row r="117" spans="1:10">
      <c r="A117" s="323" t="s">
        <v>5625</v>
      </c>
      <c r="B117" s="332" t="s">
        <v>484</v>
      </c>
      <c r="C117" s="332" t="s">
        <v>1096</v>
      </c>
      <c r="D117" s="332" t="s">
        <v>1096</v>
      </c>
      <c r="E117" s="332" t="s">
        <v>1096</v>
      </c>
      <c r="F117" s="332" t="s">
        <v>348</v>
      </c>
      <c r="G117" s="583"/>
      <c r="H117" s="583"/>
      <c r="I117" s="583"/>
      <c r="J117" s="584"/>
    </row>
    <row r="118" spans="1:10" ht="25.5">
      <c r="A118" s="326" t="s">
        <v>5626</v>
      </c>
      <c r="B118" s="332" t="s">
        <v>484</v>
      </c>
      <c r="C118" s="332" t="s">
        <v>1096</v>
      </c>
      <c r="D118" s="332" t="s">
        <v>1096</v>
      </c>
      <c r="E118" s="332" t="s">
        <v>1096</v>
      </c>
      <c r="F118" s="332" t="s">
        <v>348</v>
      </c>
      <c r="G118" s="583"/>
      <c r="H118" s="583"/>
      <c r="I118" s="583"/>
      <c r="J118" s="584"/>
    </row>
    <row r="119" spans="1:10" ht="15.75">
      <c r="A119" s="585" t="s">
        <v>5677</v>
      </c>
      <c r="B119" s="586"/>
      <c r="C119" s="587">
        <f>IFERROR(COUNTIF(E114:E118,"Yes")/COUNTA(A114:A118),"")</f>
        <v>0</v>
      </c>
      <c r="D119" s="588"/>
      <c r="E119" s="589" t="s">
        <v>5648</v>
      </c>
      <c r="F119" s="589"/>
      <c r="G119" s="589"/>
      <c r="H119" s="589"/>
      <c r="I119" s="589"/>
      <c r="J119" s="590"/>
    </row>
    <row r="120" spans="1:10">
      <c r="A120" s="331"/>
      <c r="B120" s="316"/>
      <c r="C120" s="316"/>
      <c r="D120" s="316"/>
      <c r="E120" s="316"/>
      <c r="F120" s="316"/>
      <c r="G120" s="599"/>
      <c r="H120" s="599"/>
      <c r="I120" s="599"/>
      <c r="J120" s="600"/>
    </row>
    <row r="121" spans="1:10">
      <c r="A121" s="574" t="s">
        <v>5671</v>
      </c>
      <c r="B121" s="582"/>
      <c r="C121" s="582"/>
      <c r="D121" s="575"/>
      <c r="E121" s="582"/>
      <c r="F121" s="582"/>
      <c r="G121" s="575"/>
      <c r="H121" s="575"/>
      <c r="I121" s="575"/>
      <c r="J121" s="576"/>
    </row>
    <row r="122" spans="1:10">
      <c r="A122" s="322" t="s">
        <v>5606</v>
      </c>
      <c r="B122" s="322" t="s">
        <v>77</v>
      </c>
      <c r="C122" s="322" t="s">
        <v>5627</v>
      </c>
      <c r="D122" s="322" t="s">
        <v>5628</v>
      </c>
      <c r="E122" s="322" t="s">
        <v>5629</v>
      </c>
      <c r="F122" s="322" t="s">
        <v>5630</v>
      </c>
      <c r="G122" s="578" t="s">
        <v>5678</v>
      </c>
      <c r="H122" s="578"/>
      <c r="I122" s="578"/>
      <c r="J122" s="578"/>
    </row>
    <row r="123" spans="1:10">
      <c r="A123" s="328" t="s">
        <v>153</v>
      </c>
      <c r="B123" s="324" t="s">
        <v>484</v>
      </c>
      <c r="C123" s="324"/>
      <c r="D123" s="324"/>
      <c r="E123" s="324"/>
      <c r="F123" s="325" t="str">
        <f>IFERROR(D123/C123,"")</f>
        <v/>
      </c>
      <c r="G123" s="572"/>
      <c r="H123" s="572"/>
      <c r="I123" s="572"/>
      <c r="J123" s="572"/>
    </row>
    <row r="124" spans="1:10">
      <c r="A124" s="335" t="s">
        <v>155</v>
      </c>
      <c r="B124" s="332" t="s">
        <v>484</v>
      </c>
      <c r="C124" s="332"/>
      <c r="D124" s="332"/>
      <c r="E124" s="332"/>
      <c r="F124" s="327" t="str">
        <f>IFERROR(D124/C124,"")</f>
        <v/>
      </c>
      <c r="G124" s="572"/>
      <c r="H124" s="572"/>
      <c r="I124" s="572"/>
      <c r="J124" s="572"/>
    </row>
    <row r="125" spans="1:10">
      <c r="A125" s="328" t="s">
        <v>4821</v>
      </c>
      <c r="B125" s="324" t="s">
        <v>484</v>
      </c>
      <c r="C125" s="324"/>
      <c r="D125" s="324"/>
      <c r="E125" s="324"/>
      <c r="F125" s="325" t="str">
        <f>IFERROR(D125/C125,"")</f>
        <v/>
      </c>
      <c r="G125" s="572"/>
      <c r="H125" s="572"/>
      <c r="I125" s="572"/>
      <c r="J125" s="572"/>
    </row>
    <row r="126" spans="1:10">
      <c r="A126" s="335" t="s">
        <v>957</v>
      </c>
      <c r="B126" s="332" t="s">
        <v>484</v>
      </c>
      <c r="C126" s="332"/>
      <c r="D126" s="332"/>
      <c r="E126" s="332"/>
      <c r="F126" s="327" t="str">
        <f>IFERROR(D126/C126,"")</f>
        <v/>
      </c>
      <c r="G126" s="572"/>
      <c r="H126" s="572"/>
      <c r="I126" s="572"/>
      <c r="J126" s="572"/>
    </row>
    <row r="127" spans="1:10">
      <c r="A127" s="597" t="s">
        <v>5649</v>
      </c>
      <c r="B127" s="597"/>
      <c r="C127" s="597"/>
      <c r="D127" s="597"/>
      <c r="E127" s="589" t="s">
        <v>5650</v>
      </c>
      <c r="F127" s="589"/>
      <c r="G127" s="589"/>
      <c r="H127" s="589"/>
      <c r="I127" s="589"/>
      <c r="J127" s="589"/>
    </row>
    <row r="128" spans="1:10">
      <c r="A128" s="597"/>
      <c r="B128" s="597"/>
      <c r="C128" s="597"/>
      <c r="D128" s="597"/>
      <c r="E128" s="589"/>
      <c r="F128" s="589"/>
      <c r="G128" s="589"/>
      <c r="H128" s="589"/>
      <c r="I128" s="589"/>
      <c r="J128" s="589"/>
    </row>
    <row r="129" spans="1:10">
      <c r="A129" s="575" t="s">
        <v>5672</v>
      </c>
      <c r="B129" s="575"/>
      <c r="C129" s="575"/>
      <c r="D129" s="575"/>
      <c r="E129" s="575"/>
      <c r="F129" s="575"/>
      <c r="G129" s="575"/>
      <c r="H129" s="575"/>
      <c r="I129" s="575"/>
      <c r="J129" s="575"/>
    </row>
    <row r="130" spans="1:10">
      <c r="A130" s="322" t="s">
        <v>4946</v>
      </c>
      <c r="B130" s="322" t="s">
        <v>77</v>
      </c>
      <c r="C130" s="322" t="s">
        <v>5638</v>
      </c>
      <c r="D130" s="322" t="s">
        <v>482</v>
      </c>
      <c r="E130" s="322" t="s">
        <v>572</v>
      </c>
      <c r="F130" s="322" t="s">
        <v>944</v>
      </c>
      <c r="G130" s="578" t="s">
        <v>5640</v>
      </c>
      <c r="H130" s="578"/>
      <c r="I130" s="578"/>
      <c r="J130" s="578"/>
    </row>
    <row r="131" spans="1:10" ht="25.5">
      <c r="A131" s="328" t="s">
        <v>5607</v>
      </c>
      <c r="B131" s="324" t="s">
        <v>484</v>
      </c>
      <c r="C131" s="324" t="s">
        <v>392</v>
      </c>
      <c r="D131" s="324" t="s">
        <v>1096</v>
      </c>
      <c r="E131" s="324">
        <f t="shared" ref="E131:E136" si="1">IF(D131="Yes",1,0)</f>
        <v>0</v>
      </c>
      <c r="F131" s="324"/>
      <c r="G131" s="572"/>
      <c r="H131" s="572"/>
      <c r="I131" s="572"/>
      <c r="J131" s="572"/>
    </row>
    <row r="132" spans="1:10">
      <c r="A132" s="335" t="s">
        <v>5608</v>
      </c>
      <c r="B132" s="324" t="s">
        <v>484</v>
      </c>
      <c r="C132" s="332" t="s">
        <v>392</v>
      </c>
      <c r="D132" s="324" t="s">
        <v>1096</v>
      </c>
      <c r="E132" s="332">
        <f t="shared" si="1"/>
        <v>0</v>
      </c>
      <c r="F132" s="332"/>
      <c r="G132" s="572"/>
      <c r="H132" s="572"/>
      <c r="I132" s="572"/>
      <c r="J132" s="572"/>
    </row>
    <row r="133" spans="1:10" ht="25.5">
      <c r="A133" s="328" t="s">
        <v>5609</v>
      </c>
      <c r="B133" s="324" t="s">
        <v>484</v>
      </c>
      <c r="C133" s="324" t="s">
        <v>392</v>
      </c>
      <c r="D133" s="324" t="s">
        <v>1096</v>
      </c>
      <c r="E133" s="324">
        <f t="shared" si="1"/>
        <v>0</v>
      </c>
      <c r="F133" s="324"/>
      <c r="G133" s="572"/>
      <c r="H133" s="572"/>
      <c r="I133" s="572"/>
      <c r="J133" s="572"/>
    </row>
    <row r="134" spans="1:10">
      <c r="A134" s="335" t="s">
        <v>5631</v>
      </c>
      <c r="B134" s="324" t="s">
        <v>484</v>
      </c>
      <c r="C134" s="332" t="s">
        <v>392</v>
      </c>
      <c r="D134" s="324" t="s">
        <v>1096</v>
      </c>
      <c r="E134" s="332">
        <f t="shared" si="1"/>
        <v>0</v>
      </c>
      <c r="F134" s="332"/>
      <c r="G134" s="572"/>
      <c r="H134" s="572"/>
      <c r="I134" s="572"/>
      <c r="J134" s="572"/>
    </row>
    <row r="135" spans="1:10" ht="25.5">
      <c r="A135" s="328" t="s">
        <v>5632</v>
      </c>
      <c r="B135" s="324" t="s">
        <v>484</v>
      </c>
      <c r="C135" s="324" t="s">
        <v>392</v>
      </c>
      <c r="D135" s="324" t="s">
        <v>1096</v>
      </c>
      <c r="E135" s="324">
        <f t="shared" si="1"/>
        <v>0</v>
      </c>
      <c r="F135" s="324"/>
      <c r="G135" s="572"/>
      <c r="H135" s="572"/>
      <c r="I135" s="572"/>
      <c r="J135" s="572"/>
    </row>
    <row r="136" spans="1:10" ht="25.5">
      <c r="A136" s="335" t="s">
        <v>5633</v>
      </c>
      <c r="B136" s="324" t="s">
        <v>484</v>
      </c>
      <c r="C136" s="332" t="s">
        <v>392</v>
      </c>
      <c r="D136" s="332" t="s">
        <v>1096</v>
      </c>
      <c r="E136" s="332">
        <f t="shared" si="1"/>
        <v>0</v>
      </c>
      <c r="F136" s="332"/>
      <c r="G136" s="572"/>
      <c r="H136" s="572"/>
      <c r="I136" s="572"/>
      <c r="J136" s="572"/>
    </row>
    <row r="137" spans="1:10" ht="15.75">
      <c r="A137" s="930" t="s">
        <v>5651</v>
      </c>
      <c r="B137" s="586"/>
      <c r="C137" s="587">
        <f>IFERROR(SUM(E131:E136)/COUNTIF(C131:C136,"Yes"),"")</f>
        <v>0</v>
      </c>
      <c r="D137" s="588"/>
      <c r="E137" s="589" t="s">
        <v>5652</v>
      </c>
      <c r="F137" s="589"/>
      <c r="G137" s="589"/>
      <c r="H137" s="589"/>
      <c r="I137" s="589"/>
      <c r="J137" s="589"/>
    </row>
    <row r="138" spans="1:10">
      <c r="A138" s="192"/>
      <c r="B138" s="192"/>
      <c r="C138" s="192"/>
      <c r="D138" s="192"/>
      <c r="E138" s="192"/>
      <c r="F138" s="192"/>
      <c r="G138" s="192"/>
      <c r="H138" s="192"/>
      <c r="I138" s="192"/>
      <c r="J138" s="192"/>
    </row>
    <row r="139" spans="1:10">
      <c r="A139" s="575" t="s">
        <v>5673</v>
      </c>
      <c r="B139" s="582"/>
      <c r="C139" s="582"/>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594" t="s">
        <v>3292</v>
      </c>
      <c r="C141" s="582"/>
      <c r="D141" s="582"/>
      <c r="E141" s="582"/>
      <c r="F141" s="582"/>
      <c r="G141" s="582"/>
      <c r="H141" s="582"/>
      <c r="I141" s="582"/>
      <c r="J141" s="582"/>
    </row>
    <row r="142" spans="1:10" ht="25.5">
      <c r="A142" s="315" t="s">
        <v>2090</v>
      </c>
      <c r="B142" s="594" t="s">
        <v>3293</v>
      </c>
      <c r="C142" s="582"/>
      <c r="D142" s="582"/>
      <c r="E142" s="582"/>
      <c r="F142" s="582"/>
      <c r="G142" s="582"/>
      <c r="H142" s="582"/>
      <c r="I142" s="582"/>
      <c r="J142" s="582"/>
    </row>
    <row r="143" spans="1:10">
      <c r="A143" s="315" t="s">
        <v>1089</v>
      </c>
      <c r="B143" s="594" t="s">
        <v>3294</v>
      </c>
      <c r="C143" s="582"/>
      <c r="D143" s="582"/>
      <c r="E143" s="582"/>
      <c r="F143" s="582"/>
      <c r="G143" s="582"/>
      <c r="H143" s="582"/>
      <c r="I143" s="582"/>
      <c r="J143" s="582"/>
    </row>
    <row r="144" spans="1:10">
      <c r="A144" s="315" t="s">
        <v>1090</v>
      </c>
      <c r="B144" s="594" t="s">
        <v>3295</v>
      </c>
      <c r="C144" s="582"/>
      <c r="D144" s="582"/>
      <c r="E144" s="582"/>
      <c r="F144" s="582"/>
      <c r="G144" s="582"/>
      <c r="H144" s="582"/>
      <c r="I144" s="582"/>
      <c r="J144" s="582"/>
    </row>
    <row r="145" spans="1:10">
      <c r="A145" s="315" t="s">
        <v>1088</v>
      </c>
      <c r="B145" s="594" t="s">
        <v>3296</v>
      </c>
      <c r="C145" s="582"/>
      <c r="D145" s="582"/>
      <c r="E145" s="582"/>
      <c r="F145" s="582"/>
      <c r="G145" s="582"/>
      <c r="H145" s="582"/>
      <c r="I145" s="582"/>
      <c r="J145" s="582"/>
    </row>
    <row r="146" spans="1:10" ht="25.5">
      <c r="A146" s="315" t="s">
        <v>3297</v>
      </c>
      <c r="B146" s="594" t="s">
        <v>3298</v>
      </c>
      <c r="C146" s="582"/>
      <c r="D146" s="582"/>
      <c r="E146" s="582"/>
      <c r="F146" s="582"/>
      <c r="G146" s="582"/>
      <c r="H146" s="582"/>
      <c r="I146" s="582"/>
      <c r="J146" s="582"/>
    </row>
    <row r="147" spans="1:10">
      <c r="A147" s="315" t="s">
        <v>1563</v>
      </c>
      <c r="B147" s="594" t="s">
        <v>1776</v>
      </c>
      <c r="C147" s="582"/>
      <c r="D147" s="582"/>
      <c r="E147" s="582"/>
      <c r="F147" s="582"/>
      <c r="G147" s="582"/>
      <c r="H147" s="582"/>
      <c r="I147" s="582"/>
      <c r="J147" s="582"/>
    </row>
    <row r="148" spans="1:10">
      <c r="A148" s="227"/>
      <c r="B148" s="227"/>
      <c r="C148" s="227"/>
      <c r="D148" s="227"/>
      <c r="E148" s="227"/>
      <c r="F148" s="227"/>
      <c r="G148" s="227"/>
      <c r="H148" s="227"/>
      <c r="I148" s="227"/>
      <c r="J148" s="227"/>
    </row>
    <row r="149" spans="1:10" ht="18">
      <c r="A149" s="598" t="s">
        <v>5562</v>
      </c>
      <c r="B149" s="598"/>
      <c r="C149" s="598"/>
      <c r="D149" s="598"/>
      <c r="E149" s="598"/>
      <c r="F149" s="598"/>
      <c r="G149" s="598"/>
      <c r="H149" s="598"/>
      <c r="I149" s="227"/>
      <c r="J149" s="227"/>
    </row>
    <row r="150" spans="1:10">
      <c r="A150" s="272" t="s">
        <v>2</v>
      </c>
      <c r="B150" s="591" t="s">
        <v>5563</v>
      </c>
      <c r="C150" s="591"/>
      <c r="D150" s="591"/>
      <c r="E150" s="591"/>
      <c r="F150" s="591"/>
      <c r="G150" s="591"/>
      <c r="H150" s="591"/>
      <c r="I150" s="227"/>
      <c r="J150" s="227"/>
    </row>
    <row r="151" spans="1:10">
      <c r="A151" s="272" t="s">
        <v>5564</v>
      </c>
      <c r="B151" s="591" t="s">
        <v>5565</v>
      </c>
      <c r="C151" s="591"/>
      <c r="D151" s="591"/>
      <c r="E151" s="591"/>
      <c r="F151" s="591"/>
      <c r="G151" s="591"/>
      <c r="H151" s="591"/>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577" t="s">
        <v>5585</v>
      </c>
      <c r="C163" s="577"/>
      <c r="D163" s="577"/>
      <c r="E163" s="577" t="s">
        <v>5586</v>
      </c>
      <c r="F163" s="577"/>
      <c r="G163" s="577"/>
      <c r="H163" s="192"/>
      <c r="I163" s="227"/>
      <c r="J163" s="227"/>
    </row>
    <row r="164" spans="1:10">
      <c r="A164" s="287" t="s">
        <v>5571</v>
      </c>
      <c r="B164" s="577" t="s">
        <v>5587</v>
      </c>
      <c r="C164" s="577"/>
      <c r="D164" s="577"/>
      <c r="E164" s="577" t="s">
        <v>5588</v>
      </c>
      <c r="F164" s="577"/>
      <c r="G164" s="577"/>
      <c r="H164" s="192"/>
      <c r="I164" s="227"/>
      <c r="J164" s="227"/>
    </row>
    <row r="165" spans="1:10">
      <c r="A165" s="287" t="s">
        <v>5572</v>
      </c>
      <c r="B165" s="577" t="s">
        <v>5589</v>
      </c>
      <c r="C165" s="577"/>
      <c r="D165" s="577"/>
      <c r="E165" s="577" t="s">
        <v>5590</v>
      </c>
      <c r="F165" s="577"/>
      <c r="G165" s="577"/>
      <c r="H165" s="192"/>
      <c r="I165" s="227"/>
      <c r="J165" s="227"/>
    </row>
    <row r="166" spans="1:10">
      <c r="A166" s="287" t="s">
        <v>5168</v>
      </c>
      <c r="B166" s="577" t="s">
        <v>5591</v>
      </c>
      <c r="C166" s="577"/>
      <c r="D166" s="577"/>
      <c r="E166" s="577" t="s">
        <v>5592</v>
      </c>
      <c r="F166" s="577"/>
      <c r="G166" s="577"/>
      <c r="H166" s="192"/>
      <c r="I166" s="227"/>
      <c r="J166" s="227"/>
    </row>
    <row r="167" spans="1:10">
      <c r="A167" s="287" t="s">
        <v>5573</v>
      </c>
      <c r="B167" s="577" t="s">
        <v>5593</v>
      </c>
      <c r="C167" s="577"/>
      <c r="D167" s="577"/>
      <c r="E167" s="577" t="s">
        <v>5594</v>
      </c>
      <c r="F167" s="577"/>
      <c r="G167" s="577"/>
      <c r="H167" s="192"/>
      <c r="I167" s="227"/>
      <c r="J167" s="227"/>
    </row>
    <row r="168" spans="1:10">
      <c r="A168" s="287" t="s">
        <v>5574</v>
      </c>
      <c r="B168" s="577" t="s">
        <v>5595</v>
      </c>
      <c r="C168" s="577"/>
      <c r="D168" s="577"/>
      <c r="E168" s="577" t="s">
        <v>5596</v>
      </c>
      <c r="F168" s="577"/>
      <c r="G168" s="577"/>
      <c r="H168" s="192"/>
      <c r="I168" s="227"/>
      <c r="J168" s="227"/>
    </row>
    <row r="169" spans="1:10">
      <c r="A169" s="287" t="s">
        <v>178</v>
      </c>
      <c r="B169" s="577" t="s">
        <v>5597</v>
      </c>
      <c r="C169" s="577"/>
      <c r="D169" s="577"/>
      <c r="E169" s="577" t="s">
        <v>5598</v>
      </c>
      <c r="F169" s="577"/>
      <c r="G169" s="577"/>
      <c r="H169" s="192"/>
      <c r="I169" s="227"/>
      <c r="J169" s="227"/>
    </row>
    <row r="170" spans="1:10" ht="25.5">
      <c r="A170" s="287" t="s">
        <v>5575</v>
      </c>
      <c r="B170" s="577" t="s">
        <v>5599</v>
      </c>
      <c r="C170" s="577"/>
      <c r="D170" s="577"/>
      <c r="E170" s="577" t="s">
        <v>5600</v>
      </c>
      <c r="F170" s="577"/>
      <c r="G170" s="577"/>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575" t="s">
        <v>5694</v>
      </c>
      <c r="B177" s="575"/>
      <c r="C177" s="575"/>
      <c r="D177" s="575"/>
      <c r="E177" s="575"/>
      <c r="F177" s="575"/>
      <c r="G177" s="575"/>
      <c r="H177" s="575"/>
      <c r="I177" s="575"/>
      <c r="J177" s="575"/>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5" t="s">
        <v>5695</v>
      </c>
      <c r="B188" s="575"/>
      <c r="C188" s="575"/>
      <c r="D188" s="575"/>
      <c r="E188" s="575"/>
      <c r="F188" s="575"/>
      <c r="G188" s="575"/>
      <c r="H188" s="575"/>
      <c r="I188" s="575"/>
      <c r="J188" s="575"/>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5" t="s">
        <v>5696</v>
      </c>
      <c r="B198" s="575"/>
      <c r="C198" s="575"/>
      <c r="D198" s="575"/>
      <c r="E198" s="575"/>
      <c r="F198" s="575"/>
      <c r="G198" s="575"/>
      <c r="H198" s="575"/>
      <c r="I198" s="575"/>
      <c r="J198" s="575"/>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5" t="s">
        <v>5697</v>
      </c>
      <c r="B210" s="575"/>
      <c r="C210" s="575"/>
      <c r="D210" s="575"/>
      <c r="E210" s="575"/>
      <c r="F210" s="575"/>
      <c r="G210" s="575"/>
      <c r="H210" s="575"/>
      <c r="I210" s="575"/>
      <c r="J210" s="575"/>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599"/>
      <c r="H232" s="599"/>
      <c r="I232" s="599"/>
      <c r="J232" s="599"/>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247" priority="21">
      <formula>B93="Complete"</formula>
    </cfRule>
    <cfRule type="expression" dxfId="246" priority="22">
      <formula>B93="In Progress"</formula>
    </cfRule>
    <cfRule type="expression" dxfId="245" priority="23">
      <formula>B93="At Risk"</formula>
    </cfRule>
    <cfRule type="expression" dxfId="244" priority="24">
      <formula>B93="Blocked"</formula>
    </cfRule>
    <cfRule type="expression" dxfId="243" priority="25">
      <formula>B93="Not Started"</formula>
    </cfRule>
  </conditionalFormatting>
  <conditionalFormatting sqref="B102:B109">
    <cfRule type="expression" dxfId="242" priority="1">
      <formula>B102="Complete"</formula>
    </cfRule>
    <cfRule type="expression" dxfId="241" priority="2">
      <formula>B102="In Progress"</formula>
    </cfRule>
    <cfRule type="expression" dxfId="240" priority="3">
      <formula>B102="At Risk"</formula>
    </cfRule>
    <cfRule type="expression" dxfId="239" priority="4">
      <formula>B102="Blocked"</formula>
    </cfRule>
    <cfRule type="expression" dxfId="238" priority="5">
      <formula>B102="Not Started"</formula>
    </cfRule>
  </conditionalFormatting>
  <conditionalFormatting sqref="B114:B118">
    <cfRule type="expression" dxfId="237" priority="30">
      <formula>B114="Not Started"</formula>
    </cfRule>
    <cfRule type="expression" dxfId="236" priority="29">
      <formula>B114="Blocked"</formula>
    </cfRule>
    <cfRule type="expression" dxfId="235" priority="28">
      <formula>B114="At Risk"</formula>
    </cfRule>
    <cfRule type="expression" dxfId="234" priority="27">
      <formula>B114="In Progress"</formula>
    </cfRule>
    <cfRule type="expression" dxfId="233" priority="26">
      <formula>B114="Complete"</formula>
    </cfRule>
  </conditionalFormatting>
  <conditionalFormatting sqref="B123:B126">
    <cfRule type="expression" dxfId="232" priority="6">
      <formula>B123="Complete"</formula>
    </cfRule>
    <cfRule type="expression" dxfId="231" priority="7">
      <formula>B123="In Progress"</formula>
    </cfRule>
    <cfRule type="expression" dxfId="230" priority="8">
      <formula>B123="At Risk"</formula>
    </cfRule>
    <cfRule type="expression" dxfId="229" priority="9">
      <formula>B123="Blocked"</formula>
    </cfRule>
    <cfRule type="expression" dxfId="228" priority="10">
      <formula>B123="Not Started"</formula>
    </cfRule>
  </conditionalFormatting>
  <conditionalFormatting sqref="B131:B136">
    <cfRule type="expression" dxfId="227" priority="11">
      <formula>B131="Complete"</formula>
    </cfRule>
    <cfRule type="expression" dxfId="226" priority="12">
      <formula>B131="In Progress"</formula>
    </cfRule>
    <cfRule type="expression" dxfId="225" priority="13">
      <formula>B131="At Risk"</formula>
    </cfRule>
    <cfRule type="expression" dxfId="224" priority="14">
      <formula>B131="Blocked"</formula>
    </cfRule>
    <cfRule type="expression" dxfId="223" priority="15">
      <formula>B131="Not Started"</formula>
    </cfRule>
  </conditionalFormatting>
  <conditionalFormatting sqref="B154:B161">
    <cfRule type="expression" dxfId="222" priority="82">
      <formula>B154="Yes"</formula>
    </cfRule>
    <cfRule type="expression" dxfId="221" priority="83">
      <formula>B154="N/A"</formula>
    </cfRule>
    <cfRule type="expression" dxfId="220" priority="84">
      <formula>B154="No"</formula>
    </cfRule>
  </conditionalFormatting>
  <conditionalFormatting sqref="B171:H171">
    <cfRule type="expression" dxfId="219" priority="86">
      <formula>COUNTIF($B$6:$B$13,"No")&gt;0</formula>
    </cfRule>
    <cfRule type="expression" dxfId="218"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217" priority="32">
      <formula>C102="No"</formula>
    </cfRule>
    <cfRule type="expression" dxfId="216" priority="31">
      <formula>C102="Yes"</formula>
    </cfRule>
    <cfRule type="expression" dxfId="215"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4" priority="17">
      <formula>C131="No"</formula>
    </cfRule>
    <cfRule type="expression" dxfId="213" priority="16">
      <formula>C131="Yes"</formula>
    </cfRule>
    <cfRule type="expression" dxfId="212"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1" priority="87">
      <formula>E5="Pass"</formula>
    </cfRule>
    <cfRule type="expression" dxfId="210" priority="88">
      <formula>E5="Verify"</formula>
    </cfRule>
    <cfRule type="expression" dxfId="209" priority="89">
      <formula>E5="Fail"</formula>
    </cfRule>
    <cfRule type="expression" dxfId="208" priority="90">
      <formula>E5="Not Started"</formula>
    </cfRule>
  </conditionalFormatting>
  <conditionalFormatting sqref="F3">
    <cfRule type="expression" dxfId="207" priority="91">
      <formula>F3="Yes"</formula>
    </cfRule>
    <cfRule type="expression" dxfId="206" priority="92">
      <formula>F3="No"</formula>
    </cfRule>
  </conditionalFormatting>
  <conditionalFormatting sqref="F114:F118">
    <cfRule type="expression" dxfId="205" priority="35">
      <formula>F114="Fail"</formula>
    </cfRule>
    <cfRule type="expression" dxfId="204" priority="36">
      <formula>F114="Pending"</formula>
    </cfRule>
    <cfRule type="expression" dxfId="203" priority="34">
      <formula>F114="Pass"</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Lookup_Lists!$A$36:$A$42</xm:f>
          </x14:formula1>
          <xm:sqref>B93:B97 B102:B109 B131:B136</xm:sqref>
        </x14:dataValidation>
        <x14:dataValidation type="list" allowBlank="1" showInputMessage="1" showErrorMessage="1" xr:uid="{13E6E4F1-4C92-4676-88C0-52EDD9C65731}">
          <x14:formula1>
            <xm:f>Lookup_Lists!$L$37:$L$39</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35"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ht="112.5">
      <c r="A1" s="116" t="s">
        <v>3791</v>
      </c>
      <c r="B1" s="116"/>
      <c r="C1" s="116"/>
      <c r="D1" s="116"/>
      <c r="E1" s="116"/>
      <c r="F1" s="116"/>
      <c r="G1" s="116"/>
      <c r="H1" s="116"/>
      <c r="I1" s="116"/>
      <c r="J1" s="116"/>
    </row>
    <row r="2" spans="1:10" s="223" customFormat="1" ht="16.899999999999999" customHeight="1">
      <c r="A2" s="219" t="s">
        <v>142</v>
      </c>
      <c r="B2" s="220" t="s">
        <v>388</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46199.459450497678</v>
      </c>
      <c r="C3" s="225" t="s">
        <v>904</v>
      </c>
      <c r="D3" s="226" t="s">
        <v>721</v>
      </c>
      <c r="E3" s="219" t="s">
        <v>905</v>
      </c>
      <c r="F3" s="226" t="s">
        <v>3792</v>
      </c>
      <c r="G3" s="219" t="s">
        <v>907</v>
      </c>
      <c r="H3" s="226" t="s">
        <v>908</v>
      </c>
      <c r="I3" s="219" t="s">
        <v>551</v>
      </c>
      <c r="J3" s="226" t="s">
        <v>3793</v>
      </c>
    </row>
    <row r="4" spans="1:10" s="227" customFormat="1" ht="266.45" customHeight="1">
      <c r="A4" s="219" t="s">
        <v>161</v>
      </c>
      <c r="B4" s="226">
        <v>0</v>
      </c>
      <c r="C4" s="219" t="s">
        <v>199</v>
      </c>
      <c r="D4" s="226">
        <v>0</v>
      </c>
      <c r="E4" s="219" t="s">
        <v>179</v>
      </c>
      <c r="F4" s="226">
        <v>0</v>
      </c>
      <c r="G4" s="219" t="s">
        <v>870</v>
      </c>
      <c r="H4" s="228" t="s">
        <v>3794</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33" customHeight="1">
      <c r="A6" s="234" t="s">
        <v>916</v>
      </c>
      <c r="B6" s="382" t="s">
        <v>2760</v>
      </c>
      <c r="C6" s="235" t="s">
        <v>869</v>
      </c>
      <c r="D6" s="604" t="s">
        <v>3795</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388</v>
      </c>
      <c r="B10" s="13" t="s">
        <v>714</v>
      </c>
      <c r="C10" s="13" t="s">
        <v>919</v>
      </c>
      <c r="D10" s="13" t="s">
        <v>3796</v>
      </c>
      <c r="E10" s="13" t="s">
        <v>2764</v>
      </c>
      <c r="F10" s="13">
        <v>1</v>
      </c>
      <c r="G10" s="13">
        <v>0</v>
      </c>
      <c r="H10" s="13" t="s">
        <v>677</v>
      </c>
      <c r="I10" s="13" t="s">
        <v>3797</v>
      </c>
      <c r="J10" s="13" t="s">
        <v>3798</v>
      </c>
    </row>
    <row r="11" spans="1:10" ht="89.25">
      <c r="A11" s="13" t="s">
        <v>388</v>
      </c>
      <c r="B11" s="13" t="s">
        <v>3799</v>
      </c>
      <c r="C11" s="13" t="s">
        <v>919</v>
      </c>
      <c r="D11" s="13" t="s">
        <v>3800</v>
      </c>
      <c r="E11" s="13" t="s">
        <v>925</v>
      </c>
      <c r="F11" s="13">
        <v>1</v>
      </c>
      <c r="G11" s="13">
        <v>0</v>
      </c>
      <c r="H11" s="13" t="s">
        <v>677</v>
      </c>
      <c r="I11" s="13" t="s">
        <v>3801</v>
      </c>
      <c r="J11" s="13" t="s">
        <v>3802</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89.25">
      <c r="A15" s="13" t="s">
        <v>714</v>
      </c>
      <c r="B15" s="13" t="s">
        <v>677</v>
      </c>
      <c r="C15" s="13" t="s">
        <v>677</v>
      </c>
      <c r="D15" s="13" t="s">
        <v>3803</v>
      </c>
      <c r="E15" s="13" t="s">
        <v>677</v>
      </c>
      <c r="F15" s="13" t="s">
        <v>947</v>
      </c>
      <c r="G15" s="13" t="s">
        <v>677</v>
      </c>
      <c r="H15" s="13" t="s">
        <v>677</v>
      </c>
      <c r="I15" s="13" t="s">
        <v>677</v>
      </c>
      <c r="J15" s="13" t="s">
        <v>3804</v>
      </c>
    </row>
    <row r="16" spans="1:10" ht="51">
      <c r="A16" s="13" t="s">
        <v>3799</v>
      </c>
      <c r="B16" s="13" t="s">
        <v>946</v>
      </c>
      <c r="C16" s="13" t="s">
        <v>946</v>
      </c>
      <c r="D16" s="13" t="s">
        <v>946</v>
      </c>
      <c r="E16" s="13" t="s">
        <v>677</v>
      </c>
      <c r="F16" s="13" t="s">
        <v>947</v>
      </c>
      <c r="G16" s="13" t="s">
        <v>677</v>
      </c>
      <c r="H16" s="13" t="s">
        <v>677</v>
      </c>
      <c r="I16" s="13" t="s">
        <v>677</v>
      </c>
      <c r="J16" s="13" t="s">
        <v>3805</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6.5">
      <c r="A20" s="13" t="s">
        <v>714</v>
      </c>
      <c r="B20" s="13" t="s">
        <v>2774</v>
      </c>
      <c r="C20" s="13" t="s">
        <v>679</v>
      </c>
      <c r="D20" s="13" t="s">
        <v>947</v>
      </c>
      <c r="E20" s="13" t="s">
        <v>947</v>
      </c>
      <c r="F20" s="13" t="s">
        <v>1238</v>
      </c>
      <c r="G20" s="13" t="s">
        <v>677</v>
      </c>
      <c r="H20" s="13" t="s">
        <v>677</v>
      </c>
      <c r="I20" s="13" t="s">
        <v>677</v>
      </c>
      <c r="J20" s="13" t="s">
        <v>3806</v>
      </c>
    </row>
    <row r="21" spans="1:10" ht="38.25">
      <c r="A21" s="13" t="s">
        <v>3799</v>
      </c>
      <c r="B21" s="13" t="s">
        <v>946</v>
      </c>
      <c r="C21" s="13" t="s">
        <v>679</v>
      </c>
      <c r="D21" s="13" t="s">
        <v>947</v>
      </c>
      <c r="E21" s="13" t="s">
        <v>947</v>
      </c>
      <c r="F21" s="13" t="s">
        <v>1238</v>
      </c>
      <c r="G21" s="13" t="s">
        <v>677</v>
      </c>
      <c r="H21" s="13" t="s">
        <v>677</v>
      </c>
      <c r="I21" s="13" t="s">
        <v>677</v>
      </c>
      <c r="J21" s="13" t="s">
        <v>3807</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114.75">
      <c r="A25" s="13" t="s">
        <v>714</v>
      </c>
      <c r="B25" s="13" t="s">
        <v>972</v>
      </c>
      <c r="C25" s="13" t="s">
        <v>677</v>
      </c>
      <c r="D25" s="13" t="s">
        <v>677</v>
      </c>
      <c r="E25" s="13" t="s">
        <v>677</v>
      </c>
      <c r="F25" s="13" t="s">
        <v>677</v>
      </c>
      <c r="G25" s="13" t="s">
        <v>677</v>
      </c>
      <c r="H25" s="13" t="s">
        <v>677</v>
      </c>
      <c r="I25" s="13" t="s">
        <v>677</v>
      </c>
      <c r="J25" s="13" t="s">
        <v>3808</v>
      </c>
    </row>
    <row r="26" spans="1:10" ht="63.75">
      <c r="A26" s="13" t="s">
        <v>3799</v>
      </c>
      <c r="B26" s="13" t="s">
        <v>946</v>
      </c>
      <c r="C26" s="13" t="s">
        <v>677</v>
      </c>
      <c r="D26" s="13" t="s">
        <v>677</v>
      </c>
      <c r="E26" s="13" t="s">
        <v>677</v>
      </c>
      <c r="F26" s="13" t="s">
        <v>677</v>
      </c>
      <c r="G26" s="13" t="s">
        <v>677</v>
      </c>
      <c r="H26" s="13" t="s">
        <v>677</v>
      </c>
      <c r="I26" s="13" t="s">
        <v>677</v>
      </c>
      <c r="J26" s="13" t="s">
        <v>3809</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714</v>
      </c>
      <c r="B30" s="13" t="s">
        <v>677</v>
      </c>
      <c r="C30" s="13" t="s">
        <v>3810</v>
      </c>
      <c r="D30" s="13" t="s">
        <v>677</v>
      </c>
      <c r="E30" s="13" t="s">
        <v>677</v>
      </c>
      <c r="F30" s="13" t="s">
        <v>3811</v>
      </c>
      <c r="G30" s="13" t="s">
        <v>677</v>
      </c>
      <c r="H30" s="13" t="s">
        <v>677</v>
      </c>
      <c r="I30" s="13" t="s">
        <v>677</v>
      </c>
      <c r="J30" s="13" t="s">
        <v>3812</v>
      </c>
    </row>
    <row r="31" spans="1:10" ht="76.5">
      <c r="A31" s="13" t="s">
        <v>3799</v>
      </c>
      <c r="B31" s="13" t="s">
        <v>988</v>
      </c>
      <c r="C31" s="13" t="s">
        <v>2686</v>
      </c>
      <c r="D31" s="13" t="s">
        <v>988</v>
      </c>
      <c r="E31" s="13" t="s">
        <v>677</v>
      </c>
      <c r="F31" s="13" t="s">
        <v>946</v>
      </c>
      <c r="G31" s="13" t="s">
        <v>677</v>
      </c>
      <c r="H31" s="13" t="s">
        <v>677</v>
      </c>
      <c r="I31" s="13" t="s">
        <v>677</v>
      </c>
      <c r="J31" s="13" t="s">
        <v>3721</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714</v>
      </c>
      <c r="B35" s="13" t="s">
        <v>677</v>
      </c>
      <c r="C35" s="13" t="s">
        <v>677</v>
      </c>
      <c r="D35" s="13" t="s">
        <v>677</v>
      </c>
      <c r="E35" s="13" t="s">
        <v>677</v>
      </c>
      <c r="F35" s="13" t="s">
        <v>677</v>
      </c>
      <c r="G35" s="13" t="s">
        <v>677</v>
      </c>
      <c r="H35" s="13" t="s">
        <v>677</v>
      </c>
      <c r="I35" s="13" t="s">
        <v>677</v>
      </c>
      <c r="J35" s="13" t="s">
        <v>3813</v>
      </c>
    </row>
    <row r="36" spans="1:10" ht="76.5">
      <c r="A36" s="13" t="s">
        <v>3799</v>
      </c>
      <c r="B36" s="13" t="s">
        <v>988</v>
      </c>
      <c r="C36" s="13" t="s">
        <v>988</v>
      </c>
      <c r="D36" s="13" t="s">
        <v>988</v>
      </c>
      <c r="E36" s="13" t="s">
        <v>677</v>
      </c>
      <c r="F36" s="13" t="s">
        <v>677</v>
      </c>
      <c r="G36" s="13" t="s">
        <v>677</v>
      </c>
      <c r="H36" s="13" t="s">
        <v>677</v>
      </c>
      <c r="I36" s="13" t="s">
        <v>677</v>
      </c>
      <c r="J36" s="13" t="s">
        <v>3814</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714</v>
      </c>
      <c r="B40" s="13" t="s">
        <v>1238</v>
      </c>
      <c r="C40" s="13" t="s">
        <v>1238</v>
      </c>
      <c r="D40" s="13" t="s">
        <v>1238</v>
      </c>
      <c r="E40" s="13" t="s">
        <v>1238</v>
      </c>
      <c r="F40" s="13" t="s">
        <v>947</v>
      </c>
      <c r="G40" s="13" t="s">
        <v>947</v>
      </c>
      <c r="H40" s="13" t="s">
        <v>677</v>
      </c>
      <c r="I40" s="13" t="s">
        <v>677</v>
      </c>
      <c r="J40" s="13" t="s">
        <v>3815</v>
      </c>
    </row>
    <row r="41" spans="1:10" ht="63.75">
      <c r="A41" s="13" t="s">
        <v>3799</v>
      </c>
      <c r="B41" s="13" t="s">
        <v>1238</v>
      </c>
      <c r="C41" s="13" t="s">
        <v>1238</v>
      </c>
      <c r="D41" s="13" t="s">
        <v>1238</v>
      </c>
      <c r="E41" s="13" t="s">
        <v>1238</v>
      </c>
      <c r="F41" s="13" t="s">
        <v>947</v>
      </c>
      <c r="G41" s="13" t="s">
        <v>947</v>
      </c>
      <c r="H41" s="13" t="s">
        <v>677</v>
      </c>
      <c r="I41" s="13" t="s">
        <v>677</v>
      </c>
      <c r="J41" s="13" t="s">
        <v>3816</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3817</v>
      </c>
      <c r="B45" s="13" t="s">
        <v>575</v>
      </c>
      <c r="C45" s="13" t="s">
        <v>3818</v>
      </c>
      <c r="D45" s="62" t="s">
        <v>391</v>
      </c>
      <c r="E45" s="13" t="s">
        <v>488</v>
      </c>
      <c r="F45" s="13">
        <v>6</v>
      </c>
      <c r="G45" s="13" t="s">
        <v>1381</v>
      </c>
      <c r="H45" s="13" t="s">
        <v>1023</v>
      </c>
      <c r="I45" s="13" t="s">
        <v>502</v>
      </c>
      <c r="J45" s="13" t="s">
        <v>3819</v>
      </c>
    </row>
    <row r="46" spans="1:10" ht="76.5">
      <c r="A46" s="13" t="s">
        <v>3820</v>
      </c>
      <c r="B46" s="13" t="s">
        <v>3821</v>
      </c>
      <c r="C46" s="13" t="s">
        <v>3822</v>
      </c>
      <c r="D46" s="62" t="s">
        <v>492</v>
      </c>
      <c r="E46" s="13" t="s">
        <v>488</v>
      </c>
      <c r="F46" s="13">
        <v>8</v>
      </c>
      <c r="G46" s="13" t="s">
        <v>1025</v>
      </c>
      <c r="H46" s="13" t="s">
        <v>584</v>
      </c>
      <c r="I46" s="13" t="s">
        <v>502</v>
      </c>
      <c r="J46" s="13" t="s">
        <v>3823</v>
      </c>
    </row>
    <row r="47" spans="1:10" ht="89.25">
      <c r="A47" s="13" t="s">
        <v>3824</v>
      </c>
      <c r="B47" s="13" t="s">
        <v>714</v>
      </c>
      <c r="C47" s="13" t="s">
        <v>3825</v>
      </c>
      <c r="D47" s="62" t="s">
        <v>391</v>
      </c>
      <c r="E47" s="13" t="s">
        <v>488</v>
      </c>
      <c r="F47" s="13">
        <v>6</v>
      </c>
      <c r="G47" s="13" t="s">
        <v>3826</v>
      </c>
      <c r="H47" s="13" t="s">
        <v>1505</v>
      </c>
      <c r="I47" s="13" t="s">
        <v>502</v>
      </c>
      <c r="J47" s="13" t="s">
        <v>3827</v>
      </c>
    </row>
    <row r="48" spans="1:10" ht="76.5">
      <c r="A48" s="13" t="s">
        <v>3828</v>
      </c>
      <c r="B48" s="13" t="s">
        <v>714</v>
      </c>
      <c r="C48" s="13" t="s">
        <v>593</v>
      </c>
      <c r="D48" s="62" t="s">
        <v>492</v>
      </c>
      <c r="E48" s="13" t="s">
        <v>488</v>
      </c>
      <c r="F48" s="13">
        <v>8</v>
      </c>
      <c r="G48" s="13" t="s">
        <v>3829</v>
      </c>
      <c r="H48" s="13" t="s">
        <v>592</v>
      </c>
      <c r="I48" s="13" t="s">
        <v>502</v>
      </c>
      <c r="J48" s="13" t="s">
        <v>3830</v>
      </c>
    </row>
    <row r="49" spans="1:10" ht="76.5">
      <c r="A49" s="13" t="s">
        <v>3831</v>
      </c>
      <c r="B49" s="13" t="s">
        <v>714</v>
      </c>
      <c r="C49" s="13" t="s">
        <v>2806</v>
      </c>
      <c r="D49" s="62" t="s">
        <v>391</v>
      </c>
      <c r="E49" s="13" t="s">
        <v>488</v>
      </c>
      <c r="F49" s="13">
        <v>6</v>
      </c>
      <c r="G49" s="13" t="s">
        <v>3832</v>
      </c>
      <c r="H49" s="13" t="s">
        <v>2808</v>
      </c>
      <c r="I49" s="13" t="s">
        <v>502</v>
      </c>
      <c r="J49" s="13" t="s">
        <v>2809</v>
      </c>
    </row>
    <row r="50" spans="1:10" ht="76.5">
      <c r="A50" s="13" t="s">
        <v>3833</v>
      </c>
      <c r="B50" s="13" t="s">
        <v>575</v>
      </c>
      <c r="C50" s="13" t="s">
        <v>3834</v>
      </c>
      <c r="D50" s="62" t="s">
        <v>391</v>
      </c>
      <c r="E50" s="13" t="s">
        <v>488</v>
      </c>
      <c r="F50" s="13">
        <v>6</v>
      </c>
      <c r="G50" s="13" t="s">
        <v>3835</v>
      </c>
      <c r="H50" s="13" t="s">
        <v>1037</v>
      </c>
      <c r="I50" s="13" t="s">
        <v>502</v>
      </c>
      <c r="J50" s="13" t="s">
        <v>3836</v>
      </c>
    </row>
    <row r="51" spans="1:10" ht="89.25">
      <c r="A51" s="13" t="s">
        <v>3837</v>
      </c>
      <c r="B51" s="13" t="s">
        <v>575</v>
      </c>
      <c r="C51" s="13" t="s">
        <v>2815</v>
      </c>
      <c r="D51" s="62" t="s">
        <v>391</v>
      </c>
      <c r="E51" s="13" t="s">
        <v>488</v>
      </c>
      <c r="F51" s="13">
        <v>6</v>
      </c>
      <c r="G51" s="13" t="s">
        <v>2816</v>
      </c>
      <c r="H51" s="13" t="s">
        <v>622</v>
      </c>
      <c r="I51" s="13" t="s">
        <v>502</v>
      </c>
      <c r="J51" s="13" t="s">
        <v>2938</v>
      </c>
    </row>
    <row r="52" spans="1:10" ht="102">
      <c r="A52" s="13" t="s">
        <v>3838</v>
      </c>
      <c r="B52" s="13" t="s">
        <v>575</v>
      </c>
      <c r="C52" s="13" t="s">
        <v>2819</v>
      </c>
      <c r="D52" s="62" t="s">
        <v>391</v>
      </c>
      <c r="E52" s="13" t="s">
        <v>488</v>
      </c>
      <c r="F52" s="13">
        <v>6</v>
      </c>
      <c r="G52" s="13" t="s">
        <v>3839</v>
      </c>
      <c r="H52" s="13" t="s">
        <v>1049</v>
      </c>
      <c r="I52" s="13" t="s">
        <v>502</v>
      </c>
      <c r="J52" s="13" t="s">
        <v>2940</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6.5">
      <c r="A56" s="13" t="s">
        <v>3840</v>
      </c>
      <c r="B56" s="13" t="s">
        <v>3841</v>
      </c>
      <c r="C56" s="13" t="s">
        <v>579</v>
      </c>
      <c r="D56" s="13" t="s">
        <v>502</v>
      </c>
      <c r="E56" s="13"/>
      <c r="F56" s="13"/>
      <c r="G56" s="13" t="s">
        <v>2619</v>
      </c>
      <c r="H56" s="13"/>
      <c r="I56" s="13"/>
      <c r="J56" s="13"/>
    </row>
    <row r="57" spans="1:10" ht="51">
      <c r="A57" s="13" t="s">
        <v>3842</v>
      </c>
      <c r="B57" s="13" t="s">
        <v>3843</v>
      </c>
      <c r="C57" s="13" t="s">
        <v>587</v>
      </c>
      <c r="D57" s="13" t="s">
        <v>502</v>
      </c>
      <c r="E57" s="13"/>
      <c r="F57" s="13"/>
      <c r="G57" s="13" t="s">
        <v>588</v>
      </c>
      <c r="H57" s="13"/>
      <c r="I57" s="13"/>
      <c r="J57" s="13"/>
    </row>
    <row r="58" spans="1:10" ht="76.5">
      <c r="A58" s="13" t="s">
        <v>3844</v>
      </c>
      <c r="B58" s="13" t="s">
        <v>3845</v>
      </c>
      <c r="C58" s="13" t="s">
        <v>3846</v>
      </c>
      <c r="D58" s="13" t="s">
        <v>502</v>
      </c>
      <c r="E58" s="13"/>
      <c r="F58" s="13"/>
      <c r="G58" s="13" t="s">
        <v>3847</v>
      </c>
      <c r="H58" s="13"/>
      <c r="I58" s="13"/>
      <c r="J58" s="13"/>
    </row>
    <row r="59" spans="1:10" ht="76.5">
      <c r="A59" s="13" t="s">
        <v>3848</v>
      </c>
      <c r="B59" s="13" t="s">
        <v>3759</v>
      </c>
      <c r="C59" s="13" t="s">
        <v>601</v>
      </c>
      <c r="D59" s="13" t="s">
        <v>502</v>
      </c>
      <c r="E59" s="13"/>
      <c r="F59" s="13"/>
      <c r="G59" s="13" t="s">
        <v>602</v>
      </c>
      <c r="H59" s="13"/>
      <c r="I59" s="13"/>
      <c r="J59" s="13"/>
    </row>
    <row r="60" spans="1:10" ht="89.25">
      <c r="A60" s="13" t="s">
        <v>3849</v>
      </c>
      <c r="B60" s="13" t="s">
        <v>3043</v>
      </c>
      <c r="C60" s="13" t="s">
        <v>616</v>
      </c>
      <c r="D60" s="13" t="s">
        <v>502</v>
      </c>
      <c r="E60" s="13"/>
      <c r="F60" s="13"/>
      <c r="G60" s="13" t="s">
        <v>617</v>
      </c>
      <c r="H60" s="13"/>
      <c r="I60" s="13"/>
      <c r="J60" s="13"/>
    </row>
    <row r="61" spans="1:10" ht="63.75">
      <c r="A61" s="13" t="s">
        <v>3850</v>
      </c>
      <c r="B61" s="13" t="s">
        <v>3851</v>
      </c>
      <c r="C61" s="13" t="s">
        <v>2838</v>
      </c>
      <c r="D61" s="13" t="s">
        <v>502</v>
      </c>
      <c r="E61" s="13"/>
      <c r="F61" s="13"/>
      <c r="G61" s="13" t="s">
        <v>2839</v>
      </c>
      <c r="H61" s="13"/>
      <c r="I61" s="13"/>
      <c r="J61" s="13"/>
    </row>
    <row r="62" spans="1:10" ht="76.5">
      <c r="A62" s="13" t="s">
        <v>3852</v>
      </c>
      <c r="B62" s="13" t="s">
        <v>3853</v>
      </c>
      <c r="C62" s="13" t="s">
        <v>2834</v>
      </c>
      <c r="D62" s="13" t="s">
        <v>502</v>
      </c>
      <c r="E62" s="13"/>
      <c r="F62" s="13"/>
      <c r="G62" s="13" t="s">
        <v>2835</v>
      </c>
      <c r="H62" s="13"/>
      <c r="I62" s="13"/>
      <c r="J62" s="13"/>
    </row>
    <row r="63" spans="1:10" ht="76.5">
      <c r="A63" s="13" t="s">
        <v>3854</v>
      </c>
      <c r="B63" s="13" t="s">
        <v>3855</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2">
      <c r="A67" s="13" t="s">
        <v>3856</v>
      </c>
      <c r="B67" s="13" t="s">
        <v>714</v>
      </c>
      <c r="C67" s="13" t="s">
        <v>269</v>
      </c>
      <c r="D67" s="13" t="s">
        <v>3857</v>
      </c>
      <c r="E67" s="13"/>
      <c r="F67" s="13" t="s">
        <v>229</v>
      </c>
      <c r="G67" s="13"/>
      <c r="H67" s="13" t="s">
        <v>3858</v>
      </c>
      <c r="I67" s="13" t="s">
        <v>502</v>
      </c>
      <c r="J67" s="13"/>
    </row>
    <row r="68" spans="1:10" ht="114.75">
      <c r="A68" s="13" t="s">
        <v>3859</v>
      </c>
      <c r="B68" s="13" t="s">
        <v>3799</v>
      </c>
      <c r="C68" s="13" t="s">
        <v>269</v>
      </c>
      <c r="D68" s="13" t="s">
        <v>3860</v>
      </c>
      <c r="E68" s="13"/>
      <c r="F68" s="13" t="s">
        <v>229</v>
      </c>
      <c r="G68" s="13"/>
      <c r="H68" s="13" t="s">
        <v>3861</v>
      </c>
      <c r="I68" s="13" t="s">
        <v>502</v>
      </c>
      <c r="J68" s="13"/>
    </row>
    <row r="69" spans="1:10" ht="114.75">
      <c r="A69" s="13" t="s">
        <v>3862</v>
      </c>
      <c r="B69" s="13" t="s">
        <v>3821</v>
      </c>
      <c r="C69" s="13" t="s">
        <v>2640</v>
      </c>
      <c r="D69" s="13" t="s">
        <v>3863</v>
      </c>
      <c r="E69" s="13"/>
      <c r="F69" s="13" t="s">
        <v>229</v>
      </c>
      <c r="G69" s="13"/>
      <c r="H69" s="13" t="s">
        <v>3864</v>
      </c>
      <c r="I69" s="13" t="s">
        <v>502</v>
      </c>
      <c r="J69" s="13"/>
    </row>
    <row r="70" spans="1:10" ht="102">
      <c r="A70" s="13" t="s">
        <v>3865</v>
      </c>
      <c r="B70" s="13" t="s">
        <v>714</v>
      </c>
      <c r="C70" s="13" t="s">
        <v>148</v>
      </c>
      <c r="D70" s="13" t="s">
        <v>3866</v>
      </c>
      <c r="E70" s="13"/>
      <c r="F70" s="13" t="s">
        <v>229</v>
      </c>
      <c r="G70" s="13"/>
      <c r="H70" s="13" t="s">
        <v>3828</v>
      </c>
      <c r="I70" s="13" t="s">
        <v>502</v>
      </c>
      <c r="J70" s="13"/>
    </row>
    <row r="71" spans="1:10" ht="114.75">
      <c r="A71" s="13" t="s">
        <v>3867</v>
      </c>
      <c r="B71" s="13" t="s">
        <v>714</v>
      </c>
      <c r="C71" s="13" t="s">
        <v>153</v>
      </c>
      <c r="D71" s="13" t="s">
        <v>3868</v>
      </c>
      <c r="E71" s="13"/>
      <c r="F71" s="13" t="s">
        <v>229</v>
      </c>
      <c r="G71" s="13"/>
      <c r="H71" s="13" t="s">
        <v>3831</v>
      </c>
      <c r="I71" s="13" t="s">
        <v>502</v>
      </c>
      <c r="J71" s="13"/>
    </row>
    <row r="72" spans="1:10" ht="102">
      <c r="A72" s="13" t="s">
        <v>3869</v>
      </c>
      <c r="B72" s="13" t="s">
        <v>3821</v>
      </c>
      <c r="C72" s="13" t="s">
        <v>155</v>
      </c>
      <c r="D72" s="13" t="s">
        <v>3870</v>
      </c>
      <c r="E72" s="13"/>
      <c r="F72" s="13" t="s">
        <v>229</v>
      </c>
      <c r="G72" s="13"/>
      <c r="H72" s="13" t="s">
        <v>3871</v>
      </c>
      <c r="I72" s="13" t="s">
        <v>502</v>
      </c>
      <c r="J72" s="13"/>
    </row>
    <row r="73" spans="1:10" ht="63.75">
      <c r="A73" s="13" t="s">
        <v>3872</v>
      </c>
      <c r="B73" s="13" t="s">
        <v>575</v>
      </c>
      <c r="C73" s="13" t="s">
        <v>957</v>
      </c>
      <c r="D73" s="13" t="s">
        <v>2975</v>
      </c>
      <c r="E73" s="13"/>
      <c r="F73" s="13" t="s">
        <v>229</v>
      </c>
      <c r="G73" s="13"/>
      <c r="H73" s="13" t="s">
        <v>3837</v>
      </c>
      <c r="I73" s="13" t="s">
        <v>502</v>
      </c>
      <c r="J73" s="13"/>
    </row>
    <row r="74" spans="1:10" ht="76.5">
      <c r="A74" s="13" t="s">
        <v>3873</v>
      </c>
      <c r="B74" s="13" t="s">
        <v>575</v>
      </c>
      <c r="C74" s="13" t="s">
        <v>2865</v>
      </c>
      <c r="D74" s="13" t="s">
        <v>2866</v>
      </c>
      <c r="E74" s="13"/>
      <c r="F74" s="13" t="s">
        <v>229</v>
      </c>
      <c r="G74" s="13"/>
      <c r="H74" s="13" t="s">
        <v>3838</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3.75">
      <c r="A78" s="13" t="s">
        <v>714</v>
      </c>
      <c r="B78" s="126">
        <v>0.5</v>
      </c>
      <c r="C78" s="126">
        <v>0.5</v>
      </c>
      <c r="D78" s="126">
        <v>0.5</v>
      </c>
      <c r="E78" s="126">
        <v>0.5</v>
      </c>
      <c r="F78" s="126">
        <v>0.5</v>
      </c>
      <c r="G78" s="13" t="s">
        <v>677</v>
      </c>
      <c r="H78" s="126">
        <v>0.5</v>
      </c>
      <c r="I78" s="13" t="s">
        <v>1201</v>
      </c>
      <c r="J78" s="13" t="s">
        <v>3874</v>
      </c>
    </row>
    <row r="79" spans="1:10" ht="38.25">
      <c r="A79" s="13" t="s">
        <v>3799</v>
      </c>
      <c r="B79" s="126">
        <v>0.5</v>
      </c>
      <c r="C79" s="126">
        <v>0.5</v>
      </c>
      <c r="D79" s="126">
        <v>0.5</v>
      </c>
      <c r="E79" s="126">
        <v>0.5</v>
      </c>
      <c r="F79" s="126">
        <v>0.5</v>
      </c>
      <c r="G79" s="13" t="s">
        <v>677</v>
      </c>
      <c r="H79" s="126">
        <v>0.5</v>
      </c>
      <c r="I79" s="13" t="s">
        <v>1201</v>
      </c>
      <c r="J79" s="13" t="s">
        <v>3875</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51">
      <c r="A82" s="50" t="s">
        <v>905</v>
      </c>
      <c r="B82" s="50" t="s">
        <v>3876</v>
      </c>
      <c r="C82" s="50"/>
      <c r="D82" s="50"/>
      <c r="E82" s="50"/>
      <c r="F82" s="50"/>
      <c r="G82" s="50"/>
      <c r="H82" s="50"/>
      <c r="I82" s="50"/>
      <c r="J82" s="50"/>
    </row>
    <row r="83" spans="1:10">
      <c r="A83" s="13" t="s">
        <v>1086</v>
      </c>
      <c r="B83" s="594" t="s">
        <v>3877</v>
      </c>
      <c r="C83" s="896"/>
      <c r="D83" s="896"/>
      <c r="E83" s="896"/>
      <c r="F83" s="896"/>
      <c r="G83" s="896"/>
      <c r="H83" s="896"/>
      <c r="I83" s="896"/>
      <c r="J83" s="896"/>
    </row>
    <row r="84" spans="1:10">
      <c r="A84" s="13" t="s">
        <v>2194</v>
      </c>
      <c r="B84" s="594" t="s">
        <v>3878</v>
      </c>
      <c r="C84" s="896"/>
      <c r="D84" s="896"/>
      <c r="E84" s="896"/>
      <c r="F84" s="896"/>
      <c r="G84" s="896"/>
      <c r="H84" s="896"/>
      <c r="I84" s="896"/>
      <c r="J84" s="896"/>
    </row>
    <row r="85" spans="1:10">
      <c r="A85" s="13" t="s">
        <v>1088</v>
      </c>
      <c r="B85" s="594" t="s">
        <v>3879</v>
      </c>
      <c r="C85" s="896"/>
      <c r="D85" s="896"/>
      <c r="E85" s="896"/>
      <c r="F85" s="896"/>
      <c r="G85" s="896"/>
      <c r="H85" s="896"/>
      <c r="I85" s="896"/>
      <c r="J85" s="896"/>
    </row>
    <row r="86" spans="1:10" ht="25.5">
      <c r="A86" s="13" t="s">
        <v>3076</v>
      </c>
      <c r="B86" s="594" t="s">
        <v>3880</v>
      </c>
      <c r="C86" s="896"/>
      <c r="D86" s="896"/>
      <c r="E86" s="896"/>
      <c r="F86" s="896"/>
      <c r="G86" s="896"/>
      <c r="H86" s="896"/>
      <c r="I86" s="896"/>
      <c r="J86" s="896"/>
    </row>
    <row r="87" spans="1:10">
      <c r="A87" s="13" t="s">
        <v>1089</v>
      </c>
      <c r="B87" s="594" t="s">
        <v>3881</v>
      </c>
      <c r="C87" s="896"/>
      <c r="D87" s="896"/>
      <c r="E87" s="896"/>
      <c r="F87" s="896"/>
      <c r="G87" s="896"/>
      <c r="H87" s="896"/>
      <c r="I87" s="896"/>
      <c r="J87" s="896"/>
    </row>
    <row r="88" spans="1:10">
      <c r="A88" s="13" t="s">
        <v>1090</v>
      </c>
      <c r="B88" s="594" t="s">
        <v>3882</v>
      </c>
      <c r="C88" s="896"/>
      <c r="D88" s="896"/>
      <c r="E88" s="896"/>
      <c r="F88" s="896"/>
      <c r="G88" s="896"/>
      <c r="H88" s="896"/>
      <c r="I88" s="896"/>
      <c r="J88" s="896"/>
    </row>
    <row r="89" spans="1:10">
      <c r="A89" s="13" t="s">
        <v>1563</v>
      </c>
      <c r="B89" s="594" t="s">
        <v>2874</v>
      </c>
      <c r="C89" s="896"/>
      <c r="D89" s="896"/>
      <c r="E89" s="896"/>
      <c r="F89" s="896"/>
      <c r="G89" s="896"/>
      <c r="H89" s="896"/>
      <c r="I89" s="896"/>
      <c r="J89" s="896"/>
    </row>
    <row r="90" spans="1:10" ht="15.75" thickBot="1"/>
    <row r="91" spans="1:10" ht="15" customHeight="1">
      <c r="A91" s="605" t="s">
        <v>5668</v>
      </c>
      <c r="B91" s="602"/>
      <c r="C91" s="602"/>
      <c r="D91" s="606"/>
      <c r="E91" s="602"/>
      <c r="F91" s="602"/>
      <c r="G91" s="606"/>
      <c r="H91" s="606"/>
      <c r="I91" s="606"/>
      <c r="J91" s="607"/>
    </row>
    <row r="92" spans="1:10" ht="30" customHeight="1">
      <c r="A92" s="321" t="s">
        <v>5610</v>
      </c>
      <c r="B92" s="322" t="s">
        <v>77</v>
      </c>
      <c r="C92" s="322" t="s">
        <v>5611</v>
      </c>
      <c r="D92" s="322" t="s">
        <v>5612</v>
      </c>
      <c r="E92" s="322" t="s">
        <v>5634</v>
      </c>
      <c r="F92" s="322" t="s">
        <v>5601</v>
      </c>
      <c r="G92" s="578" t="s">
        <v>5635</v>
      </c>
      <c r="H92" s="578"/>
      <c r="I92" s="578"/>
      <c r="J92" s="579"/>
    </row>
    <row r="93" spans="1:10" ht="25.5" customHeight="1">
      <c r="A93" s="323" t="s">
        <v>5613</v>
      </c>
      <c r="B93" s="333" t="s">
        <v>484</v>
      </c>
      <c r="C93" s="325">
        <v>0</v>
      </c>
      <c r="D93" s="325">
        <v>0</v>
      </c>
      <c r="E93" s="192" t="s">
        <v>5674</v>
      </c>
      <c r="F93" s="325">
        <f>IF(AND(C93&lt;&gt;"",D93&lt;&gt;""),D93-C93,"")</f>
        <v>0</v>
      </c>
      <c r="G93" s="608"/>
      <c r="H93" s="608"/>
      <c r="I93" s="608"/>
      <c r="J93" s="609"/>
    </row>
    <row r="94" spans="1:10" ht="25.5" customHeight="1">
      <c r="A94" s="326" t="s">
        <v>5614</v>
      </c>
      <c r="B94" s="333" t="s">
        <v>484</v>
      </c>
      <c r="C94" s="327">
        <v>1</v>
      </c>
      <c r="D94" s="327">
        <v>0</v>
      </c>
      <c r="E94" s="310" t="s">
        <v>5675</v>
      </c>
      <c r="F94" s="327">
        <f>IF(AND(C94&lt;&gt;"",D94&lt;&gt;""),D94-C94,"")</f>
        <v>-1</v>
      </c>
      <c r="G94" s="610"/>
      <c r="H94" s="610"/>
      <c r="I94" s="610"/>
      <c r="J94" s="611"/>
    </row>
    <row r="95" spans="1:10" ht="15" customHeight="1">
      <c r="A95" s="323" t="s">
        <v>5615</v>
      </c>
      <c r="B95" s="333" t="s">
        <v>484</v>
      </c>
      <c r="C95" s="327">
        <v>1</v>
      </c>
      <c r="D95" s="327">
        <v>0</v>
      </c>
      <c r="E95" s="310" t="s">
        <v>5675</v>
      </c>
      <c r="F95" s="325">
        <f>IF(AND(C95&lt;&gt;"",D95&lt;&gt;""),D95-C95,"")</f>
        <v>-1</v>
      </c>
      <c r="G95" s="328"/>
      <c r="H95" s="227"/>
      <c r="I95" s="227"/>
      <c r="J95" s="329"/>
    </row>
    <row r="96" spans="1:10" ht="15" customHeight="1">
      <c r="A96" s="326" t="s">
        <v>5616</v>
      </c>
      <c r="B96" s="333" t="s">
        <v>484</v>
      </c>
      <c r="C96" s="327">
        <v>1</v>
      </c>
      <c r="D96" s="327">
        <v>0</v>
      </c>
      <c r="E96" s="310" t="s">
        <v>5675</v>
      </c>
      <c r="F96" s="327">
        <f>IF(AND(C96&lt;&gt;"",D96&lt;&gt;""),D96-C96,"")</f>
        <v>-1</v>
      </c>
      <c r="G96" s="610"/>
      <c r="H96" s="610"/>
      <c r="I96" s="610"/>
      <c r="J96" s="611"/>
    </row>
    <row r="97" spans="1:10" ht="15" customHeight="1">
      <c r="A97" s="323" t="s">
        <v>5168</v>
      </c>
      <c r="B97" s="333" t="s">
        <v>484</v>
      </c>
      <c r="C97" s="327">
        <v>1</v>
      </c>
      <c r="D97" s="327">
        <v>0</v>
      </c>
      <c r="E97" s="310" t="s">
        <v>5675</v>
      </c>
      <c r="F97" s="325">
        <f>IF(AND(C97&lt;&gt;"",D97&lt;&gt;""),D97-C97,"")</f>
        <v>-1</v>
      </c>
      <c r="G97" s="328"/>
      <c r="H97" s="227"/>
      <c r="I97" s="227"/>
      <c r="J97" s="329"/>
    </row>
    <row r="98" spans="1:10" ht="15.75" customHeight="1">
      <c r="A98" s="585" t="s">
        <v>5636</v>
      </c>
      <c r="B98" s="586"/>
      <c r="C98" s="330">
        <f>IFERROR(AVERAGE(C93:C97),"")</f>
        <v>0.8</v>
      </c>
      <c r="D98" s="330">
        <f>IFERROR(AVERAGE(D93:D97),"")</f>
        <v>0</v>
      </c>
      <c r="E98" s="589" t="s">
        <v>5637</v>
      </c>
      <c r="F98" s="589"/>
      <c r="G98" s="589"/>
      <c r="H98" s="589"/>
      <c r="I98" s="589"/>
      <c r="J98" s="590"/>
    </row>
    <row r="99" spans="1:10" ht="20.25" customHeight="1">
      <c r="A99" s="331"/>
      <c r="B99" s="316"/>
      <c r="C99" s="316"/>
      <c r="D99" s="316"/>
      <c r="E99" s="316"/>
      <c r="F99" s="316"/>
      <c r="G99" s="316"/>
      <c r="H99" s="227"/>
      <c r="I99" s="227"/>
      <c r="J99" s="329"/>
    </row>
    <row r="100" spans="1:10">
      <c r="A100" s="574" t="s">
        <v>5669</v>
      </c>
      <c r="B100" s="582"/>
      <c r="C100" s="582"/>
      <c r="D100" s="575"/>
      <c r="E100" s="582"/>
      <c r="F100" s="582"/>
      <c r="G100" s="575"/>
      <c r="H100" s="575"/>
      <c r="I100" s="575"/>
      <c r="J100" s="576"/>
    </row>
    <row r="101" spans="1:10">
      <c r="A101" s="321" t="s">
        <v>4946</v>
      </c>
      <c r="B101" s="322" t="s">
        <v>77</v>
      </c>
      <c r="C101" s="322" t="s">
        <v>5676</v>
      </c>
      <c r="D101" s="322" t="s">
        <v>482</v>
      </c>
      <c r="E101" s="322" t="s">
        <v>572</v>
      </c>
      <c r="F101" s="322" t="s">
        <v>5639</v>
      </c>
      <c r="G101" s="578" t="s">
        <v>5640</v>
      </c>
      <c r="H101" s="578"/>
      <c r="I101" s="578"/>
      <c r="J101" s="579"/>
    </row>
    <row r="102" spans="1:10" ht="31.5" customHeight="1">
      <c r="A102" s="326" t="s">
        <v>5602</v>
      </c>
      <c r="B102" s="333" t="s">
        <v>484</v>
      </c>
      <c r="C102" s="332" t="s">
        <v>679</v>
      </c>
      <c r="D102" s="324" t="s">
        <v>679</v>
      </c>
      <c r="E102" s="332">
        <f>IF(D102="Yes",1,0)</f>
        <v>0</v>
      </c>
      <c r="F102" s="580"/>
      <c r="G102" s="580"/>
      <c r="H102" s="580"/>
      <c r="I102" s="580"/>
      <c r="J102" s="581"/>
    </row>
    <row r="103" spans="1:10" ht="20.25" customHeight="1">
      <c r="A103" s="323" t="s">
        <v>995</v>
      </c>
      <c r="B103" s="333" t="s">
        <v>484</v>
      </c>
      <c r="C103" s="332" t="s">
        <v>679</v>
      </c>
      <c r="D103" s="324" t="s">
        <v>679</v>
      </c>
      <c r="E103" s="324">
        <f t="shared" ref="E103:E109" si="0">IF(D103="Yes",1,0)</f>
        <v>0</v>
      </c>
      <c r="F103" s="580"/>
      <c r="G103" s="580"/>
      <c r="H103" s="580"/>
      <c r="I103" s="580"/>
      <c r="J103" s="581"/>
    </row>
    <row r="104" spans="1:10" ht="24.75" customHeight="1">
      <c r="A104" s="326" t="s">
        <v>5603</v>
      </c>
      <c r="B104" s="333" t="s">
        <v>484</v>
      </c>
      <c r="C104" s="332" t="s">
        <v>679</v>
      </c>
      <c r="D104" s="324" t="s">
        <v>679</v>
      </c>
      <c r="E104" s="332">
        <f t="shared" si="0"/>
        <v>0</v>
      </c>
      <c r="F104" s="580"/>
      <c r="G104" s="580"/>
      <c r="H104" s="580"/>
      <c r="I104" s="580"/>
      <c r="J104" s="581"/>
    </row>
    <row r="105" spans="1:10">
      <c r="A105" s="323" t="s">
        <v>5617</v>
      </c>
      <c r="B105" s="333" t="s">
        <v>484</v>
      </c>
      <c r="C105" s="332" t="s">
        <v>679</v>
      </c>
      <c r="D105" s="324" t="s">
        <v>679</v>
      </c>
      <c r="E105" s="324">
        <f t="shared" si="0"/>
        <v>0</v>
      </c>
      <c r="F105" s="580"/>
      <c r="G105" s="580"/>
      <c r="H105" s="580"/>
      <c r="I105" s="580"/>
      <c r="J105" s="581"/>
    </row>
    <row r="106" spans="1:10" ht="38.25">
      <c r="A106" s="326" t="s">
        <v>5618</v>
      </c>
      <c r="B106" s="333" t="s">
        <v>484</v>
      </c>
      <c r="C106" s="332" t="s">
        <v>679</v>
      </c>
      <c r="D106" s="324" t="s">
        <v>679</v>
      </c>
      <c r="E106" s="332">
        <f t="shared" si="0"/>
        <v>0</v>
      </c>
      <c r="F106" s="580"/>
      <c r="G106" s="580"/>
      <c r="H106" s="580"/>
      <c r="I106" s="580"/>
      <c r="J106" s="581"/>
    </row>
    <row r="107" spans="1:10" ht="25.5">
      <c r="A107" s="323" t="s">
        <v>5619</v>
      </c>
      <c r="B107" s="333" t="s">
        <v>484</v>
      </c>
      <c r="C107" s="332" t="s">
        <v>679</v>
      </c>
      <c r="D107" s="324" t="s">
        <v>679</v>
      </c>
      <c r="E107" s="324">
        <f t="shared" si="0"/>
        <v>0</v>
      </c>
      <c r="F107" s="580"/>
      <c r="G107" s="580"/>
      <c r="H107" s="580"/>
      <c r="I107" s="580"/>
      <c r="J107" s="581"/>
    </row>
    <row r="108" spans="1:10" ht="18.75" customHeight="1">
      <c r="A108" s="326" t="s">
        <v>5604</v>
      </c>
      <c r="B108" s="333" t="s">
        <v>484</v>
      </c>
      <c r="C108" s="332" t="s">
        <v>679</v>
      </c>
      <c r="D108" s="324" t="s">
        <v>679</v>
      </c>
      <c r="E108" s="332">
        <f t="shared" si="0"/>
        <v>0</v>
      </c>
      <c r="F108" s="580"/>
      <c r="G108" s="580"/>
      <c r="H108" s="580"/>
      <c r="I108" s="580"/>
      <c r="J108" s="581"/>
    </row>
    <row r="109" spans="1:10" ht="25.5">
      <c r="A109" s="323" t="s">
        <v>5605</v>
      </c>
      <c r="B109" s="333" t="s">
        <v>484</v>
      </c>
      <c r="C109" s="332" t="s">
        <v>679</v>
      </c>
      <c r="D109" s="324" t="s">
        <v>679</v>
      </c>
      <c r="E109" s="324">
        <f t="shared" si="0"/>
        <v>0</v>
      </c>
      <c r="F109" s="580"/>
      <c r="G109" s="580"/>
      <c r="H109" s="580"/>
      <c r="I109" s="580"/>
      <c r="J109" s="581"/>
    </row>
    <row r="110" spans="1:10" ht="28.5" customHeight="1">
      <c r="A110" s="585" t="s">
        <v>5641</v>
      </c>
      <c r="B110" s="586"/>
      <c r="C110" s="587" t="str">
        <f>IFERROR(SUM(E102:E109)/COUNTIF(C102:C109,"Yes"),"")</f>
        <v/>
      </c>
      <c r="D110" s="588"/>
      <c r="E110" s="589" t="s">
        <v>5642</v>
      </c>
      <c r="F110" s="589"/>
      <c r="G110" s="589"/>
      <c r="H110" s="589"/>
      <c r="I110" s="589"/>
      <c r="J110" s="590"/>
    </row>
    <row r="111" spans="1:10" ht="20.25" customHeight="1">
      <c r="A111" s="331"/>
      <c r="B111" s="316"/>
      <c r="C111" s="316"/>
      <c r="D111" s="316"/>
      <c r="E111" s="316"/>
      <c r="F111" s="316"/>
      <c r="G111" s="316"/>
      <c r="H111" s="227"/>
      <c r="I111" s="227"/>
      <c r="J111" s="329"/>
    </row>
    <row r="112" spans="1:10">
      <c r="A112" s="574" t="s">
        <v>5670</v>
      </c>
      <c r="B112" s="582"/>
      <c r="C112" s="582"/>
      <c r="D112" s="575"/>
      <c r="E112" s="582"/>
      <c r="F112" s="582"/>
      <c r="G112" s="575"/>
      <c r="H112" s="575"/>
      <c r="I112" s="575"/>
      <c r="J112" s="576"/>
    </row>
    <row r="113" spans="1:10" ht="30" customHeight="1">
      <c r="A113" s="321" t="s">
        <v>5643</v>
      </c>
      <c r="B113" s="322" t="s">
        <v>77</v>
      </c>
      <c r="C113" s="322" t="s">
        <v>5620</v>
      </c>
      <c r="D113" s="322" t="s">
        <v>5621</v>
      </c>
      <c r="E113" s="322" t="s">
        <v>5622</v>
      </c>
      <c r="F113" s="322" t="s">
        <v>5644</v>
      </c>
      <c r="G113" s="578" t="s">
        <v>5645</v>
      </c>
      <c r="H113" s="578"/>
      <c r="I113" s="578"/>
      <c r="J113" s="579"/>
    </row>
    <row r="114" spans="1:10" ht="25.5">
      <c r="A114" s="326" t="s">
        <v>5623</v>
      </c>
      <c r="B114" s="332" t="s">
        <v>484</v>
      </c>
      <c r="C114" s="332" t="s">
        <v>1096</v>
      </c>
      <c r="D114" s="332" t="s">
        <v>1096</v>
      </c>
      <c r="E114" s="332" t="s">
        <v>1096</v>
      </c>
      <c r="F114" s="332" t="s">
        <v>348</v>
      </c>
      <c r="G114" s="583"/>
      <c r="H114" s="583"/>
      <c r="I114" s="583"/>
      <c r="J114" s="584"/>
    </row>
    <row r="115" spans="1:10" ht="53.45" customHeight="1">
      <c r="A115" s="323" t="s">
        <v>5624</v>
      </c>
      <c r="B115" s="332" t="s">
        <v>484</v>
      </c>
      <c r="C115" s="332" t="s">
        <v>1096</v>
      </c>
      <c r="D115" s="332" t="s">
        <v>1096</v>
      </c>
      <c r="E115" s="332" t="s">
        <v>1096</v>
      </c>
      <c r="F115" s="332" t="s">
        <v>348</v>
      </c>
      <c r="G115" s="583"/>
      <c r="H115" s="583"/>
      <c r="I115" s="583"/>
      <c r="J115" s="584"/>
    </row>
    <row r="116" spans="1:10" ht="53.45" customHeight="1">
      <c r="A116" s="326" t="s">
        <v>5646</v>
      </c>
      <c r="B116" s="332" t="s">
        <v>484</v>
      </c>
      <c r="C116" s="332" t="s">
        <v>1096</v>
      </c>
      <c r="D116" s="332" t="s">
        <v>1096</v>
      </c>
      <c r="E116" s="332" t="s">
        <v>1096</v>
      </c>
      <c r="F116" s="332" t="s">
        <v>348</v>
      </c>
      <c r="G116" s="583"/>
      <c r="H116" s="583"/>
      <c r="I116" s="583"/>
      <c r="J116" s="584"/>
    </row>
    <row r="117" spans="1:10" ht="53.45" customHeight="1">
      <c r="A117" s="323" t="s">
        <v>5625</v>
      </c>
      <c r="B117" s="332" t="s">
        <v>484</v>
      </c>
      <c r="C117" s="332" t="s">
        <v>1096</v>
      </c>
      <c r="D117" s="332" t="s">
        <v>1096</v>
      </c>
      <c r="E117" s="332" t="s">
        <v>1096</v>
      </c>
      <c r="F117" s="332" t="s">
        <v>348</v>
      </c>
      <c r="G117" s="583"/>
      <c r="H117" s="583"/>
      <c r="I117" s="583"/>
      <c r="J117" s="584"/>
    </row>
    <row r="118" spans="1:10" ht="53.45" customHeight="1">
      <c r="A118" s="326" t="s">
        <v>5626</v>
      </c>
      <c r="B118" s="332" t="s">
        <v>484</v>
      </c>
      <c r="C118" s="332" t="s">
        <v>1096</v>
      </c>
      <c r="D118" s="332" t="s">
        <v>1096</v>
      </c>
      <c r="E118" s="332" t="s">
        <v>1096</v>
      </c>
      <c r="F118" s="332" t="s">
        <v>348</v>
      </c>
      <c r="G118" s="583"/>
      <c r="H118" s="583"/>
      <c r="I118" s="583"/>
      <c r="J118" s="584"/>
    </row>
    <row r="119" spans="1:10" ht="53.45" customHeight="1">
      <c r="A119" s="585" t="s">
        <v>5677</v>
      </c>
      <c r="B119" s="586"/>
      <c r="C119" s="587">
        <f>IFERROR(COUNTIF(E114:E118,"Yes")/COUNTA(A114:A118),"")</f>
        <v>0</v>
      </c>
      <c r="D119" s="588"/>
      <c r="E119" s="589" t="s">
        <v>5648</v>
      </c>
      <c r="F119" s="589"/>
      <c r="G119" s="589"/>
      <c r="H119" s="589"/>
      <c r="I119" s="589"/>
      <c r="J119" s="590"/>
    </row>
    <row r="120" spans="1:10" ht="20.25" customHeight="1">
      <c r="A120" s="331"/>
      <c r="B120" s="316"/>
      <c r="C120" s="316"/>
      <c r="D120" s="316"/>
      <c r="E120" s="316"/>
      <c r="F120" s="316"/>
      <c r="G120" s="599"/>
      <c r="H120" s="599"/>
      <c r="I120" s="599"/>
      <c r="J120" s="600"/>
    </row>
    <row r="121" spans="1:10" ht="53.45" customHeight="1">
      <c r="A121" s="574" t="s">
        <v>5671</v>
      </c>
      <c r="B121" s="582"/>
      <c r="C121" s="582"/>
      <c r="D121" s="575"/>
      <c r="E121" s="582"/>
      <c r="F121" s="582"/>
      <c r="G121" s="575"/>
      <c r="H121" s="575"/>
      <c r="I121" s="575"/>
      <c r="J121" s="576"/>
    </row>
    <row r="122" spans="1:10" ht="53.45" customHeight="1">
      <c r="A122" s="322" t="s">
        <v>5606</v>
      </c>
      <c r="B122" s="322" t="s">
        <v>77</v>
      </c>
      <c r="C122" s="322" t="s">
        <v>5627</v>
      </c>
      <c r="D122" s="322" t="s">
        <v>5628</v>
      </c>
      <c r="E122" s="322" t="s">
        <v>5629</v>
      </c>
      <c r="F122" s="322" t="s">
        <v>5630</v>
      </c>
      <c r="G122" s="578" t="s">
        <v>5678</v>
      </c>
      <c r="H122" s="578"/>
      <c r="I122" s="578"/>
      <c r="J122" s="578"/>
    </row>
    <row r="123" spans="1:10">
      <c r="A123" s="328" t="s">
        <v>153</v>
      </c>
      <c r="B123" s="324" t="s">
        <v>484</v>
      </c>
      <c r="C123" s="324"/>
      <c r="D123" s="324"/>
      <c r="E123" s="324"/>
      <c r="F123" s="325" t="str">
        <f>IFERROR(D123/C123,"")</f>
        <v/>
      </c>
      <c r="G123" s="572"/>
      <c r="H123" s="572"/>
      <c r="I123" s="572"/>
      <c r="J123" s="572"/>
    </row>
    <row r="124" spans="1:10">
      <c r="A124" s="335" t="s">
        <v>155</v>
      </c>
      <c r="B124" s="332" t="s">
        <v>484</v>
      </c>
      <c r="C124" s="332"/>
      <c r="D124" s="332"/>
      <c r="E124" s="332"/>
      <c r="F124" s="327" t="str">
        <f>IFERROR(D124/C124,"")</f>
        <v/>
      </c>
      <c r="G124" s="572"/>
      <c r="H124" s="572"/>
      <c r="I124" s="572"/>
      <c r="J124" s="572"/>
    </row>
    <row r="125" spans="1:10">
      <c r="A125" s="328" t="s">
        <v>4821</v>
      </c>
      <c r="B125" s="324" t="s">
        <v>484</v>
      </c>
      <c r="C125" s="324"/>
      <c r="D125" s="324"/>
      <c r="E125" s="324"/>
      <c r="F125" s="325" t="str">
        <f>IFERROR(D125/C125,"")</f>
        <v/>
      </c>
      <c r="G125" s="572"/>
      <c r="H125" s="572"/>
      <c r="I125" s="572"/>
      <c r="J125" s="572"/>
    </row>
    <row r="126" spans="1:10">
      <c r="A126" s="335" t="s">
        <v>957</v>
      </c>
      <c r="B126" s="332" t="s">
        <v>484</v>
      </c>
      <c r="C126" s="332"/>
      <c r="D126" s="332"/>
      <c r="E126" s="332"/>
      <c r="F126" s="327" t="str">
        <f>IFERROR(D126/C126,"")</f>
        <v/>
      </c>
      <c r="G126" s="572"/>
      <c r="H126" s="572"/>
      <c r="I126" s="572"/>
      <c r="J126" s="572"/>
    </row>
    <row r="127" spans="1:10">
      <c r="A127" s="597" t="s">
        <v>5649</v>
      </c>
      <c r="B127" s="597"/>
      <c r="C127" s="597"/>
      <c r="D127" s="597"/>
      <c r="E127" s="589" t="s">
        <v>5650</v>
      </c>
      <c r="F127" s="589"/>
      <c r="G127" s="589"/>
      <c r="H127" s="589"/>
      <c r="I127" s="589"/>
      <c r="J127" s="589"/>
    </row>
    <row r="128" spans="1:10">
      <c r="A128" s="597"/>
      <c r="B128" s="597"/>
      <c r="C128" s="597"/>
      <c r="D128" s="597"/>
      <c r="E128" s="589"/>
      <c r="F128" s="589"/>
      <c r="G128" s="589"/>
      <c r="H128" s="589"/>
      <c r="I128" s="589"/>
      <c r="J128" s="589"/>
    </row>
    <row r="129" spans="1:10">
      <c r="A129" s="575" t="s">
        <v>5672</v>
      </c>
      <c r="B129" s="575"/>
      <c r="C129" s="575"/>
      <c r="D129" s="575"/>
      <c r="E129" s="575"/>
      <c r="F129" s="575"/>
      <c r="G129" s="575"/>
      <c r="H129" s="575"/>
      <c r="I129" s="575"/>
      <c r="J129" s="575"/>
    </row>
    <row r="130" spans="1:10">
      <c r="A130" s="322" t="s">
        <v>4946</v>
      </c>
      <c r="B130" s="322" t="s">
        <v>77</v>
      </c>
      <c r="C130" s="322" t="s">
        <v>5638</v>
      </c>
      <c r="D130" s="322" t="s">
        <v>482</v>
      </c>
      <c r="E130" s="322" t="s">
        <v>572</v>
      </c>
      <c r="F130" s="322" t="s">
        <v>944</v>
      </c>
      <c r="G130" s="578" t="s">
        <v>5640</v>
      </c>
      <c r="H130" s="578"/>
      <c r="I130" s="578"/>
      <c r="J130" s="578"/>
    </row>
    <row r="131" spans="1:10" ht="25.5">
      <c r="A131" s="328" t="s">
        <v>5607</v>
      </c>
      <c r="B131" s="324" t="s">
        <v>484</v>
      </c>
      <c r="C131" s="324" t="s">
        <v>392</v>
      </c>
      <c r="D131" s="324" t="s">
        <v>1096</v>
      </c>
      <c r="E131" s="324">
        <f t="shared" ref="E131:E136" si="1">IF(D131="Yes",1,0)</f>
        <v>0</v>
      </c>
      <c r="F131" s="324"/>
      <c r="G131" s="572"/>
      <c r="H131" s="572"/>
      <c r="I131" s="572"/>
      <c r="J131" s="572"/>
    </row>
    <row r="132" spans="1:10">
      <c r="A132" s="335" t="s">
        <v>5608</v>
      </c>
      <c r="B132" s="324" t="s">
        <v>484</v>
      </c>
      <c r="C132" s="332" t="s">
        <v>392</v>
      </c>
      <c r="D132" s="324" t="s">
        <v>1096</v>
      </c>
      <c r="E132" s="332">
        <f t="shared" si="1"/>
        <v>0</v>
      </c>
      <c r="F132" s="332"/>
      <c r="G132" s="572"/>
      <c r="H132" s="572"/>
      <c r="I132" s="572"/>
      <c r="J132" s="572"/>
    </row>
    <row r="133" spans="1:10" ht="25.5">
      <c r="A133" s="328" t="s">
        <v>5609</v>
      </c>
      <c r="B133" s="324" t="s">
        <v>484</v>
      </c>
      <c r="C133" s="324" t="s">
        <v>392</v>
      </c>
      <c r="D133" s="324" t="s">
        <v>1096</v>
      </c>
      <c r="E133" s="324">
        <f t="shared" si="1"/>
        <v>0</v>
      </c>
      <c r="F133" s="324"/>
      <c r="G133" s="572"/>
      <c r="H133" s="572"/>
      <c r="I133" s="572"/>
      <c r="J133" s="572"/>
    </row>
    <row r="134" spans="1:10">
      <c r="A134" s="335" t="s">
        <v>5631</v>
      </c>
      <c r="B134" s="324" t="s">
        <v>484</v>
      </c>
      <c r="C134" s="332" t="s">
        <v>392</v>
      </c>
      <c r="D134" s="324" t="s">
        <v>1096</v>
      </c>
      <c r="E134" s="332">
        <f t="shared" si="1"/>
        <v>0</v>
      </c>
      <c r="F134" s="332"/>
      <c r="G134" s="572"/>
      <c r="H134" s="572"/>
      <c r="I134" s="572"/>
      <c r="J134" s="572"/>
    </row>
    <row r="135" spans="1:10" ht="27.75" customHeight="1">
      <c r="A135" s="328" t="s">
        <v>5632</v>
      </c>
      <c r="B135" s="324" t="s">
        <v>484</v>
      </c>
      <c r="C135" s="324" t="s">
        <v>392</v>
      </c>
      <c r="D135" s="324" t="s">
        <v>1096</v>
      </c>
      <c r="E135" s="324">
        <f t="shared" si="1"/>
        <v>0</v>
      </c>
      <c r="F135" s="324"/>
      <c r="G135" s="572"/>
      <c r="H135" s="572"/>
      <c r="I135" s="572"/>
      <c r="J135" s="572"/>
    </row>
    <row r="136" spans="1:10" ht="29.25" customHeight="1">
      <c r="A136" s="335" t="s">
        <v>5633</v>
      </c>
      <c r="B136" s="324" t="s">
        <v>484</v>
      </c>
      <c r="C136" s="332" t="s">
        <v>392</v>
      </c>
      <c r="D136" s="332" t="s">
        <v>1096</v>
      </c>
      <c r="E136" s="332">
        <f t="shared" si="1"/>
        <v>0</v>
      </c>
      <c r="F136" s="332"/>
      <c r="G136" s="572"/>
      <c r="H136" s="572"/>
      <c r="I136" s="572"/>
      <c r="J136" s="572"/>
    </row>
    <row r="137" spans="1:10" ht="15.75">
      <c r="A137" s="930" t="s">
        <v>5651</v>
      </c>
      <c r="B137" s="586"/>
      <c r="C137" s="587">
        <f>IFERROR(SUM(E131:E136)/COUNTIF(C131:C136,"Yes"),"")</f>
        <v>0</v>
      </c>
      <c r="D137" s="588"/>
      <c r="E137" s="589" t="s">
        <v>5652</v>
      </c>
      <c r="F137" s="589"/>
      <c r="G137" s="589"/>
      <c r="H137" s="589"/>
      <c r="I137" s="589"/>
      <c r="J137" s="589"/>
    </row>
    <row r="138" spans="1:10" ht="20.25" customHeight="1">
      <c r="A138" s="192"/>
      <c r="B138" s="192"/>
      <c r="C138" s="192"/>
      <c r="D138" s="192"/>
      <c r="E138" s="192"/>
      <c r="F138" s="192"/>
      <c r="G138" s="192"/>
      <c r="H138" s="192"/>
      <c r="I138" s="192"/>
      <c r="J138" s="192"/>
    </row>
    <row r="139" spans="1:10">
      <c r="A139" s="575" t="s">
        <v>5673</v>
      </c>
      <c r="B139" s="582"/>
      <c r="C139" s="582"/>
      <c r="D139" s="317"/>
      <c r="E139" s="317"/>
      <c r="F139" s="317"/>
      <c r="G139" s="317"/>
      <c r="H139" s="317"/>
      <c r="I139" s="317"/>
      <c r="J139" s="317"/>
    </row>
    <row r="140" spans="1:10" ht="38.25">
      <c r="A140" s="318" t="s">
        <v>905</v>
      </c>
      <c r="B140" s="318" t="s">
        <v>830</v>
      </c>
      <c r="C140" s="318"/>
      <c r="D140" s="318"/>
      <c r="E140" s="318"/>
      <c r="F140" s="318"/>
      <c r="G140" s="318"/>
      <c r="H140" s="318"/>
      <c r="I140" s="318"/>
      <c r="J140" s="318"/>
    </row>
    <row r="141" spans="1:10">
      <c r="A141" s="315" t="s">
        <v>1086</v>
      </c>
      <c r="B141" s="594" t="s">
        <v>3292</v>
      </c>
      <c r="C141" s="582"/>
      <c r="D141" s="582"/>
      <c r="E141" s="582"/>
      <c r="F141" s="582"/>
      <c r="G141" s="582"/>
      <c r="H141" s="582"/>
      <c r="I141" s="582"/>
      <c r="J141" s="582"/>
    </row>
    <row r="142" spans="1:10" ht="25.5">
      <c r="A142" s="315" t="s">
        <v>2090</v>
      </c>
      <c r="B142" s="594" t="s">
        <v>3293</v>
      </c>
      <c r="C142" s="582"/>
      <c r="D142" s="582"/>
      <c r="E142" s="582"/>
      <c r="F142" s="582"/>
      <c r="G142" s="582"/>
      <c r="H142" s="582"/>
      <c r="I142" s="582"/>
      <c r="J142" s="582"/>
    </row>
    <row r="143" spans="1:10">
      <c r="A143" s="315" t="s">
        <v>1089</v>
      </c>
      <c r="B143" s="594" t="s">
        <v>3294</v>
      </c>
      <c r="C143" s="582"/>
      <c r="D143" s="582"/>
      <c r="E143" s="582"/>
      <c r="F143" s="582"/>
      <c r="G143" s="582"/>
      <c r="H143" s="582"/>
      <c r="I143" s="582"/>
      <c r="J143" s="582"/>
    </row>
    <row r="144" spans="1:10">
      <c r="A144" s="315" t="s">
        <v>1090</v>
      </c>
      <c r="B144" s="594" t="s">
        <v>3295</v>
      </c>
      <c r="C144" s="582"/>
      <c r="D144" s="582"/>
      <c r="E144" s="582"/>
      <c r="F144" s="582"/>
      <c r="G144" s="582"/>
      <c r="H144" s="582"/>
      <c r="I144" s="582"/>
      <c r="J144" s="582"/>
    </row>
    <row r="145" spans="1:10">
      <c r="A145" s="315" t="s">
        <v>1088</v>
      </c>
      <c r="B145" s="594" t="s">
        <v>3296</v>
      </c>
      <c r="C145" s="582"/>
      <c r="D145" s="582"/>
      <c r="E145" s="582"/>
      <c r="F145" s="582"/>
      <c r="G145" s="582"/>
      <c r="H145" s="582"/>
      <c r="I145" s="582"/>
      <c r="J145" s="582"/>
    </row>
    <row r="146" spans="1:10" ht="25.5">
      <c r="A146" s="315" t="s">
        <v>3297</v>
      </c>
      <c r="B146" s="594" t="s">
        <v>3298</v>
      </c>
      <c r="C146" s="582"/>
      <c r="D146" s="582"/>
      <c r="E146" s="582"/>
      <c r="F146" s="582"/>
      <c r="G146" s="582"/>
      <c r="H146" s="582"/>
      <c r="I146" s="582"/>
      <c r="J146" s="582"/>
    </row>
    <row r="147" spans="1:10">
      <c r="A147" s="315" t="s">
        <v>1563</v>
      </c>
      <c r="B147" s="594" t="s">
        <v>1776</v>
      </c>
      <c r="C147" s="582"/>
      <c r="D147" s="582"/>
      <c r="E147" s="582"/>
      <c r="F147" s="582"/>
      <c r="G147" s="582"/>
      <c r="H147" s="582"/>
      <c r="I147" s="582"/>
      <c r="J147" s="582"/>
    </row>
    <row r="148" spans="1:10">
      <c r="A148" s="227"/>
      <c r="B148" s="227"/>
      <c r="C148" s="227"/>
      <c r="D148" s="227"/>
      <c r="E148" s="227"/>
      <c r="F148" s="227"/>
      <c r="G148" s="227"/>
      <c r="H148" s="227"/>
      <c r="I148" s="227"/>
      <c r="J148" s="227"/>
    </row>
    <row r="149" spans="1:10" ht="18">
      <c r="A149" s="598" t="s">
        <v>5562</v>
      </c>
      <c r="B149" s="598"/>
      <c r="C149" s="598"/>
      <c r="D149" s="598"/>
      <c r="E149" s="598"/>
      <c r="F149" s="598"/>
      <c r="G149" s="598"/>
      <c r="H149" s="598"/>
      <c r="I149" s="227"/>
      <c r="J149" s="227"/>
    </row>
    <row r="150" spans="1:10">
      <c r="A150" s="272" t="s">
        <v>2</v>
      </c>
      <c r="B150" s="591" t="s">
        <v>5563</v>
      </c>
      <c r="C150" s="591"/>
      <c r="D150" s="591"/>
      <c r="E150" s="591"/>
      <c r="F150" s="591"/>
      <c r="G150" s="591"/>
      <c r="H150" s="591"/>
      <c r="I150" s="227"/>
      <c r="J150" s="227"/>
    </row>
    <row r="151" spans="1:10">
      <c r="A151" s="272" t="s">
        <v>5564</v>
      </c>
      <c r="B151" s="591" t="s">
        <v>5565</v>
      </c>
      <c r="C151" s="591"/>
      <c r="D151" s="591"/>
      <c r="E151" s="591"/>
      <c r="F151" s="591"/>
      <c r="G151" s="591"/>
      <c r="H151" s="591"/>
      <c r="I151" s="227"/>
      <c r="J151" s="227"/>
    </row>
    <row r="152" spans="1:10">
      <c r="A152" s="192"/>
      <c r="B152" s="192"/>
      <c r="C152" s="192"/>
      <c r="D152" s="192"/>
      <c r="E152" s="192"/>
      <c r="F152" s="192"/>
      <c r="G152" s="192"/>
      <c r="H152" s="192"/>
      <c r="I152" s="227"/>
      <c r="J152" s="227"/>
    </row>
    <row r="153" spans="1:10">
      <c r="A153" s="319" t="s">
        <v>4946</v>
      </c>
      <c r="B153" s="319" t="s">
        <v>77</v>
      </c>
      <c r="C153" s="319" t="s">
        <v>5566</v>
      </c>
      <c r="D153" s="319" t="s">
        <v>263</v>
      </c>
      <c r="E153" s="319" t="s">
        <v>216</v>
      </c>
      <c r="F153" s="319" t="s">
        <v>5567</v>
      </c>
      <c r="G153" s="319" t="s">
        <v>5568</v>
      </c>
      <c r="H153" s="319" t="s">
        <v>5569</v>
      </c>
      <c r="I153" s="227"/>
      <c r="J153" s="227"/>
    </row>
    <row r="154" spans="1:10" ht="25.5">
      <c r="A154" s="273" t="s">
        <v>5570</v>
      </c>
      <c r="B154" s="274" t="s">
        <v>1096</v>
      </c>
      <c r="C154" s="273"/>
      <c r="D154" s="273"/>
      <c r="E154" s="273"/>
      <c r="F154" s="273"/>
      <c r="G154" s="275" t="str">
        <f t="shared" ref="G154:G161" si="2">IF(OR(B154="Yes",B154="N/A"),"🟢","🟡")</f>
        <v>🟡</v>
      </c>
      <c r="H154" s="273"/>
      <c r="I154" s="227"/>
      <c r="J154" s="227"/>
    </row>
    <row r="155" spans="1:10">
      <c r="A155" s="273" t="s">
        <v>5571</v>
      </c>
      <c r="B155" s="274" t="s">
        <v>1096</v>
      </c>
      <c r="C155" s="273"/>
      <c r="D155" s="273"/>
      <c r="E155" s="273"/>
      <c r="F155" s="273"/>
      <c r="G155" s="275" t="str">
        <f t="shared" si="2"/>
        <v>🟡</v>
      </c>
      <c r="H155" s="273"/>
      <c r="I155" s="227"/>
      <c r="J155" s="227"/>
    </row>
    <row r="156" spans="1:10">
      <c r="A156" s="273" t="s">
        <v>5572</v>
      </c>
      <c r="B156" s="274" t="s">
        <v>1096</v>
      </c>
      <c r="C156" s="273"/>
      <c r="D156" s="273"/>
      <c r="E156" s="273"/>
      <c r="F156" s="273"/>
      <c r="G156" s="275" t="str">
        <f t="shared" si="2"/>
        <v>🟡</v>
      </c>
      <c r="H156" s="273"/>
      <c r="I156" s="227"/>
      <c r="J156" s="227"/>
    </row>
    <row r="157" spans="1:10">
      <c r="A157" s="273" t="s">
        <v>5168</v>
      </c>
      <c r="B157" s="274" t="s">
        <v>1096</v>
      </c>
      <c r="C157" s="273"/>
      <c r="D157" s="273"/>
      <c r="E157" s="273"/>
      <c r="F157" s="273"/>
      <c r="G157" s="275" t="str">
        <f t="shared" si="2"/>
        <v>🟡</v>
      </c>
      <c r="H157" s="273"/>
      <c r="I157" s="227"/>
      <c r="J157" s="227"/>
    </row>
    <row r="158" spans="1:10">
      <c r="A158" s="273" t="s">
        <v>5573</v>
      </c>
      <c r="B158" s="274" t="s">
        <v>1096</v>
      </c>
      <c r="C158" s="273"/>
      <c r="D158" s="273"/>
      <c r="E158" s="273"/>
      <c r="F158" s="273"/>
      <c r="G158" s="275" t="str">
        <f t="shared" si="2"/>
        <v>🟡</v>
      </c>
      <c r="H158" s="273"/>
      <c r="I158" s="227"/>
      <c r="J158" s="227"/>
    </row>
    <row r="159" spans="1:10">
      <c r="A159" s="273" t="s">
        <v>5574</v>
      </c>
      <c r="B159" s="274" t="s">
        <v>1096</v>
      </c>
      <c r="C159" s="273"/>
      <c r="D159" s="273"/>
      <c r="E159" s="273"/>
      <c r="F159" s="273"/>
      <c r="G159" s="275" t="str">
        <f t="shared" si="2"/>
        <v>🟡</v>
      </c>
      <c r="H159" s="273"/>
      <c r="I159" s="227"/>
      <c r="J159" s="227"/>
    </row>
    <row r="160" spans="1:10">
      <c r="A160" s="273" t="s">
        <v>178</v>
      </c>
      <c r="B160" s="274" t="s">
        <v>1096</v>
      </c>
      <c r="C160" s="273"/>
      <c r="D160" s="273"/>
      <c r="E160" s="273"/>
      <c r="F160" s="273"/>
      <c r="G160" s="275" t="str">
        <f t="shared" si="2"/>
        <v>🟡</v>
      </c>
      <c r="H160" s="273"/>
      <c r="I160" s="227"/>
      <c r="J160" s="227"/>
    </row>
    <row r="161" spans="1:10" ht="25.5">
      <c r="A161" s="273" t="s">
        <v>5575</v>
      </c>
      <c r="B161" s="274" t="s">
        <v>1096</v>
      </c>
      <c r="C161" s="273"/>
      <c r="D161" s="273"/>
      <c r="E161" s="273"/>
      <c r="F161" s="273"/>
      <c r="G161" s="275" t="str">
        <f t="shared" si="2"/>
        <v>🟡</v>
      </c>
      <c r="H161" s="273"/>
      <c r="I161" s="227"/>
      <c r="J161" s="227"/>
    </row>
    <row r="162" spans="1:10">
      <c r="A162" s="320" t="s">
        <v>4946</v>
      </c>
      <c r="B162" s="320" t="s">
        <v>5583</v>
      </c>
      <c r="C162" s="192"/>
      <c r="D162" s="192"/>
      <c r="E162" s="320" t="s">
        <v>5584</v>
      </c>
      <c r="F162" s="192"/>
      <c r="G162" s="192"/>
      <c r="H162" s="192"/>
      <c r="I162" s="227"/>
      <c r="J162" s="227"/>
    </row>
    <row r="163" spans="1:10" ht="25.5">
      <c r="A163" s="287" t="s">
        <v>5570</v>
      </c>
      <c r="B163" s="577" t="s">
        <v>5585</v>
      </c>
      <c r="C163" s="577"/>
      <c r="D163" s="577"/>
      <c r="E163" s="577" t="s">
        <v>5586</v>
      </c>
      <c r="F163" s="577"/>
      <c r="G163" s="577"/>
      <c r="H163" s="192"/>
      <c r="I163" s="227"/>
      <c r="J163" s="227"/>
    </row>
    <row r="164" spans="1:10">
      <c r="A164" s="287" t="s">
        <v>5571</v>
      </c>
      <c r="B164" s="577" t="s">
        <v>5587</v>
      </c>
      <c r="C164" s="577"/>
      <c r="D164" s="577"/>
      <c r="E164" s="577" t="s">
        <v>5588</v>
      </c>
      <c r="F164" s="577"/>
      <c r="G164" s="577"/>
      <c r="H164" s="192"/>
      <c r="I164" s="227"/>
      <c r="J164" s="227"/>
    </row>
    <row r="165" spans="1:10">
      <c r="A165" s="287" t="s">
        <v>5572</v>
      </c>
      <c r="B165" s="577" t="s">
        <v>5589</v>
      </c>
      <c r="C165" s="577"/>
      <c r="D165" s="577"/>
      <c r="E165" s="577" t="s">
        <v>5590</v>
      </c>
      <c r="F165" s="577"/>
      <c r="G165" s="577"/>
      <c r="H165" s="192"/>
      <c r="I165" s="227"/>
      <c r="J165" s="227"/>
    </row>
    <row r="166" spans="1:10">
      <c r="A166" s="287" t="s">
        <v>5168</v>
      </c>
      <c r="B166" s="577" t="s">
        <v>5591</v>
      </c>
      <c r="C166" s="577"/>
      <c r="D166" s="577"/>
      <c r="E166" s="577" t="s">
        <v>5592</v>
      </c>
      <c r="F166" s="577"/>
      <c r="G166" s="577"/>
      <c r="H166" s="192"/>
      <c r="I166" s="227"/>
      <c r="J166" s="227"/>
    </row>
    <row r="167" spans="1:10">
      <c r="A167" s="287" t="s">
        <v>5573</v>
      </c>
      <c r="B167" s="577" t="s">
        <v>5593</v>
      </c>
      <c r="C167" s="577"/>
      <c r="D167" s="577"/>
      <c r="E167" s="577" t="s">
        <v>5594</v>
      </c>
      <c r="F167" s="577"/>
      <c r="G167" s="577"/>
      <c r="H167" s="192"/>
      <c r="I167" s="227"/>
      <c r="J167" s="227"/>
    </row>
    <row r="168" spans="1:10">
      <c r="A168" s="287" t="s">
        <v>5574</v>
      </c>
      <c r="B168" s="577" t="s">
        <v>5595</v>
      </c>
      <c r="C168" s="577"/>
      <c r="D168" s="577"/>
      <c r="E168" s="577" t="s">
        <v>5596</v>
      </c>
      <c r="F168" s="577"/>
      <c r="G168" s="577"/>
      <c r="H168" s="192"/>
      <c r="I168" s="227"/>
      <c r="J168" s="227"/>
    </row>
    <row r="169" spans="1:10">
      <c r="A169" s="287" t="s">
        <v>178</v>
      </c>
      <c r="B169" s="577" t="s">
        <v>5597</v>
      </c>
      <c r="C169" s="577"/>
      <c r="D169" s="577"/>
      <c r="E169" s="577" t="s">
        <v>5598</v>
      </c>
      <c r="F169" s="577"/>
      <c r="G169" s="577"/>
      <c r="H169" s="192"/>
      <c r="I169" s="227"/>
      <c r="J169" s="227"/>
    </row>
    <row r="170" spans="1:10" ht="25.5">
      <c r="A170" s="287" t="s">
        <v>5575</v>
      </c>
      <c r="B170" s="577" t="s">
        <v>5599</v>
      </c>
      <c r="C170" s="577"/>
      <c r="D170" s="577"/>
      <c r="E170" s="577" t="s">
        <v>5600</v>
      </c>
      <c r="F170" s="577"/>
      <c r="G170" s="577"/>
      <c r="H170" s="192"/>
      <c r="I170" s="227"/>
      <c r="J170" s="227"/>
    </row>
    <row r="171" spans="1:10">
      <c r="A171" s="272" t="s">
        <v>5576</v>
      </c>
      <c r="B171" s="276" t="str">
        <f>IF(COUNTIF(B154:B161,"No")=0,"🟢 PILOT COMPLETE / ACCEPTANCE READY","🟡 NOT COMPLETE — ACCEPTANCE GATES OPEN")</f>
        <v>🟡 NOT COMPLETE — ACCEPTANCE GATES OPEN</v>
      </c>
      <c r="C171" s="276"/>
      <c r="D171" s="276"/>
      <c r="E171" s="276"/>
      <c r="F171" s="276"/>
      <c r="G171" s="276"/>
      <c r="H171" s="276"/>
    </row>
    <row r="172" spans="1:10">
      <c r="A172" s="272" t="s">
        <v>5577</v>
      </c>
      <c r="B172" s="276">
        <f>COUNTIF(B154:B161,"No")</f>
        <v>8</v>
      </c>
      <c r="C172" s="276"/>
      <c r="D172" s="276"/>
      <c r="E172" s="276"/>
      <c r="F172" s="276"/>
      <c r="G172" s="276"/>
      <c r="H172" s="276"/>
    </row>
    <row r="173" spans="1:10">
      <c r="A173" s="272" t="s">
        <v>5578</v>
      </c>
      <c r="B173" s="276" t="str">
        <f>COUNTIF(B154:B161,"Yes")&amp;" / 8 Complete"</f>
        <v>0 / 8 Complete</v>
      </c>
      <c r="C173" s="276"/>
      <c r="D173" s="276"/>
      <c r="E173" s="276"/>
      <c r="F173" s="276"/>
      <c r="G173" s="276"/>
      <c r="H173" s="276"/>
    </row>
    <row r="174" spans="1:10" ht="90">
      <c r="A174" s="277" t="s">
        <v>5579</v>
      </c>
      <c r="B174" s="278" t="s">
        <v>5580</v>
      </c>
      <c r="C174" s="278"/>
      <c r="D174" s="278"/>
      <c r="E174" s="278"/>
      <c r="F174" s="278"/>
      <c r="G174" s="278"/>
      <c r="H174" s="278"/>
    </row>
    <row r="175" spans="1:10">
      <c r="A175" s="277"/>
      <c r="B175" s="278"/>
      <c r="C175" s="278"/>
      <c r="D175" s="278"/>
      <c r="E175" s="278"/>
      <c r="F175" s="278"/>
      <c r="G175" s="278"/>
      <c r="H175" s="278"/>
    </row>
    <row r="176" spans="1:10" ht="64.5">
      <c r="A176" s="277" t="s">
        <v>5581</v>
      </c>
      <c r="B176" s="278" t="s">
        <v>5582</v>
      </c>
      <c r="C176" s="278"/>
      <c r="D176" s="278"/>
      <c r="E176" s="278"/>
      <c r="F176" s="278"/>
      <c r="G176" s="278"/>
      <c r="H176" s="278"/>
    </row>
    <row r="177" spans="1:10">
      <c r="A177" s="575" t="s">
        <v>5694</v>
      </c>
      <c r="B177" s="575"/>
      <c r="C177" s="575"/>
      <c r="D177" s="575"/>
      <c r="E177" s="575"/>
      <c r="F177" s="575"/>
      <c r="G177" s="575"/>
      <c r="H177" s="575"/>
      <c r="I177" s="575"/>
      <c r="J177" s="575"/>
    </row>
    <row r="178" spans="1:10">
      <c r="A178" s="336"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5682</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5" t="s">
        <v>5695</v>
      </c>
      <c r="B188" s="575"/>
      <c r="C188" s="575"/>
      <c r="D188" s="575"/>
      <c r="E188" s="575"/>
      <c r="F188" s="575"/>
      <c r="G188" s="575"/>
      <c r="H188" s="575"/>
      <c r="I188" s="575"/>
      <c r="J188" s="575"/>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5685</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5" t="s">
        <v>5696</v>
      </c>
      <c r="B198" s="575"/>
      <c r="C198" s="575"/>
      <c r="D198" s="575"/>
      <c r="E198" s="575"/>
      <c r="F198" s="575"/>
      <c r="G198" s="575"/>
      <c r="H198" s="575"/>
      <c r="I198" s="575"/>
      <c r="J198" s="575"/>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5689</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5" t="s">
        <v>5697</v>
      </c>
      <c r="B210" s="575"/>
      <c r="C210" s="575"/>
      <c r="D210" s="575"/>
      <c r="E210" s="575"/>
      <c r="F210" s="575"/>
      <c r="G210" s="575"/>
      <c r="H210" s="575"/>
      <c r="I210" s="575"/>
      <c r="J210" s="575"/>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5692</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5693</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599"/>
      <c r="H232" s="599"/>
      <c r="I232" s="599"/>
      <c r="J232" s="599"/>
    </row>
  </sheetData>
  <mergeCells count="120">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3:B97">
    <cfRule type="expression" dxfId="202" priority="21">
      <formula>B93="Complete"</formula>
    </cfRule>
    <cfRule type="expression" dxfId="201" priority="22">
      <formula>B93="In Progress"</formula>
    </cfRule>
    <cfRule type="expression" dxfId="200" priority="23">
      <formula>B93="At Risk"</formula>
    </cfRule>
    <cfRule type="expression" dxfId="199" priority="24">
      <formula>B93="Blocked"</formula>
    </cfRule>
    <cfRule type="expression" dxfId="198" priority="25">
      <formula>B93="Not Started"</formula>
    </cfRule>
  </conditionalFormatting>
  <conditionalFormatting sqref="B102:B109">
    <cfRule type="expression" dxfId="197" priority="1">
      <formula>B102="Complete"</formula>
    </cfRule>
    <cfRule type="expression" dxfId="196" priority="2">
      <formula>B102="In Progress"</formula>
    </cfRule>
    <cfRule type="expression" dxfId="195" priority="3">
      <formula>B102="At Risk"</formula>
    </cfRule>
    <cfRule type="expression" dxfId="194" priority="4">
      <formula>B102="Blocked"</formula>
    </cfRule>
    <cfRule type="expression" dxfId="193" priority="5">
      <formula>B102="Not Started"</formula>
    </cfRule>
  </conditionalFormatting>
  <conditionalFormatting sqref="B114:B118">
    <cfRule type="expression" dxfId="192" priority="30">
      <formula>B114="Not Started"</formula>
    </cfRule>
    <cfRule type="expression" dxfId="191" priority="29">
      <formula>B114="Blocked"</formula>
    </cfRule>
    <cfRule type="expression" dxfId="190" priority="28">
      <formula>B114="At Risk"</formula>
    </cfRule>
    <cfRule type="expression" dxfId="189" priority="27">
      <formula>B114="In Progress"</formula>
    </cfRule>
    <cfRule type="expression" dxfId="188" priority="26">
      <formula>B114="Complete"</formula>
    </cfRule>
  </conditionalFormatting>
  <conditionalFormatting sqref="B123:B126">
    <cfRule type="expression" dxfId="187" priority="6">
      <formula>B123="Complete"</formula>
    </cfRule>
    <cfRule type="expression" dxfId="186" priority="7">
      <formula>B123="In Progress"</formula>
    </cfRule>
    <cfRule type="expression" dxfId="185" priority="8">
      <formula>B123="At Risk"</formula>
    </cfRule>
    <cfRule type="expression" dxfId="184" priority="9">
      <formula>B123="Blocked"</formula>
    </cfRule>
    <cfRule type="expression" dxfId="183" priority="10">
      <formula>B123="Not Started"</formula>
    </cfRule>
  </conditionalFormatting>
  <conditionalFormatting sqref="B131:B136">
    <cfRule type="expression" dxfId="182" priority="11">
      <formula>B131="Complete"</formula>
    </cfRule>
    <cfRule type="expression" dxfId="181" priority="12">
      <formula>B131="In Progress"</formula>
    </cfRule>
    <cfRule type="expression" dxfId="180" priority="13">
      <formula>B131="At Risk"</formula>
    </cfRule>
    <cfRule type="expression" dxfId="179" priority="14">
      <formula>B131="Blocked"</formula>
    </cfRule>
    <cfRule type="expression" dxfId="178" priority="15">
      <formula>B131="Not Started"</formula>
    </cfRule>
  </conditionalFormatting>
  <conditionalFormatting sqref="B154:B161">
    <cfRule type="expression" dxfId="177" priority="82">
      <formula>B154="Yes"</formula>
    </cfRule>
    <cfRule type="expression" dxfId="176" priority="83">
      <formula>B154="N/A"</formula>
    </cfRule>
    <cfRule type="expression" dxfId="175" priority="84">
      <formula>B154="No"</formula>
    </cfRule>
  </conditionalFormatting>
  <conditionalFormatting sqref="B171:H171">
    <cfRule type="expression" dxfId="174" priority="86">
      <formula>COUNTIF($B$6:$B$13,"No")&gt;0</formula>
    </cfRule>
    <cfRule type="expression" dxfId="173" priority="85">
      <formula>COUNTIF($B$6:$B$13,"No")=0</formula>
    </cfRule>
  </conditionalFormatting>
  <conditionalFormatting sqref="C98:D98">
    <cfRule type="dataBar" priority="37">
      <dataBar>
        <cfvo type="num" val="0"/>
        <cfvo type="num" val="1"/>
        <color rgb="FF5B9BD5"/>
      </dataBar>
    </cfRule>
  </conditionalFormatting>
  <conditionalFormatting sqref="C102:D109">
    <cfRule type="expression" dxfId="172" priority="32">
      <formula>C102="No"</formula>
    </cfRule>
    <cfRule type="expression" dxfId="171" priority="31">
      <formula>C102="Yes"</formula>
    </cfRule>
    <cfRule type="expression" dxfId="170"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169" priority="17">
      <formula>C131="No"</formula>
    </cfRule>
    <cfRule type="expression" dxfId="168" priority="16">
      <formula>C131="Yes"</formula>
    </cfRule>
    <cfRule type="expression" dxfId="167"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166" priority="87">
      <formula>E5="Pass"</formula>
    </cfRule>
    <cfRule type="expression" dxfId="165" priority="88">
      <formula>E5="Verify"</formula>
    </cfRule>
    <cfRule type="expression" dxfId="164" priority="89">
      <formula>E5="Fail"</formula>
    </cfRule>
    <cfRule type="expression" dxfId="163" priority="90">
      <formula>E5="Not Started"</formula>
    </cfRule>
  </conditionalFormatting>
  <conditionalFormatting sqref="F3">
    <cfRule type="expression" dxfId="162" priority="91">
      <formula>F3="Yes"</formula>
    </cfRule>
    <cfRule type="expression" dxfId="161" priority="92">
      <formula>F3="No"</formula>
    </cfRule>
  </conditionalFormatting>
  <conditionalFormatting sqref="F114:F118">
    <cfRule type="expression" dxfId="160" priority="35">
      <formula>F114="Fail"</formula>
    </cfRule>
    <cfRule type="expression" dxfId="159" priority="36">
      <formula>F114="Pending"</formula>
    </cfRule>
    <cfRule type="expression" dxfId="158" priority="34">
      <formula>F114="Pass"</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Lookup_Lists!$A$36:$A$42</xm:f>
          </x14:formula1>
          <xm:sqref>B93:B97 B102:B109 B131:B136</xm:sqref>
        </x14:dataValidation>
        <x14:dataValidation type="list" allowBlank="1" showInputMessage="1" showErrorMessage="1" xr:uid="{6F7B7D59-E642-489F-A1DB-FD0A2C82A918}">
          <x14:formula1>
            <xm:f>Lookup_Lists!$L$37:$L$39</xm:f>
          </x14:formula1>
          <xm:sqref>C114:E118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3883</v>
      </c>
      <c r="B1" s="896"/>
      <c r="C1" s="896"/>
      <c r="D1" s="896"/>
      <c r="E1" s="896"/>
      <c r="F1" s="896"/>
      <c r="G1" s="896"/>
      <c r="H1" s="896"/>
      <c r="I1" s="896"/>
      <c r="J1" s="896"/>
    </row>
    <row r="2" spans="1:10" s="223" customFormat="1" ht="16.899999999999999" customHeight="1">
      <c r="A2" s="219" t="s">
        <v>142</v>
      </c>
      <c r="B2" s="220" t="s">
        <v>3884</v>
      </c>
      <c r="C2" s="219" t="s">
        <v>902</v>
      </c>
      <c r="D2" s="220" t="s">
        <v>1094</v>
      </c>
      <c r="E2" s="219" t="s">
        <v>151</v>
      </c>
      <c r="F2" s="220" t="s">
        <v>1095</v>
      </c>
      <c r="G2" s="219" t="s">
        <v>174</v>
      </c>
      <c r="H2" s="221">
        <v>0.5</v>
      </c>
      <c r="I2" s="219" t="s">
        <v>154</v>
      </c>
      <c r="J2" s="222" t="s">
        <v>1096</v>
      </c>
    </row>
    <row r="3" spans="1:10" s="227" customFormat="1" ht="26.25" customHeight="1">
      <c r="A3" s="219" t="s">
        <v>903</v>
      </c>
      <c r="B3" s="224">
        <v>46199.475679236108</v>
      </c>
      <c r="C3" s="225" t="s">
        <v>904</v>
      </c>
      <c r="D3" s="226" t="s">
        <v>721</v>
      </c>
      <c r="E3" s="219" t="s">
        <v>905</v>
      </c>
      <c r="F3" s="226" t="s">
        <v>3885</v>
      </c>
      <c r="G3" s="219" t="s">
        <v>907</v>
      </c>
      <c r="H3" s="226" t="s">
        <v>908</v>
      </c>
      <c r="I3" s="219" t="s">
        <v>551</v>
      </c>
      <c r="J3" s="226" t="s">
        <v>3886</v>
      </c>
    </row>
    <row r="4" spans="1:10" s="227" customFormat="1" ht="266.45" customHeight="1">
      <c r="A4" s="219" t="s">
        <v>161</v>
      </c>
      <c r="B4" s="226">
        <v>0</v>
      </c>
      <c r="C4" s="219" t="s">
        <v>199</v>
      </c>
      <c r="D4" s="226">
        <v>0</v>
      </c>
      <c r="E4" s="219" t="s">
        <v>179</v>
      </c>
      <c r="F4" s="226">
        <v>0</v>
      </c>
      <c r="G4" s="219" t="s">
        <v>870</v>
      </c>
      <c r="H4" s="228" t="s">
        <v>3887</v>
      </c>
      <c r="I4" s="229"/>
      <c r="J4" s="229"/>
    </row>
    <row r="5" spans="1:10" s="227" customFormat="1">
      <c r="A5" s="230" t="s">
        <v>911</v>
      </c>
      <c r="B5" s="221" t="s">
        <v>677</v>
      </c>
      <c r="C5" s="231" t="s">
        <v>912</v>
      </c>
      <c r="D5" s="221" t="s">
        <v>677</v>
      </c>
      <c r="E5" s="232" t="s">
        <v>913</v>
      </c>
      <c r="F5" s="221" t="s">
        <v>677</v>
      </c>
      <c r="G5" s="233" t="s">
        <v>914</v>
      </c>
      <c r="H5" s="221" t="s">
        <v>2761</v>
      </c>
      <c r="I5" s="233" t="s">
        <v>915</v>
      </c>
      <c r="J5" s="221" t="s">
        <v>947</v>
      </c>
    </row>
    <row r="6" spans="1:10" s="227" customFormat="1" ht="43.5" customHeight="1">
      <c r="A6" s="234" t="s">
        <v>916</v>
      </c>
      <c r="B6" s="221" t="s">
        <v>947</v>
      </c>
      <c r="C6" s="235" t="s">
        <v>869</v>
      </c>
      <c r="D6" s="604" t="s">
        <v>3888</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3884</v>
      </c>
      <c r="B10" s="13" t="s">
        <v>591</v>
      </c>
      <c r="C10" s="13" t="s">
        <v>919</v>
      </c>
      <c r="D10" s="13" t="s">
        <v>3889</v>
      </c>
      <c r="E10" s="13" t="s">
        <v>3890</v>
      </c>
      <c r="F10" s="13">
        <v>1</v>
      </c>
      <c r="G10" s="13">
        <v>0</v>
      </c>
      <c r="H10" s="13" t="s">
        <v>677</v>
      </c>
      <c r="I10" s="13" t="s">
        <v>3891</v>
      </c>
      <c r="J10" s="13" t="s">
        <v>3892</v>
      </c>
    </row>
    <row r="11" spans="1:10" ht="102">
      <c r="A11" s="13" t="s">
        <v>3884</v>
      </c>
      <c r="B11" s="13" t="s">
        <v>3893</v>
      </c>
      <c r="C11" s="13" t="s">
        <v>919</v>
      </c>
      <c r="D11" s="13" t="s">
        <v>3894</v>
      </c>
      <c r="E11" s="13" t="s">
        <v>2764</v>
      </c>
      <c r="F11" s="13">
        <v>1</v>
      </c>
      <c r="G11" s="13">
        <v>0</v>
      </c>
      <c r="H11" s="13" t="s">
        <v>677</v>
      </c>
      <c r="I11" s="13" t="s">
        <v>3895</v>
      </c>
      <c r="J11" s="13" t="s">
        <v>3896</v>
      </c>
    </row>
    <row r="12" spans="1:10">
      <c r="A12" s="13"/>
      <c r="B12" s="13"/>
      <c r="C12" s="13"/>
      <c r="D12" s="13"/>
      <c r="E12" s="13"/>
      <c r="F12" s="13"/>
      <c r="G12" s="13"/>
      <c r="H12" s="13"/>
      <c r="I12" s="13"/>
      <c r="J12" s="13"/>
    </row>
    <row r="13" spans="1:10">
      <c r="A13" s="575" t="s">
        <v>936</v>
      </c>
      <c r="B13" s="896"/>
      <c r="C13" s="896"/>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6.5">
      <c r="A15" s="13" t="s">
        <v>591</v>
      </c>
      <c r="B15" s="13" t="s">
        <v>677</v>
      </c>
      <c r="C15" s="13" t="s">
        <v>677</v>
      </c>
      <c r="D15" s="13" t="s">
        <v>3897</v>
      </c>
      <c r="E15" s="13" t="s">
        <v>677</v>
      </c>
      <c r="F15" s="13" t="s">
        <v>947</v>
      </c>
      <c r="G15" s="13" t="s">
        <v>677</v>
      </c>
      <c r="H15" s="13" t="s">
        <v>677</v>
      </c>
      <c r="I15" s="13" t="s">
        <v>677</v>
      </c>
      <c r="J15" s="13" t="s">
        <v>3898</v>
      </c>
    </row>
    <row r="16" spans="1:10" ht="76.5">
      <c r="A16" s="13" t="s">
        <v>3893</v>
      </c>
      <c r="B16" s="13" t="s">
        <v>677</v>
      </c>
      <c r="C16" s="13" t="s">
        <v>677</v>
      </c>
      <c r="D16" s="13" t="s">
        <v>3897</v>
      </c>
      <c r="E16" s="13" t="s">
        <v>677</v>
      </c>
      <c r="F16" s="13" t="s">
        <v>947</v>
      </c>
      <c r="G16" s="13" t="s">
        <v>677</v>
      </c>
      <c r="H16" s="13" t="s">
        <v>677</v>
      </c>
      <c r="I16" s="13" t="s">
        <v>677</v>
      </c>
      <c r="J16" s="13" t="s">
        <v>3899</v>
      </c>
    </row>
    <row r="17" spans="1:10">
      <c r="A17" s="13"/>
      <c r="B17" s="13"/>
      <c r="C17" s="13"/>
      <c r="D17" s="13"/>
      <c r="E17" s="13"/>
      <c r="F17" s="13"/>
      <c r="G17" s="13"/>
      <c r="H17" s="13"/>
      <c r="I17" s="13"/>
      <c r="J17" s="13"/>
    </row>
    <row r="18" spans="1:10">
      <c r="A18" s="575" t="s">
        <v>951</v>
      </c>
      <c r="B18" s="896"/>
      <c r="C18" s="896"/>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89.25">
      <c r="A20" s="13" t="s">
        <v>591</v>
      </c>
      <c r="B20" s="13" t="s">
        <v>2774</v>
      </c>
      <c r="C20" s="13" t="s">
        <v>679</v>
      </c>
      <c r="D20" s="13" t="s">
        <v>947</v>
      </c>
      <c r="E20" s="13" t="s">
        <v>947</v>
      </c>
      <c r="F20" s="13" t="s">
        <v>1238</v>
      </c>
      <c r="G20" s="13" t="s">
        <v>677</v>
      </c>
      <c r="H20" s="13" t="s">
        <v>677</v>
      </c>
      <c r="I20" s="13" t="s">
        <v>677</v>
      </c>
      <c r="J20" s="13" t="s">
        <v>3900</v>
      </c>
    </row>
    <row r="21" spans="1:10" ht="63.75">
      <c r="A21" s="13" t="s">
        <v>3893</v>
      </c>
      <c r="B21" s="13" t="s">
        <v>2774</v>
      </c>
      <c r="C21" s="13" t="s">
        <v>679</v>
      </c>
      <c r="D21" s="13" t="s">
        <v>947</v>
      </c>
      <c r="E21" s="13" t="s">
        <v>947</v>
      </c>
      <c r="F21" s="13" t="s">
        <v>1238</v>
      </c>
      <c r="G21" s="13" t="s">
        <v>677</v>
      </c>
      <c r="H21" s="13" t="s">
        <v>677</v>
      </c>
      <c r="I21" s="13" t="s">
        <v>677</v>
      </c>
      <c r="J21" s="13" t="s">
        <v>3901</v>
      </c>
    </row>
    <row r="22" spans="1:10">
      <c r="A22" s="13"/>
      <c r="B22" s="13"/>
      <c r="C22" s="13"/>
      <c r="D22" s="13"/>
      <c r="E22" s="13"/>
      <c r="F22" s="13"/>
      <c r="G22" s="13"/>
      <c r="H22" s="13"/>
      <c r="I22" s="13"/>
      <c r="J22" s="13"/>
    </row>
    <row r="23" spans="1:10">
      <c r="A23" s="575" t="s">
        <v>964</v>
      </c>
      <c r="B23" s="896"/>
      <c r="C23" s="896"/>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3.75">
      <c r="A25" s="13" t="s">
        <v>591</v>
      </c>
      <c r="B25" s="13" t="s">
        <v>2777</v>
      </c>
      <c r="C25" s="13" t="s">
        <v>679</v>
      </c>
      <c r="D25" s="13" t="s">
        <v>679</v>
      </c>
      <c r="E25" s="13" t="s">
        <v>679</v>
      </c>
      <c r="F25" s="13" t="s">
        <v>679</v>
      </c>
      <c r="G25" s="13" t="s">
        <v>679</v>
      </c>
      <c r="H25" s="13" t="s">
        <v>679</v>
      </c>
      <c r="I25" s="13" t="s">
        <v>679</v>
      </c>
      <c r="J25" s="13" t="s">
        <v>3902</v>
      </c>
    </row>
    <row r="26" spans="1:10" ht="63.75">
      <c r="A26" s="13" t="s">
        <v>3893</v>
      </c>
      <c r="B26" s="13" t="s">
        <v>2777</v>
      </c>
      <c r="C26" s="13" t="s">
        <v>679</v>
      </c>
      <c r="D26" s="13" t="s">
        <v>679</v>
      </c>
      <c r="E26" s="13" t="s">
        <v>679</v>
      </c>
      <c r="F26" s="13" t="s">
        <v>679</v>
      </c>
      <c r="G26" s="13" t="s">
        <v>679</v>
      </c>
      <c r="H26" s="13" t="s">
        <v>679</v>
      </c>
      <c r="I26" s="13" t="s">
        <v>679</v>
      </c>
      <c r="J26" s="13" t="s">
        <v>3903</v>
      </c>
    </row>
    <row r="27" spans="1:10">
      <c r="A27" s="13"/>
      <c r="B27" s="13"/>
      <c r="C27" s="13"/>
      <c r="D27" s="13"/>
      <c r="E27" s="13"/>
      <c r="F27" s="13"/>
      <c r="G27" s="13"/>
      <c r="H27" s="13"/>
      <c r="I27" s="13"/>
      <c r="J27" s="13"/>
    </row>
    <row r="28" spans="1:10">
      <c r="A28" s="575" t="s">
        <v>977</v>
      </c>
      <c r="B28" s="896"/>
      <c r="C28" s="896"/>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89.25">
      <c r="A30" s="13" t="s">
        <v>591</v>
      </c>
      <c r="B30" s="13" t="s">
        <v>677</v>
      </c>
      <c r="C30" s="13" t="s">
        <v>2780</v>
      </c>
      <c r="D30" s="13" t="s">
        <v>677</v>
      </c>
      <c r="E30" s="13" t="s">
        <v>677</v>
      </c>
      <c r="F30" s="13" t="s">
        <v>3904</v>
      </c>
      <c r="G30" s="13" t="s">
        <v>677</v>
      </c>
      <c r="H30" s="13" t="s">
        <v>677</v>
      </c>
      <c r="I30" s="13" t="s">
        <v>677</v>
      </c>
      <c r="J30" s="13" t="s">
        <v>3905</v>
      </c>
    </row>
    <row r="31" spans="1:10" ht="63.75">
      <c r="A31" s="13" t="s">
        <v>3893</v>
      </c>
      <c r="B31" s="13" t="s">
        <v>677</v>
      </c>
      <c r="C31" s="13" t="s">
        <v>3906</v>
      </c>
      <c r="D31" s="13" t="s">
        <v>677</v>
      </c>
      <c r="E31" s="13" t="s">
        <v>677</v>
      </c>
      <c r="F31" s="13" t="s">
        <v>677</v>
      </c>
      <c r="G31" s="13" t="s">
        <v>677</v>
      </c>
      <c r="H31" s="13" t="s">
        <v>677</v>
      </c>
      <c r="I31" s="13" t="s">
        <v>677</v>
      </c>
      <c r="J31" s="13" t="s">
        <v>3907</v>
      </c>
    </row>
    <row r="32" spans="1:10">
      <c r="A32" s="13"/>
      <c r="B32" s="13"/>
      <c r="C32" s="13"/>
      <c r="D32" s="13"/>
      <c r="E32" s="13"/>
      <c r="F32" s="13"/>
      <c r="G32" s="13"/>
      <c r="H32" s="13"/>
      <c r="I32" s="13"/>
      <c r="J32" s="13"/>
    </row>
    <row r="33" spans="1:10">
      <c r="A33" s="575" t="s">
        <v>994</v>
      </c>
      <c r="B33" s="896"/>
      <c r="C33" s="896"/>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2">
      <c r="A35" s="13" t="s">
        <v>591</v>
      </c>
      <c r="B35" s="13" t="s">
        <v>677</v>
      </c>
      <c r="C35" s="13" t="s">
        <v>677</v>
      </c>
      <c r="D35" s="13" t="s">
        <v>677</v>
      </c>
      <c r="E35" s="13" t="s">
        <v>677</v>
      </c>
      <c r="F35" s="13" t="s">
        <v>677</v>
      </c>
      <c r="G35" s="13" t="s">
        <v>677</v>
      </c>
      <c r="H35" s="13" t="s">
        <v>677</v>
      </c>
      <c r="I35" s="13" t="s">
        <v>677</v>
      </c>
      <c r="J35" s="13" t="s">
        <v>3908</v>
      </c>
    </row>
    <row r="36" spans="1:10" ht="89.25">
      <c r="A36" s="13" t="s">
        <v>3893</v>
      </c>
      <c r="B36" s="13" t="s">
        <v>677</v>
      </c>
      <c r="C36" s="13" t="s">
        <v>677</v>
      </c>
      <c r="D36" s="13" t="s">
        <v>677</v>
      </c>
      <c r="E36" s="13" t="s">
        <v>677</v>
      </c>
      <c r="F36" s="13" t="s">
        <v>677</v>
      </c>
      <c r="G36" s="13" t="s">
        <v>677</v>
      </c>
      <c r="H36" s="13" t="s">
        <v>677</v>
      </c>
      <c r="I36" s="13" t="s">
        <v>677</v>
      </c>
      <c r="J36" s="13" t="s">
        <v>3909</v>
      </c>
    </row>
    <row r="37" spans="1:10">
      <c r="A37" s="13"/>
      <c r="B37" s="13"/>
      <c r="C37" s="13"/>
      <c r="D37" s="13"/>
      <c r="E37" s="13"/>
      <c r="F37" s="13"/>
      <c r="G37" s="13"/>
      <c r="H37" s="13"/>
      <c r="I37" s="13"/>
      <c r="J37" s="13"/>
    </row>
    <row r="38" spans="1:10">
      <c r="A38" s="575" t="s">
        <v>1007</v>
      </c>
      <c r="B38" s="896"/>
      <c r="C38" s="896"/>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6.5">
      <c r="A40" s="13" t="s">
        <v>591</v>
      </c>
      <c r="B40" s="13" t="s">
        <v>1238</v>
      </c>
      <c r="C40" s="13" t="s">
        <v>1238</v>
      </c>
      <c r="D40" s="13" t="s">
        <v>1238</v>
      </c>
      <c r="E40" s="13" t="s">
        <v>1238</v>
      </c>
      <c r="F40" s="13" t="s">
        <v>677</v>
      </c>
      <c r="G40" s="13" t="s">
        <v>677</v>
      </c>
      <c r="H40" s="13" t="s">
        <v>677</v>
      </c>
      <c r="I40" s="13" t="s">
        <v>677</v>
      </c>
      <c r="J40" s="13" t="s">
        <v>3910</v>
      </c>
    </row>
    <row r="41" spans="1:10" ht="38.25">
      <c r="A41" s="13" t="s">
        <v>3893</v>
      </c>
      <c r="B41" s="13" t="s">
        <v>1238</v>
      </c>
      <c r="C41" s="13" t="s">
        <v>1238</v>
      </c>
      <c r="D41" s="13" t="s">
        <v>1238</v>
      </c>
      <c r="E41" s="13" t="s">
        <v>1238</v>
      </c>
      <c r="F41" s="13" t="s">
        <v>677</v>
      </c>
      <c r="G41" s="13" t="s">
        <v>677</v>
      </c>
      <c r="H41" s="13" t="s">
        <v>677</v>
      </c>
      <c r="I41" s="13" t="s">
        <v>677</v>
      </c>
      <c r="J41" s="13" t="s">
        <v>3911</v>
      </c>
    </row>
    <row r="42" spans="1:10">
      <c r="A42" s="13"/>
      <c r="B42" s="13"/>
      <c r="C42" s="13"/>
      <c r="D42" s="13"/>
      <c r="E42" s="13"/>
      <c r="F42" s="13"/>
      <c r="G42" s="13"/>
      <c r="H42" s="13"/>
      <c r="I42" s="13"/>
      <c r="J42" s="13"/>
    </row>
    <row r="43" spans="1:10">
      <c r="A43" s="575" t="s">
        <v>1019</v>
      </c>
      <c r="B43" s="896"/>
      <c r="C43" s="896"/>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51">
      <c r="A45" s="13" t="s">
        <v>3912</v>
      </c>
      <c r="B45" s="13" t="s">
        <v>575</v>
      </c>
      <c r="C45" s="13" t="s">
        <v>3913</v>
      </c>
      <c r="D45" s="13" t="s">
        <v>391</v>
      </c>
      <c r="E45" s="13" t="s">
        <v>488</v>
      </c>
      <c r="F45" s="13">
        <v>6</v>
      </c>
      <c r="G45" s="13" t="s">
        <v>1381</v>
      </c>
      <c r="H45" s="13" t="s">
        <v>1023</v>
      </c>
      <c r="I45" s="13" t="s">
        <v>502</v>
      </c>
      <c r="J45" s="13" t="s">
        <v>3914</v>
      </c>
    </row>
    <row r="46" spans="1:10" ht="89.25">
      <c r="A46" s="13" t="s">
        <v>3915</v>
      </c>
      <c r="B46" s="13" t="s">
        <v>591</v>
      </c>
      <c r="C46" s="13" t="s">
        <v>3916</v>
      </c>
      <c r="D46" s="13" t="s">
        <v>391</v>
      </c>
      <c r="E46" s="13" t="s">
        <v>488</v>
      </c>
      <c r="F46" s="13">
        <v>6</v>
      </c>
      <c r="G46" s="13" t="s">
        <v>3917</v>
      </c>
      <c r="H46" s="13" t="s">
        <v>3918</v>
      </c>
      <c r="I46" s="13" t="s">
        <v>502</v>
      </c>
      <c r="J46" s="13" t="s">
        <v>3919</v>
      </c>
    </row>
    <row r="47" spans="1:10" ht="63.75">
      <c r="A47" s="13" t="s">
        <v>3920</v>
      </c>
      <c r="B47" s="13" t="s">
        <v>3921</v>
      </c>
      <c r="C47" s="13" t="s">
        <v>3922</v>
      </c>
      <c r="D47" s="13" t="s">
        <v>391</v>
      </c>
      <c r="E47" s="13" t="s">
        <v>488</v>
      </c>
      <c r="F47" s="13">
        <v>6</v>
      </c>
      <c r="G47" s="13" t="s">
        <v>3923</v>
      </c>
      <c r="H47" s="13" t="s">
        <v>3924</v>
      </c>
      <c r="I47" s="13" t="s">
        <v>502</v>
      </c>
      <c r="J47" s="13" t="s">
        <v>3925</v>
      </c>
    </row>
    <row r="48" spans="1:10" ht="76.5">
      <c r="A48" s="13" t="s">
        <v>3926</v>
      </c>
      <c r="B48" s="13" t="s">
        <v>591</v>
      </c>
      <c r="C48" s="13" t="s">
        <v>3927</v>
      </c>
      <c r="D48" s="13" t="s">
        <v>492</v>
      </c>
      <c r="E48" s="13" t="s">
        <v>488</v>
      </c>
      <c r="F48" s="13">
        <v>8</v>
      </c>
      <c r="G48" s="13" t="s">
        <v>3928</v>
      </c>
      <c r="H48" s="13" t="s">
        <v>584</v>
      </c>
      <c r="I48" s="13" t="s">
        <v>502</v>
      </c>
      <c r="J48" s="13" t="s">
        <v>3929</v>
      </c>
    </row>
    <row r="49" spans="1:10" ht="63.75">
      <c r="A49" s="13" t="s">
        <v>3930</v>
      </c>
      <c r="B49" s="13" t="s">
        <v>591</v>
      </c>
      <c r="C49" s="13" t="s">
        <v>2806</v>
      </c>
      <c r="D49" s="13" t="s">
        <v>391</v>
      </c>
      <c r="E49" s="13" t="s">
        <v>488</v>
      </c>
      <c r="F49" s="13">
        <v>6</v>
      </c>
      <c r="G49" s="13" t="s">
        <v>2807</v>
      </c>
      <c r="H49" s="13" t="s">
        <v>2808</v>
      </c>
      <c r="I49" s="13" t="s">
        <v>502</v>
      </c>
      <c r="J49" s="13" t="s">
        <v>3931</v>
      </c>
    </row>
    <row r="50" spans="1:10" ht="63.75">
      <c r="A50" s="13" t="s">
        <v>3932</v>
      </c>
      <c r="B50" s="13" t="s">
        <v>575</v>
      </c>
      <c r="C50" s="13" t="s">
        <v>3933</v>
      </c>
      <c r="D50" s="13" t="s">
        <v>391</v>
      </c>
      <c r="E50" s="13" t="s">
        <v>488</v>
      </c>
      <c r="F50" s="13">
        <v>6</v>
      </c>
      <c r="G50" s="13" t="s">
        <v>3934</v>
      </c>
      <c r="H50" s="13" t="s">
        <v>1037</v>
      </c>
      <c r="I50" s="13" t="s">
        <v>502</v>
      </c>
      <c r="J50" s="13" t="s">
        <v>3935</v>
      </c>
    </row>
    <row r="51" spans="1:10" ht="76.5">
      <c r="A51" s="13" t="s">
        <v>3936</v>
      </c>
      <c r="B51" s="13" t="s">
        <v>575</v>
      </c>
      <c r="C51" s="13" t="s">
        <v>2815</v>
      </c>
      <c r="D51" s="13" t="s">
        <v>391</v>
      </c>
      <c r="E51" s="13" t="s">
        <v>488</v>
      </c>
      <c r="F51" s="13">
        <v>6</v>
      </c>
      <c r="G51" s="13" t="s">
        <v>2937</v>
      </c>
      <c r="H51" s="13" t="s">
        <v>622</v>
      </c>
      <c r="I51" s="13" t="s">
        <v>502</v>
      </c>
      <c r="J51" s="13" t="s">
        <v>3937</v>
      </c>
    </row>
    <row r="52" spans="1:10" ht="89.25">
      <c r="A52" s="13" t="s">
        <v>3938</v>
      </c>
      <c r="B52" s="13" t="s">
        <v>575</v>
      </c>
      <c r="C52" s="13" t="s">
        <v>3939</v>
      </c>
      <c r="D52" s="13" t="s">
        <v>391</v>
      </c>
      <c r="E52" s="13" t="s">
        <v>488</v>
      </c>
      <c r="F52" s="13">
        <v>6</v>
      </c>
      <c r="G52" s="13" t="s">
        <v>2820</v>
      </c>
      <c r="H52" s="13" t="s">
        <v>1049</v>
      </c>
      <c r="I52" s="13" t="s">
        <v>502</v>
      </c>
      <c r="J52" s="13" t="s">
        <v>3940</v>
      </c>
    </row>
    <row r="53" spans="1:10">
      <c r="A53" s="13"/>
      <c r="B53" s="13"/>
      <c r="C53" s="13"/>
      <c r="D53" s="13"/>
      <c r="E53" s="13"/>
      <c r="F53" s="13"/>
      <c r="G53" s="13"/>
      <c r="H53" s="13"/>
      <c r="I53" s="13"/>
      <c r="J53" s="13"/>
    </row>
    <row r="54" spans="1:10">
      <c r="A54" s="575" t="s">
        <v>1051</v>
      </c>
      <c r="B54" s="896"/>
      <c r="C54" s="896"/>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3.75">
      <c r="A56" s="13" t="s">
        <v>3941</v>
      </c>
      <c r="B56" s="13" t="s">
        <v>3942</v>
      </c>
      <c r="C56" s="13" t="s">
        <v>3943</v>
      </c>
      <c r="D56" s="13" t="s">
        <v>502</v>
      </c>
      <c r="E56" s="13"/>
      <c r="F56" s="13"/>
      <c r="G56" s="13" t="s">
        <v>3944</v>
      </c>
      <c r="H56" s="13"/>
      <c r="I56" s="13"/>
      <c r="J56" s="13"/>
    </row>
    <row r="57" spans="1:10" ht="102">
      <c r="A57" s="13" t="s">
        <v>3945</v>
      </c>
      <c r="B57" s="13" t="s">
        <v>3946</v>
      </c>
      <c r="C57" s="13" t="s">
        <v>3327</v>
      </c>
      <c r="D57" s="13" t="s">
        <v>502</v>
      </c>
      <c r="E57" s="13"/>
      <c r="F57" s="13"/>
      <c r="G57" s="13" t="s">
        <v>3947</v>
      </c>
      <c r="H57" s="13"/>
      <c r="I57" s="13"/>
      <c r="J57" s="13"/>
    </row>
    <row r="58" spans="1:10" ht="76.5">
      <c r="A58" s="13" t="s">
        <v>3948</v>
      </c>
      <c r="B58" s="13" t="s">
        <v>3949</v>
      </c>
      <c r="C58" s="13" t="s">
        <v>587</v>
      </c>
      <c r="D58" s="13" t="s">
        <v>502</v>
      </c>
      <c r="E58" s="13"/>
      <c r="F58" s="13"/>
      <c r="G58" s="13" t="s">
        <v>3950</v>
      </c>
      <c r="H58" s="13"/>
      <c r="I58" s="13"/>
      <c r="J58" s="13"/>
    </row>
    <row r="59" spans="1:10" ht="76.5">
      <c r="A59" s="13" t="s">
        <v>3951</v>
      </c>
      <c r="B59" s="13" t="s">
        <v>3952</v>
      </c>
      <c r="C59" s="13" t="s">
        <v>616</v>
      </c>
      <c r="D59" s="13" t="s">
        <v>502</v>
      </c>
      <c r="E59" s="13"/>
      <c r="F59" s="13"/>
      <c r="G59" s="13" t="s">
        <v>617</v>
      </c>
      <c r="H59" s="13"/>
      <c r="I59" s="13"/>
      <c r="J59" s="13"/>
    </row>
    <row r="60" spans="1:10" ht="102">
      <c r="A60" s="13" t="s">
        <v>3953</v>
      </c>
      <c r="B60" s="13" t="s">
        <v>3954</v>
      </c>
      <c r="C60" s="13" t="s">
        <v>2830</v>
      </c>
      <c r="D60" s="13" t="s">
        <v>502</v>
      </c>
      <c r="E60" s="13"/>
      <c r="F60" s="13"/>
      <c r="G60" s="13" t="s">
        <v>3955</v>
      </c>
      <c r="H60" s="13"/>
      <c r="I60" s="13"/>
      <c r="J60" s="13"/>
    </row>
    <row r="61" spans="1:10" ht="89.25">
      <c r="A61" s="13" t="s">
        <v>3956</v>
      </c>
      <c r="B61" s="13" t="s">
        <v>3957</v>
      </c>
      <c r="C61" s="13" t="s">
        <v>2838</v>
      </c>
      <c r="D61" s="13" t="s">
        <v>502</v>
      </c>
      <c r="E61" s="13"/>
      <c r="F61" s="13"/>
      <c r="G61" s="13" t="s">
        <v>2839</v>
      </c>
      <c r="H61" s="13"/>
      <c r="I61" s="13"/>
      <c r="J61" s="13"/>
    </row>
    <row r="62" spans="1:10" ht="63.75">
      <c r="A62" s="13" t="s">
        <v>3958</v>
      </c>
      <c r="B62" s="13" t="s">
        <v>3959</v>
      </c>
      <c r="C62" s="13" t="s">
        <v>2834</v>
      </c>
      <c r="D62" s="13" t="s">
        <v>502</v>
      </c>
      <c r="E62" s="13"/>
      <c r="F62" s="13"/>
      <c r="G62" s="13" t="s">
        <v>2835</v>
      </c>
      <c r="H62" s="13"/>
      <c r="I62" s="13"/>
      <c r="J62" s="13"/>
    </row>
    <row r="63" spans="1:10" ht="76.5">
      <c r="A63" s="13" t="s">
        <v>3960</v>
      </c>
      <c r="B63" s="13" t="s">
        <v>3961</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5" t="s">
        <v>1052</v>
      </c>
      <c r="B65" s="896"/>
      <c r="C65" s="896"/>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89.25">
      <c r="A67" s="13" t="s">
        <v>3962</v>
      </c>
      <c r="B67" s="13" t="s">
        <v>591</v>
      </c>
      <c r="C67" s="13" t="s">
        <v>269</v>
      </c>
      <c r="D67" s="13" t="s">
        <v>3963</v>
      </c>
      <c r="E67" s="13"/>
      <c r="F67" s="13" t="s">
        <v>229</v>
      </c>
      <c r="G67" s="13"/>
      <c r="H67" s="13" t="s">
        <v>3964</v>
      </c>
      <c r="I67" s="13" t="s">
        <v>502</v>
      </c>
      <c r="J67" s="13"/>
    </row>
    <row r="68" spans="1:10" ht="76.5">
      <c r="A68" s="13" t="s">
        <v>3965</v>
      </c>
      <c r="B68" s="13" t="s">
        <v>591</v>
      </c>
      <c r="C68" s="13" t="s">
        <v>153</v>
      </c>
      <c r="D68" s="13" t="s">
        <v>3966</v>
      </c>
      <c r="E68" s="13"/>
      <c r="F68" s="13" t="s">
        <v>229</v>
      </c>
      <c r="G68" s="13"/>
      <c r="H68" s="13" t="s">
        <v>3930</v>
      </c>
      <c r="I68" s="13" t="s">
        <v>502</v>
      </c>
      <c r="J68" s="13"/>
    </row>
    <row r="69" spans="1:10" ht="89.25">
      <c r="A69" s="13" t="s">
        <v>3967</v>
      </c>
      <c r="B69" s="13" t="s">
        <v>591</v>
      </c>
      <c r="C69" s="13" t="s">
        <v>155</v>
      </c>
      <c r="D69" s="13" t="s">
        <v>3968</v>
      </c>
      <c r="E69" s="13"/>
      <c r="F69" s="13" t="s">
        <v>229</v>
      </c>
      <c r="G69" s="13"/>
      <c r="H69" s="13" t="s">
        <v>3969</v>
      </c>
      <c r="I69" s="13" t="s">
        <v>502</v>
      </c>
      <c r="J69" s="13"/>
    </row>
    <row r="70" spans="1:10" ht="76.5">
      <c r="A70" s="13" t="s">
        <v>3970</v>
      </c>
      <c r="B70" s="13" t="s">
        <v>591</v>
      </c>
      <c r="C70" s="13" t="s">
        <v>2640</v>
      </c>
      <c r="D70" s="13" t="s">
        <v>3971</v>
      </c>
      <c r="E70" s="13"/>
      <c r="F70" s="13" t="s">
        <v>229</v>
      </c>
      <c r="G70" s="13"/>
      <c r="H70" s="13" t="s">
        <v>3972</v>
      </c>
      <c r="I70" s="13" t="s">
        <v>502</v>
      </c>
      <c r="J70" s="13"/>
    </row>
    <row r="71" spans="1:10" ht="63.75">
      <c r="A71" s="13" t="s">
        <v>3973</v>
      </c>
      <c r="B71" s="13" t="s">
        <v>591</v>
      </c>
      <c r="C71" s="13" t="s">
        <v>957</v>
      </c>
      <c r="D71" s="13" t="s">
        <v>3974</v>
      </c>
      <c r="E71" s="13"/>
      <c r="F71" s="13" t="s">
        <v>229</v>
      </c>
      <c r="G71" s="13"/>
      <c r="H71" s="13" t="s">
        <v>3936</v>
      </c>
      <c r="I71" s="13" t="s">
        <v>502</v>
      </c>
      <c r="J71" s="13"/>
    </row>
    <row r="72" spans="1:10" ht="63.75">
      <c r="A72" s="13" t="s">
        <v>3975</v>
      </c>
      <c r="B72" s="13" t="s">
        <v>591</v>
      </c>
      <c r="C72" s="13" t="s">
        <v>3976</v>
      </c>
      <c r="D72" s="13" t="s">
        <v>3977</v>
      </c>
      <c r="E72" s="13"/>
      <c r="F72" s="13" t="s">
        <v>229</v>
      </c>
      <c r="G72" s="13"/>
      <c r="H72" s="13" t="s">
        <v>3978</v>
      </c>
      <c r="I72" s="13" t="s">
        <v>502</v>
      </c>
      <c r="J72" s="13"/>
    </row>
    <row r="73" spans="1:10" ht="76.5">
      <c r="A73" s="13" t="s">
        <v>3979</v>
      </c>
      <c r="B73" s="13" t="s">
        <v>591</v>
      </c>
      <c r="C73" s="13" t="s">
        <v>3980</v>
      </c>
      <c r="D73" s="13" t="s">
        <v>3981</v>
      </c>
      <c r="E73" s="13"/>
      <c r="F73" s="13" t="s">
        <v>229</v>
      </c>
      <c r="G73" s="13"/>
      <c r="H73" s="13" t="s">
        <v>3938</v>
      </c>
      <c r="I73" s="13" t="s">
        <v>502</v>
      </c>
      <c r="J73" s="13"/>
    </row>
    <row r="74" spans="1:10" ht="63.75">
      <c r="A74" s="13" t="s">
        <v>3982</v>
      </c>
      <c r="B74" s="13" t="s">
        <v>575</v>
      </c>
      <c r="C74" s="13" t="s">
        <v>3983</v>
      </c>
      <c r="D74" s="13" t="s">
        <v>3984</v>
      </c>
      <c r="E74" s="13"/>
      <c r="F74" s="13" t="s">
        <v>229</v>
      </c>
      <c r="G74" s="13"/>
      <c r="H74" s="13" t="s">
        <v>3985</v>
      </c>
      <c r="I74" s="13" t="s">
        <v>502</v>
      </c>
      <c r="J74" s="13"/>
    </row>
    <row r="75" spans="1:10">
      <c r="A75" s="13"/>
      <c r="B75" s="13"/>
      <c r="C75" s="13"/>
      <c r="D75" s="13"/>
      <c r="E75" s="13"/>
      <c r="F75" s="13"/>
      <c r="G75" s="13"/>
      <c r="H75" s="13"/>
      <c r="I75" s="13"/>
      <c r="J75" s="13"/>
    </row>
    <row r="76" spans="1:10">
      <c r="A76" s="575" t="s">
        <v>1079</v>
      </c>
      <c r="B76" s="896"/>
      <c r="C76" s="896"/>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3.75">
      <c r="A78" s="13" t="s">
        <v>591</v>
      </c>
      <c r="B78" s="13">
        <v>0.5</v>
      </c>
      <c r="C78" s="13">
        <v>0.5</v>
      </c>
      <c r="D78" s="13" t="s">
        <v>1238</v>
      </c>
      <c r="E78" s="13">
        <v>0.5</v>
      </c>
      <c r="F78" s="13">
        <v>0.5</v>
      </c>
      <c r="G78" s="13" t="s">
        <v>677</v>
      </c>
      <c r="H78" s="13">
        <v>0.5</v>
      </c>
      <c r="I78" s="13" t="s">
        <v>1201</v>
      </c>
      <c r="J78" s="13" t="s">
        <v>3986</v>
      </c>
    </row>
    <row r="79" spans="1:10" ht="38.25">
      <c r="A79" s="13" t="s">
        <v>3893</v>
      </c>
      <c r="B79" s="13">
        <v>0.5</v>
      </c>
      <c r="C79" s="13">
        <v>0.5</v>
      </c>
      <c r="D79" s="13" t="s">
        <v>1238</v>
      </c>
      <c r="E79" s="13">
        <v>0.5</v>
      </c>
      <c r="F79" s="13">
        <v>0.5</v>
      </c>
      <c r="G79" s="13" t="s">
        <v>677</v>
      </c>
      <c r="H79" s="13">
        <v>0.5</v>
      </c>
      <c r="I79" s="13" t="s">
        <v>1201</v>
      </c>
      <c r="J79" s="13" t="s">
        <v>3987</v>
      </c>
    </row>
    <row r="80" spans="1:10">
      <c r="A80" s="13"/>
      <c r="B80" s="13"/>
      <c r="C80" s="13"/>
      <c r="D80" s="13"/>
      <c r="E80" s="13"/>
      <c r="F80" s="13"/>
      <c r="G80" s="13"/>
      <c r="H80" s="13"/>
      <c r="I80" s="13"/>
      <c r="J80" s="13"/>
    </row>
    <row r="81" spans="1:10">
      <c r="A81" s="575" t="s">
        <v>1085</v>
      </c>
      <c r="B81" s="896"/>
      <c r="C81" s="896"/>
      <c r="D81" s="85"/>
      <c r="E81" s="85"/>
      <c r="F81" s="85"/>
      <c r="G81" s="85"/>
      <c r="H81" s="85"/>
      <c r="I81" s="85"/>
      <c r="J81" s="85"/>
    </row>
    <row r="82" spans="1:10" ht="51">
      <c r="A82" s="50" t="s">
        <v>905</v>
      </c>
      <c r="B82" s="50" t="s">
        <v>3988</v>
      </c>
      <c r="C82" s="50"/>
      <c r="D82" s="50"/>
      <c r="E82" s="50"/>
      <c r="F82" s="50"/>
      <c r="G82" s="50"/>
      <c r="H82" s="50"/>
      <c r="I82" s="50"/>
      <c r="J82" s="50"/>
    </row>
    <row r="83" spans="1:10" ht="191.25">
      <c r="A83" s="13" t="s">
        <v>1086</v>
      </c>
      <c r="B83" s="13" t="s">
        <v>3989</v>
      </c>
      <c r="C83" s="13"/>
      <c r="D83" s="13"/>
      <c r="E83" s="13"/>
      <c r="F83" s="13"/>
      <c r="G83" s="13"/>
      <c r="H83" s="13"/>
      <c r="I83" s="13"/>
      <c r="J83" s="13"/>
    </row>
    <row r="84" spans="1:10" ht="102">
      <c r="A84" s="13" t="s">
        <v>2194</v>
      </c>
      <c r="B84" s="13" t="s">
        <v>3990</v>
      </c>
      <c r="C84" s="13"/>
      <c r="D84" s="13"/>
      <c r="E84" s="13"/>
      <c r="F84" s="13"/>
      <c r="G84" s="13"/>
      <c r="H84" s="13"/>
      <c r="I84" s="13"/>
      <c r="J84" s="13"/>
    </row>
    <row r="85" spans="1:10" ht="153">
      <c r="A85" s="13" t="s">
        <v>3991</v>
      </c>
      <c r="B85" s="13" t="s">
        <v>3992</v>
      </c>
      <c r="C85" s="13"/>
      <c r="D85" s="13"/>
      <c r="E85" s="13"/>
      <c r="F85" s="13"/>
      <c r="G85" s="13"/>
      <c r="H85" s="13"/>
      <c r="I85" s="13"/>
      <c r="J85" s="13"/>
    </row>
    <row r="86" spans="1:10" ht="229.5">
      <c r="A86" s="13" t="s">
        <v>1088</v>
      </c>
      <c r="B86" s="13" t="s">
        <v>3993</v>
      </c>
      <c r="C86" s="13"/>
      <c r="D86" s="13"/>
      <c r="E86" s="13"/>
      <c r="F86" s="13"/>
      <c r="G86" s="13"/>
      <c r="H86" s="13"/>
      <c r="I86" s="13"/>
      <c r="J86" s="13"/>
    </row>
    <row r="87" spans="1:10" ht="165.75">
      <c r="A87" s="13" t="s">
        <v>3994</v>
      </c>
      <c r="B87" s="13" t="s">
        <v>3995</v>
      </c>
      <c r="C87" s="13"/>
      <c r="D87" s="13"/>
      <c r="E87" s="13"/>
      <c r="F87" s="13"/>
      <c r="G87" s="13"/>
      <c r="H87" s="13"/>
      <c r="I87" s="13"/>
      <c r="J87" s="13"/>
    </row>
    <row r="88" spans="1:10" ht="178.5">
      <c r="A88" s="13" t="s">
        <v>1563</v>
      </c>
      <c r="B88" s="13" t="s">
        <v>2874</v>
      </c>
      <c r="C88" s="13"/>
      <c r="D88" s="13"/>
      <c r="E88" s="13"/>
      <c r="F88" s="13"/>
      <c r="G88" s="13"/>
      <c r="H88" s="13"/>
      <c r="I88" s="13"/>
      <c r="J88" s="13"/>
    </row>
    <row r="89" spans="1:10" ht="127.5">
      <c r="A89" s="13" t="s">
        <v>3996</v>
      </c>
      <c r="B89" s="13" t="s">
        <v>3997</v>
      </c>
      <c r="C89" s="13"/>
      <c r="D89" s="13"/>
      <c r="E89" s="13"/>
      <c r="F89" s="13"/>
      <c r="G89" s="13"/>
      <c r="H89" s="13"/>
      <c r="I89" s="13"/>
      <c r="J89" s="13"/>
    </row>
    <row r="91" spans="1:10" ht="15.75" thickBot="1"/>
    <row r="92" spans="1:10" ht="15" customHeight="1">
      <c r="A92" s="605" t="s">
        <v>5668</v>
      </c>
      <c r="B92" s="602"/>
      <c r="C92" s="602"/>
      <c r="D92" s="606"/>
      <c r="E92" s="602"/>
      <c r="F92" s="602"/>
      <c r="G92" s="606"/>
      <c r="H92" s="606"/>
      <c r="I92" s="606"/>
      <c r="J92" s="607"/>
    </row>
    <row r="93" spans="1:10" ht="30" customHeight="1">
      <c r="A93" s="321" t="s">
        <v>5610</v>
      </c>
      <c r="B93" s="322" t="s">
        <v>77</v>
      </c>
      <c r="C93" s="322" t="s">
        <v>5611</v>
      </c>
      <c r="D93" s="322" t="s">
        <v>5612</v>
      </c>
      <c r="E93" s="322" t="s">
        <v>5634</v>
      </c>
      <c r="F93" s="322" t="s">
        <v>5601</v>
      </c>
      <c r="G93" s="578" t="s">
        <v>5635</v>
      </c>
      <c r="H93" s="578"/>
      <c r="I93" s="578"/>
      <c r="J93" s="579"/>
    </row>
    <row r="94" spans="1:10" ht="25.5" customHeight="1">
      <c r="A94" s="323" t="s">
        <v>5613</v>
      </c>
      <c r="B94" s="333" t="s">
        <v>484</v>
      </c>
      <c r="C94" s="325">
        <v>0</v>
      </c>
      <c r="D94" s="325">
        <v>0</v>
      </c>
      <c r="E94" s="192" t="s">
        <v>5674</v>
      </c>
      <c r="F94" s="325">
        <f>IF(AND(C94&lt;&gt;"",D94&lt;&gt;""),D94-C94,"")</f>
        <v>0</v>
      </c>
      <c r="G94" s="608"/>
      <c r="H94" s="608"/>
      <c r="I94" s="608"/>
      <c r="J94" s="609"/>
    </row>
    <row r="95" spans="1:10" ht="25.5" customHeight="1">
      <c r="A95" s="326" t="s">
        <v>5614</v>
      </c>
      <c r="B95" s="333" t="s">
        <v>484</v>
      </c>
      <c r="C95" s="327">
        <v>1</v>
      </c>
      <c r="D95" s="327">
        <v>0</v>
      </c>
      <c r="E95" s="310" t="s">
        <v>5675</v>
      </c>
      <c r="F95" s="327">
        <f>IF(AND(C95&lt;&gt;"",D95&lt;&gt;""),D95-C95,"")</f>
        <v>-1</v>
      </c>
      <c r="G95" s="610"/>
      <c r="H95" s="610"/>
      <c r="I95" s="610"/>
      <c r="J95" s="611"/>
    </row>
    <row r="96" spans="1:10" ht="15" customHeight="1">
      <c r="A96" s="323" t="s">
        <v>5615</v>
      </c>
      <c r="B96" s="333" t="s">
        <v>484</v>
      </c>
      <c r="C96" s="327">
        <v>1</v>
      </c>
      <c r="D96" s="327">
        <v>0</v>
      </c>
      <c r="E96" s="310" t="s">
        <v>5675</v>
      </c>
      <c r="F96" s="325">
        <f>IF(AND(C96&lt;&gt;"",D96&lt;&gt;""),D96-C96,"")</f>
        <v>-1</v>
      </c>
      <c r="G96" s="328"/>
      <c r="H96" s="227"/>
      <c r="I96" s="227"/>
      <c r="J96" s="329"/>
    </row>
    <row r="97" spans="1:10" ht="15" customHeight="1">
      <c r="A97" s="326" t="s">
        <v>5616</v>
      </c>
      <c r="B97" s="333" t="s">
        <v>484</v>
      </c>
      <c r="C97" s="327">
        <v>1</v>
      </c>
      <c r="D97" s="327">
        <v>0</v>
      </c>
      <c r="E97" s="310" t="s">
        <v>5675</v>
      </c>
      <c r="F97" s="327">
        <f>IF(AND(C97&lt;&gt;"",D97&lt;&gt;""),D97-C97,"")</f>
        <v>-1</v>
      </c>
      <c r="G97" s="610"/>
      <c r="H97" s="610"/>
      <c r="I97" s="610"/>
      <c r="J97" s="611"/>
    </row>
    <row r="98" spans="1:10" ht="15" customHeight="1">
      <c r="A98" s="323" t="s">
        <v>5168</v>
      </c>
      <c r="B98" s="333" t="s">
        <v>484</v>
      </c>
      <c r="C98" s="327">
        <v>1</v>
      </c>
      <c r="D98" s="327">
        <v>0</v>
      </c>
      <c r="E98" s="310" t="s">
        <v>5675</v>
      </c>
      <c r="F98" s="325">
        <f>IF(AND(C98&lt;&gt;"",D98&lt;&gt;""),D98-C98,"")</f>
        <v>-1</v>
      </c>
      <c r="G98" s="328"/>
      <c r="H98" s="227"/>
      <c r="I98" s="227"/>
      <c r="J98" s="329"/>
    </row>
    <row r="99" spans="1:10" ht="15.75" customHeight="1">
      <c r="A99" s="585" t="s">
        <v>5636</v>
      </c>
      <c r="B99" s="586"/>
      <c r="C99" s="330">
        <f>IFERROR(AVERAGE(C94:C98),"")</f>
        <v>0.8</v>
      </c>
      <c r="D99" s="330">
        <f>IFERROR(AVERAGE(D94:D98),"")</f>
        <v>0</v>
      </c>
      <c r="E99" s="589" t="s">
        <v>5637</v>
      </c>
      <c r="F99" s="589"/>
      <c r="G99" s="589"/>
      <c r="H99" s="589"/>
      <c r="I99" s="589"/>
      <c r="J99" s="590"/>
    </row>
    <row r="100" spans="1:10" ht="20.25" customHeight="1">
      <c r="A100" s="331"/>
      <c r="B100" s="316"/>
      <c r="C100" s="316"/>
      <c r="D100" s="316"/>
      <c r="E100" s="316"/>
      <c r="F100" s="316"/>
      <c r="G100" s="316"/>
      <c r="H100" s="227"/>
      <c r="I100" s="227"/>
      <c r="J100" s="329"/>
    </row>
    <row r="101" spans="1:10">
      <c r="A101" s="574" t="s">
        <v>5669</v>
      </c>
      <c r="B101" s="582"/>
      <c r="C101" s="582"/>
      <c r="D101" s="575"/>
      <c r="E101" s="582"/>
      <c r="F101" s="582"/>
      <c r="G101" s="575"/>
      <c r="H101" s="575"/>
      <c r="I101" s="575"/>
      <c r="J101" s="576"/>
    </row>
    <row r="102" spans="1:10">
      <c r="A102" s="321" t="s">
        <v>4946</v>
      </c>
      <c r="B102" s="322" t="s">
        <v>77</v>
      </c>
      <c r="C102" s="322" t="s">
        <v>5676</v>
      </c>
      <c r="D102" s="322" t="s">
        <v>482</v>
      </c>
      <c r="E102" s="322" t="s">
        <v>572</v>
      </c>
      <c r="F102" s="322" t="s">
        <v>5639</v>
      </c>
      <c r="G102" s="578" t="s">
        <v>5640</v>
      </c>
      <c r="H102" s="578"/>
      <c r="I102" s="578"/>
      <c r="J102" s="579"/>
    </row>
    <row r="103" spans="1:10" ht="31.5" customHeight="1">
      <c r="A103" s="326" t="s">
        <v>5602</v>
      </c>
      <c r="B103" s="333" t="s">
        <v>484</v>
      </c>
      <c r="C103" s="332" t="s">
        <v>679</v>
      </c>
      <c r="D103" s="324" t="s">
        <v>679</v>
      </c>
      <c r="E103" s="332">
        <f>IF(D103="Yes",1,0)</f>
        <v>0</v>
      </c>
      <c r="F103" s="580"/>
      <c r="G103" s="580"/>
      <c r="H103" s="580"/>
      <c r="I103" s="580"/>
      <c r="J103" s="581"/>
    </row>
    <row r="104" spans="1:10" ht="20.25" customHeight="1">
      <c r="A104" s="323" t="s">
        <v>995</v>
      </c>
      <c r="B104" s="333" t="s">
        <v>484</v>
      </c>
      <c r="C104" s="332" t="s">
        <v>679</v>
      </c>
      <c r="D104" s="324" t="s">
        <v>679</v>
      </c>
      <c r="E104" s="324">
        <f t="shared" ref="E104:E110" si="0">IF(D104="Yes",1,0)</f>
        <v>0</v>
      </c>
      <c r="F104" s="580"/>
      <c r="G104" s="580"/>
      <c r="H104" s="580"/>
      <c r="I104" s="580"/>
      <c r="J104" s="581"/>
    </row>
    <row r="105" spans="1:10" ht="24.75" customHeight="1">
      <c r="A105" s="326" t="s">
        <v>5603</v>
      </c>
      <c r="B105" s="333" t="s">
        <v>484</v>
      </c>
      <c r="C105" s="332" t="s">
        <v>679</v>
      </c>
      <c r="D105" s="324" t="s">
        <v>679</v>
      </c>
      <c r="E105" s="332">
        <f t="shared" si="0"/>
        <v>0</v>
      </c>
      <c r="F105" s="580"/>
      <c r="G105" s="580"/>
      <c r="H105" s="580"/>
      <c r="I105" s="580"/>
      <c r="J105" s="581"/>
    </row>
    <row r="106" spans="1:10">
      <c r="A106" s="323" t="s">
        <v>5617</v>
      </c>
      <c r="B106" s="333" t="s">
        <v>484</v>
      </c>
      <c r="C106" s="332" t="s">
        <v>679</v>
      </c>
      <c r="D106" s="324" t="s">
        <v>679</v>
      </c>
      <c r="E106" s="324">
        <f t="shared" si="0"/>
        <v>0</v>
      </c>
      <c r="F106" s="580"/>
      <c r="G106" s="580"/>
      <c r="H106" s="580"/>
      <c r="I106" s="580"/>
      <c r="J106" s="581"/>
    </row>
    <row r="107" spans="1:10" ht="38.25">
      <c r="A107" s="326" t="s">
        <v>5618</v>
      </c>
      <c r="B107" s="333" t="s">
        <v>484</v>
      </c>
      <c r="C107" s="332" t="s">
        <v>679</v>
      </c>
      <c r="D107" s="324" t="s">
        <v>679</v>
      </c>
      <c r="E107" s="332">
        <f t="shared" si="0"/>
        <v>0</v>
      </c>
      <c r="F107" s="580"/>
      <c r="G107" s="580"/>
      <c r="H107" s="580"/>
      <c r="I107" s="580"/>
      <c r="J107" s="581"/>
    </row>
    <row r="108" spans="1:10" ht="25.5">
      <c r="A108" s="323" t="s">
        <v>5619</v>
      </c>
      <c r="B108" s="333" t="s">
        <v>484</v>
      </c>
      <c r="C108" s="332" t="s">
        <v>679</v>
      </c>
      <c r="D108" s="324" t="s">
        <v>679</v>
      </c>
      <c r="E108" s="324">
        <f t="shared" si="0"/>
        <v>0</v>
      </c>
      <c r="F108" s="580"/>
      <c r="G108" s="580"/>
      <c r="H108" s="580"/>
      <c r="I108" s="580"/>
      <c r="J108" s="581"/>
    </row>
    <row r="109" spans="1:10" ht="18.75" customHeight="1">
      <c r="A109" s="326" t="s">
        <v>5604</v>
      </c>
      <c r="B109" s="333" t="s">
        <v>484</v>
      </c>
      <c r="C109" s="332" t="s">
        <v>679</v>
      </c>
      <c r="D109" s="324" t="s">
        <v>679</v>
      </c>
      <c r="E109" s="332">
        <f t="shared" si="0"/>
        <v>0</v>
      </c>
      <c r="F109" s="580"/>
      <c r="G109" s="580"/>
      <c r="H109" s="580"/>
      <c r="I109" s="580"/>
      <c r="J109" s="581"/>
    </row>
    <row r="110" spans="1:10" ht="25.5">
      <c r="A110" s="323" t="s">
        <v>5605</v>
      </c>
      <c r="B110" s="333" t="s">
        <v>484</v>
      </c>
      <c r="C110" s="332" t="s">
        <v>679</v>
      </c>
      <c r="D110" s="324" t="s">
        <v>679</v>
      </c>
      <c r="E110" s="324">
        <f t="shared" si="0"/>
        <v>0</v>
      </c>
      <c r="F110" s="580"/>
      <c r="G110" s="580"/>
      <c r="H110" s="580"/>
      <c r="I110" s="580"/>
      <c r="J110" s="581"/>
    </row>
    <row r="111" spans="1:10" ht="28.5" customHeight="1">
      <c r="A111" s="585" t="s">
        <v>5641</v>
      </c>
      <c r="B111" s="586"/>
      <c r="C111" s="587" t="str">
        <f>IFERROR(SUM(E103:E110)/COUNTIF(C103:C110,"Yes"),"")</f>
        <v/>
      </c>
      <c r="D111" s="588"/>
      <c r="E111" s="589" t="s">
        <v>5642</v>
      </c>
      <c r="F111" s="589"/>
      <c r="G111" s="589"/>
      <c r="H111" s="589"/>
      <c r="I111" s="589"/>
      <c r="J111" s="590"/>
    </row>
    <row r="112" spans="1:10" ht="20.25" customHeight="1">
      <c r="A112" s="331"/>
      <c r="B112" s="316"/>
      <c r="C112" s="316"/>
      <c r="D112" s="316"/>
      <c r="E112" s="316"/>
      <c r="F112" s="316"/>
      <c r="G112" s="316"/>
      <c r="H112" s="227"/>
      <c r="I112" s="227"/>
      <c r="J112" s="329"/>
    </row>
    <row r="113" spans="1:10">
      <c r="A113" s="574" t="s">
        <v>5670</v>
      </c>
      <c r="B113" s="582"/>
      <c r="C113" s="582"/>
      <c r="D113" s="575"/>
      <c r="E113" s="582"/>
      <c r="F113" s="582"/>
      <c r="G113" s="575"/>
      <c r="H113" s="575"/>
      <c r="I113" s="575"/>
      <c r="J113" s="576"/>
    </row>
    <row r="114" spans="1:10" ht="30" customHeight="1">
      <c r="A114" s="321" t="s">
        <v>5643</v>
      </c>
      <c r="B114" s="322" t="s">
        <v>77</v>
      </c>
      <c r="C114" s="322" t="s">
        <v>5620</v>
      </c>
      <c r="D114" s="322" t="s">
        <v>5621</v>
      </c>
      <c r="E114" s="322" t="s">
        <v>5622</v>
      </c>
      <c r="F114" s="322" t="s">
        <v>5644</v>
      </c>
      <c r="G114" s="578" t="s">
        <v>5645</v>
      </c>
      <c r="H114" s="578"/>
      <c r="I114" s="578"/>
      <c r="J114" s="579"/>
    </row>
    <row r="115" spans="1:10" ht="25.5">
      <c r="A115" s="326" t="s">
        <v>5623</v>
      </c>
      <c r="B115" s="332" t="s">
        <v>484</v>
      </c>
      <c r="C115" s="332" t="s">
        <v>1096</v>
      </c>
      <c r="D115" s="332" t="s">
        <v>1096</v>
      </c>
      <c r="E115" s="332" t="s">
        <v>1096</v>
      </c>
      <c r="F115" s="332" t="s">
        <v>348</v>
      </c>
      <c r="G115" s="583"/>
      <c r="H115" s="583"/>
      <c r="I115" s="583"/>
      <c r="J115" s="584"/>
    </row>
    <row r="116" spans="1:10" ht="53.45" customHeight="1">
      <c r="A116" s="323" t="s">
        <v>5624</v>
      </c>
      <c r="B116" s="332" t="s">
        <v>484</v>
      </c>
      <c r="C116" s="332" t="s">
        <v>1096</v>
      </c>
      <c r="D116" s="332" t="s">
        <v>1096</v>
      </c>
      <c r="E116" s="332" t="s">
        <v>1096</v>
      </c>
      <c r="F116" s="332" t="s">
        <v>348</v>
      </c>
      <c r="G116" s="583"/>
      <c r="H116" s="583"/>
      <c r="I116" s="583"/>
      <c r="J116" s="584"/>
    </row>
    <row r="117" spans="1:10" ht="53.45" customHeight="1">
      <c r="A117" s="326" t="s">
        <v>5646</v>
      </c>
      <c r="B117" s="332" t="s">
        <v>484</v>
      </c>
      <c r="C117" s="332" t="s">
        <v>1096</v>
      </c>
      <c r="D117" s="332" t="s">
        <v>1096</v>
      </c>
      <c r="E117" s="332" t="s">
        <v>1096</v>
      </c>
      <c r="F117" s="332" t="s">
        <v>348</v>
      </c>
      <c r="G117" s="583"/>
      <c r="H117" s="583"/>
      <c r="I117" s="583"/>
      <c r="J117" s="584"/>
    </row>
    <row r="118" spans="1:10" ht="53.45" customHeight="1">
      <c r="A118" s="323" t="s">
        <v>5625</v>
      </c>
      <c r="B118" s="332" t="s">
        <v>484</v>
      </c>
      <c r="C118" s="332" t="s">
        <v>1096</v>
      </c>
      <c r="D118" s="332" t="s">
        <v>1096</v>
      </c>
      <c r="E118" s="332" t="s">
        <v>1096</v>
      </c>
      <c r="F118" s="332" t="s">
        <v>348</v>
      </c>
      <c r="G118" s="583"/>
      <c r="H118" s="583"/>
      <c r="I118" s="583"/>
      <c r="J118" s="584"/>
    </row>
    <row r="119" spans="1:10" ht="53.45" customHeight="1">
      <c r="A119" s="326" t="s">
        <v>5626</v>
      </c>
      <c r="B119" s="332" t="s">
        <v>484</v>
      </c>
      <c r="C119" s="332" t="s">
        <v>1096</v>
      </c>
      <c r="D119" s="332" t="s">
        <v>1096</v>
      </c>
      <c r="E119" s="332" t="s">
        <v>1096</v>
      </c>
      <c r="F119" s="332" t="s">
        <v>348</v>
      </c>
      <c r="G119" s="583"/>
      <c r="H119" s="583"/>
      <c r="I119" s="583"/>
      <c r="J119" s="584"/>
    </row>
    <row r="120" spans="1:10" ht="53.45" customHeight="1">
      <c r="A120" s="585" t="s">
        <v>5677</v>
      </c>
      <c r="B120" s="586"/>
      <c r="C120" s="587">
        <f>IFERROR(COUNTIF(E115:E119,"Yes")/COUNTA(A115:A119),"")</f>
        <v>0</v>
      </c>
      <c r="D120" s="588"/>
      <c r="E120" s="589" t="s">
        <v>5648</v>
      </c>
      <c r="F120" s="589"/>
      <c r="G120" s="589"/>
      <c r="H120" s="589"/>
      <c r="I120" s="589"/>
      <c r="J120" s="590"/>
    </row>
    <row r="121" spans="1:10" ht="20.25" customHeight="1">
      <c r="A121" s="331"/>
      <c r="B121" s="316"/>
      <c r="C121" s="316"/>
      <c r="D121" s="316"/>
      <c r="E121" s="316"/>
      <c r="F121" s="316"/>
      <c r="G121" s="599"/>
      <c r="H121" s="599"/>
      <c r="I121" s="599"/>
      <c r="J121" s="600"/>
    </row>
    <row r="122" spans="1:10" ht="53.45" customHeight="1">
      <c r="A122" s="574" t="s">
        <v>5671</v>
      </c>
      <c r="B122" s="582"/>
      <c r="C122" s="582"/>
      <c r="D122" s="575"/>
      <c r="E122" s="582"/>
      <c r="F122" s="582"/>
      <c r="G122" s="575"/>
      <c r="H122" s="575"/>
      <c r="I122" s="575"/>
      <c r="J122" s="576"/>
    </row>
    <row r="123" spans="1:10" ht="53.45" customHeight="1">
      <c r="A123" s="322" t="s">
        <v>5606</v>
      </c>
      <c r="B123" s="322" t="s">
        <v>77</v>
      </c>
      <c r="C123" s="322" t="s">
        <v>5627</v>
      </c>
      <c r="D123" s="322" t="s">
        <v>5628</v>
      </c>
      <c r="E123" s="322" t="s">
        <v>5629</v>
      </c>
      <c r="F123" s="322" t="s">
        <v>5630</v>
      </c>
      <c r="G123" s="578" t="s">
        <v>5678</v>
      </c>
      <c r="H123" s="578"/>
      <c r="I123" s="578"/>
      <c r="J123" s="578"/>
    </row>
    <row r="124" spans="1:10">
      <c r="A124" s="328" t="s">
        <v>153</v>
      </c>
      <c r="B124" s="324" t="s">
        <v>484</v>
      </c>
      <c r="C124" s="324"/>
      <c r="D124" s="324"/>
      <c r="E124" s="324"/>
      <c r="F124" s="325" t="str">
        <f>IFERROR(D124/C124,"")</f>
        <v/>
      </c>
      <c r="G124" s="572"/>
      <c r="H124" s="572"/>
      <c r="I124" s="572"/>
      <c r="J124" s="572"/>
    </row>
    <row r="125" spans="1:10">
      <c r="A125" s="335" t="s">
        <v>155</v>
      </c>
      <c r="B125" s="332" t="s">
        <v>484</v>
      </c>
      <c r="C125" s="332"/>
      <c r="D125" s="332"/>
      <c r="E125" s="332"/>
      <c r="F125" s="327" t="str">
        <f>IFERROR(D125/C125,"")</f>
        <v/>
      </c>
      <c r="G125" s="572"/>
      <c r="H125" s="572"/>
      <c r="I125" s="572"/>
      <c r="J125" s="572"/>
    </row>
    <row r="126" spans="1:10">
      <c r="A126" s="328" t="s">
        <v>4821</v>
      </c>
      <c r="B126" s="324" t="s">
        <v>484</v>
      </c>
      <c r="C126" s="324"/>
      <c r="D126" s="324"/>
      <c r="E126" s="324"/>
      <c r="F126" s="325" t="str">
        <f>IFERROR(D126/C126,"")</f>
        <v/>
      </c>
      <c r="G126" s="572"/>
      <c r="H126" s="572"/>
      <c r="I126" s="572"/>
      <c r="J126" s="572"/>
    </row>
    <row r="127" spans="1:10">
      <c r="A127" s="335" t="s">
        <v>957</v>
      </c>
      <c r="B127" s="332" t="s">
        <v>484</v>
      </c>
      <c r="C127" s="332"/>
      <c r="D127" s="332"/>
      <c r="E127" s="332"/>
      <c r="F127" s="327" t="str">
        <f>IFERROR(D127/C127,"")</f>
        <v/>
      </c>
      <c r="G127" s="572"/>
      <c r="H127" s="572"/>
      <c r="I127" s="572"/>
      <c r="J127" s="572"/>
    </row>
    <row r="128" spans="1:10">
      <c r="A128" s="597" t="s">
        <v>5649</v>
      </c>
      <c r="B128" s="597"/>
      <c r="C128" s="597"/>
      <c r="D128" s="597"/>
      <c r="E128" s="589" t="s">
        <v>5650</v>
      </c>
      <c r="F128" s="589"/>
      <c r="G128" s="589"/>
      <c r="H128" s="589"/>
      <c r="I128" s="589"/>
      <c r="J128" s="589"/>
    </row>
    <row r="129" spans="1:10">
      <c r="A129" s="597"/>
      <c r="B129" s="597"/>
      <c r="C129" s="597"/>
      <c r="D129" s="597"/>
      <c r="E129" s="589"/>
      <c r="F129" s="589"/>
      <c r="G129" s="589"/>
      <c r="H129" s="589"/>
      <c r="I129" s="589"/>
      <c r="J129" s="589"/>
    </row>
    <row r="130" spans="1:10">
      <c r="A130" s="575" t="s">
        <v>5672</v>
      </c>
      <c r="B130" s="575"/>
      <c r="C130" s="575"/>
      <c r="D130" s="575"/>
      <c r="E130" s="575"/>
      <c r="F130" s="575"/>
      <c r="G130" s="575"/>
      <c r="H130" s="575"/>
      <c r="I130" s="575"/>
      <c r="J130" s="575"/>
    </row>
    <row r="131" spans="1:10">
      <c r="A131" s="322" t="s">
        <v>4946</v>
      </c>
      <c r="B131" s="322" t="s">
        <v>77</v>
      </c>
      <c r="C131" s="322" t="s">
        <v>5638</v>
      </c>
      <c r="D131" s="322" t="s">
        <v>482</v>
      </c>
      <c r="E131" s="322" t="s">
        <v>572</v>
      </c>
      <c r="F131" s="322" t="s">
        <v>944</v>
      </c>
      <c r="G131" s="578" t="s">
        <v>5640</v>
      </c>
      <c r="H131" s="578"/>
      <c r="I131" s="578"/>
      <c r="J131" s="578"/>
    </row>
    <row r="132" spans="1:10" ht="25.5">
      <c r="A132" s="328" t="s">
        <v>5607</v>
      </c>
      <c r="B132" s="324" t="s">
        <v>484</v>
      </c>
      <c r="C132" s="324" t="s">
        <v>392</v>
      </c>
      <c r="D132" s="324" t="s">
        <v>1096</v>
      </c>
      <c r="E132" s="324">
        <f t="shared" ref="E132:E137" si="1">IF(D132="Yes",1,0)</f>
        <v>0</v>
      </c>
      <c r="F132" s="324"/>
      <c r="G132" s="572"/>
      <c r="H132" s="572"/>
      <c r="I132" s="572"/>
      <c r="J132" s="572"/>
    </row>
    <row r="133" spans="1:10">
      <c r="A133" s="335" t="s">
        <v>5608</v>
      </c>
      <c r="B133" s="324" t="s">
        <v>484</v>
      </c>
      <c r="C133" s="332" t="s">
        <v>392</v>
      </c>
      <c r="D133" s="324" t="s">
        <v>1096</v>
      </c>
      <c r="E133" s="332">
        <f t="shared" si="1"/>
        <v>0</v>
      </c>
      <c r="F133" s="332"/>
      <c r="G133" s="572"/>
      <c r="H133" s="572"/>
      <c r="I133" s="572"/>
      <c r="J133" s="572"/>
    </row>
    <row r="134" spans="1:10" ht="25.5">
      <c r="A134" s="328" t="s">
        <v>5609</v>
      </c>
      <c r="B134" s="324" t="s">
        <v>484</v>
      </c>
      <c r="C134" s="324" t="s">
        <v>392</v>
      </c>
      <c r="D134" s="324" t="s">
        <v>1096</v>
      </c>
      <c r="E134" s="324">
        <f t="shared" si="1"/>
        <v>0</v>
      </c>
      <c r="F134" s="324"/>
      <c r="G134" s="572"/>
      <c r="H134" s="572"/>
      <c r="I134" s="572"/>
      <c r="J134" s="572"/>
    </row>
    <row r="135" spans="1:10">
      <c r="A135" s="335" t="s">
        <v>5631</v>
      </c>
      <c r="B135" s="324" t="s">
        <v>484</v>
      </c>
      <c r="C135" s="332" t="s">
        <v>392</v>
      </c>
      <c r="D135" s="324" t="s">
        <v>1096</v>
      </c>
      <c r="E135" s="332">
        <f t="shared" si="1"/>
        <v>0</v>
      </c>
      <c r="F135" s="332"/>
      <c r="G135" s="572"/>
      <c r="H135" s="572"/>
      <c r="I135" s="572"/>
      <c r="J135" s="572"/>
    </row>
    <row r="136" spans="1:10" ht="27.75" customHeight="1">
      <c r="A136" s="328" t="s">
        <v>5632</v>
      </c>
      <c r="B136" s="324" t="s">
        <v>484</v>
      </c>
      <c r="C136" s="324" t="s">
        <v>392</v>
      </c>
      <c r="D136" s="324" t="s">
        <v>1096</v>
      </c>
      <c r="E136" s="324">
        <f t="shared" si="1"/>
        <v>0</v>
      </c>
      <c r="F136" s="324"/>
      <c r="G136" s="572"/>
      <c r="H136" s="572"/>
      <c r="I136" s="572"/>
      <c r="J136" s="572"/>
    </row>
    <row r="137" spans="1:10" ht="29.25" customHeight="1">
      <c r="A137" s="335" t="s">
        <v>5633</v>
      </c>
      <c r="B137" s="324" t="s">
        <v>484</v>
      </c>
      <c r="C137" s="332" t="s">
        <v>392</v>
      </c>
      <c r="D137" s="332" t="s">
        <v>1096</v>
      </c>
      <c r="E137" s="332">
        <f t="shared" si="1"/>
        <v>0</v>
      </c>
      <c r="F137" s="332"/>
      <c r="G137" s="572"/>
      <c r="H137" s="572"/>
      <c r="I137" s="572"/>
      <c r="J137" s="572"/>
    </row>
    <row r="138" spans="1:10" ht="15.75">
      <c r="A138" s="930" t="s">
        <v>5651</v>
      </c>
      <c r="B138" s="586"/>
      <c r="C138" s="587">
        <f>IFERROR(SUM(E132:E137)/COUNTIF(C132:C137,"Yes"),"")</f>
        <v>0</v>
      </c>
      <c r="D138" s="588"/>
      <c r="E138" s="589" t="s">
        <v>5652</v>
      </c>
      <c r="F138" s="589"/>
      <c r="G138" s="589"/>
      <c r="H138" s="589"/>
      <c r="I138" s="589"/>
      <c r="J138" s="589"/>
    </row>
    <row r="139" spans="1:10" ht="20.25" customHeight="1">
      <c r="A139" s="192"/>
      <c r="B139" s="192"/>
      <c r="C139" s="192"/>
      <c r="D139" s="192"/>
      <c r="E139" s="192"/>
      <c r="F139" s="192"/>
      <c r="G139" s="192"/>
      <c r="H139" s="192"/>
      <c r="I139" s="192"/>
      <c r="J139" s="192"/>
    </row>
    <row r="140" spans="1:10">
      <c r="A140" s="575" t="s">
        <v>5673</v>
      </c>
      <c r="B140" s="582"/>
      <c r="C140" s="582"/>
      <c r="D140" s="317"/>
      <c r="E140" s="317"/>
      <c r="F140" s="317"/>
      <c r="G140" s="317"/>
      <c r="H140" s="317"/>
      <c r="I140" s="317"/>
      <c r="J140" s="317"/>
    </row>
    <row r="141" spans="1:10" ht="38.25">
      <c r="A141" s="318" t="s">
        <v>905</v>
      </c>
      <c r="B141" s="318" t="s">
        <v>830</v>
      </c>
      <c r="C141" s="318"/>
      <c r="D141" s="318"/>
      <c r="E141" s="318"/>
      <c r="F141" s="318"/>
      <c r="G141" s="318"/>
      <c r="H141" s="318"/>
      <c r="I141" s="318"/>
      <c r="J141" s="318"/>
    </row>
    <row r="142" spans="1:10">
      <c r="A142" s="315" t="s">
        <v>1086</v>
      </c>
      <c r="B142" s="594" t="s">
        <v>3292</v>
      </c>
      <c r="C142" s="582"/>
      <c r="D142" s="582"/>
      <c r="E142" s="582"/>
      <c r="F142" s="582"/>
      <c r="G142" s="582"/>
      <c r="H142" s="582"/>
      <c r="I142" s="582"/>
      <c r="J142" s="582"/>
    </row>
    <row r="143" spans="1:10" ht="25.5">
      <c r="A143" s="315" t="s">
        <v>2090</v>
      </c>
      <c r="B143" s="594" t="s">
        <v>3293</v>
      </c>
      <c r="C143" s="582"/>
      <c r="D143" s="582"/>
      <c r="E143" s="582"/>
      <c r="F143" s="582"/>
      <c r="G143" s="582"/>
      <c r="H143" s="582"/>
      <c r="I143" s="582"/>
      <c r="J143" s="582"/>
    </row>
    <row r="144" spans="1:10">
      <c r="A144" s="315" t="s">
        <v>1089</v>
      </c>
      <c r="B144" s="594" t="s">
        <v>3294</v>
      </c>
      <c r="C144" s="582"/>
      <c r="D144" s="582"/>
      <c r="E144" s="582"/>
      <c r="F144" s="582"/>
      <c r="G144" s="582"/>
      <c r="H144" s="582"/>
      <c r="I144" s="582"/>
      <c r="J144" s="582"/>
    </row>
    <row r="145" spans="1:10">
      <c r="A145" s="315" t="s">
        <v>1090</v>
      </c>
      <c r="B145" s="594" t="s">
        <v>3295</v>
      </c>
      <c r="C145" s="582"/>
      <c r="D145" s="582"/>
      <c r="E145" s="582"/>
      <c r="F145" s="582"/>
      <c r="G145" s="582"/>
      <c r="H145" s="582"/>
      <c r="I145" s="582"/>
      <c r="J145" s="582"/>
    </row>
    <row r="146" spans="1:10">
      <c r="A146" s="315" t="s">
        <v>1088</v>
      </c>
      <c r="B146" s="594" t="s">
        <v>3296</v>
      </c>
      <c r="C146" s="582"/>
      <c r="D146" s="582"/>
      <c r="E146" s="582"/>
      <c r="F146" s="582"/>
      <c r="G146" s="582"/>
      <c r="H146" s="582"/>
      <c r="I146" s="582"/>
      <c r="J146" s="582"/>
    </row>
    <row r="147" spans="1:10" ht="25.5">
      <c r="A147" s="315" t="s">
        <v>3297</v>
      </c>
      <c r="B147" s="594" t="s">
        <v>3298</v>
      </c>
      <c r="C147" s="582"/>
      <c r="D147" s="582"/>
      <c r="E147" s="582"/>
      <c r="F147" s="582"/>
      <c r="G147" s="582"/>
      <c r="H147" s="582"/>
      <c r="I147" s="582"/>
      <c r="J147" s="582"/>
    </row>
    <row r="148" spans="1:10">
      <c r="A148" s="315" t="s">
        <v>1563</v>
      </c>
      <c r="B148" s="594" t="s">
        <v>1776</v>
      </c>
      <c r="C148" s="582"/>
      <c r="D148" s="582"/>
      <c r="E148" s="582"/>
      <c r="F148" s="582"/>
      <c r="G148" s="582"/>
      <c r="H148" s="582"/>
      <c r="I148" s="582"/>
      <c r="J148" s="582"/>
    </row>
    <row r="149" spans="1:10">
      <c r="A149" s="227"/>
      <c r="B149" s="227"/>
      <c r="C149" s="227"/>
      <c r="D149" s="227"/>
      <c r="E149" s="227"/>
      <c r="F149" s="227"/>
      <c r="G149" s="227"/>
      <c r="H149" s="227"/>
      <c r="I149" s="227"/>
      <c r="J149" s="227"/>
    </row>
    <row r="150" spans="1:10" ht="18">
      <c r="A150" s="598" t="s">
        <v>5562</v>
      </c>
      <c r="B150" s="598"/>
      <c r="C150" s="598"/>
      <c r="D150" s="598"/>
      <c r="E150" s="598"/>
      <c r="F150" s="598"/>
      <c r="G150" s="598"/>
      <c r="H150" s="598"/>
      <c r="I150" s="227"/>
      <c r="J150" s="227"/>
    </row>
    <row r="151" spans="1:10">
      <c r="A151" s="272" t="s">
        <v>2</v>
      </c>
      <c r="B151" s="591" t="s">
        <v>5563</v>
      </c>
      <c r="C151" s="591"/>
      <c r="D151" s="591"/>
      <c r="E151" s="591"/>
      <c r="F151" s="591"/>
      <c r="G151" s="591"/>
      <c r="H151" s="591"/>
      <c r="I151" s="227"/>
      <c r="J151" s="227"/>
    </row>
    <row r="152" spans="1:10">
      <c r="A152" s="272" t="s">
        <v>5564</v>
      </c>
      <c r="B152" s="591" t="s">
        <v>5565</v>
      </c>
      <c r="C152" s="591"/>
      <c r="D152" s="591"/>
      <c r="E152" s="591"/>
      <c r="F152" s="591"/>
      <c r="G152" s="591"/>
      <c r="H152" s="591"/>
      <c r="I152" s="227"/>
      <c r="J152" s="227"/>
    </row>
    <row r="153" spans="1:10">
      <c r="A153" s="192"/>
      <c r="B153" s="192"/>
      <c r="C153" s="192"/>
      <c r="D153" s="192"/>
      <c r="E153" s="192"/>
      <c r="F153" s="192"/>
      <c r="G153" s="192"/>
      <c r="H153" s="192"/>
      <c r="I153" s="227"/>
      <c r="J153" s="227"/>
    </row>
    <row r="154" spans="1:10">
      <c r="A154" s="319" t="s">
        <v>4946</v>
      </c>
      <c r="B154" s="319" t="s">
        <v>77</v>
      </c>
      <c r="C154" s="319" t="s">
        <v>5566</v>
      </c>
      <c r="D154" s="319" t="s">
        <v>263</v>
      </c>
      <c r="E154" s="319" t="s">
        <v>216</v>
      </c>
      <c r="F154" s="319" t="s">
        <v>5567</v>
      </c>
      <c r="G154" s="319" t="s">
        <v>5568</v>
      </c>
      <c r="H154" s="319" t="s">
        <v>5569</v>
      </c>
      <c r="I154" s="227"/>
      <c r="J154" s="227"/>
    </row>
    <row r="155" spans="1:10" ht="25.5">
      <c r="A155" s="273" t="s">
        <v>5570</v>
      </c>
      <c r="B155" s="274" t="s">
        <v>1096</v>
      </c>
      <c r="C155" s="273"/>
      <c r="D155" s="273"/>
      <c r="E155" s="273"/>
      <c r="F155" s="273"/>
      <c r="G155" s="275" t="str">
        <f t="shared" ref="G155:G162" si="2">IF(OR(B155="Yes",B155="N/A"),"🟢","🟡")</f>
        <v>🟡</v>
      </c>
      <c r="H155" s="273"/>
      <c r="I155" s="227"/>
      <c r="J155" s="227"/>
    </row>
    <row r="156" spans="1:10">
      <c r="A156" s="273" t="s">
        <v>5571</v>
      </c>
      <c r="B156" s="274" t="s">
        <v>1096</v>
      </c>
      <c r="C156" s="273"/>
      <c r="D156" s="273"/>
      <c r="E156" s="273"/>
      <c r="F156" s="273"/>
      <c r="G156" s="275" t="str">
        <f t="shared" si="2"/>
        <v>🟡</v>
      </c>
      <c r="H156" s="273"/>
      <c r="I156" s="227"/>
      <c r="J156" s="227"/>
    </row>
    <row r="157" spans="1:10">
      <c r="A157" s="273" t="s">
        <v>5572</v>
      </c>
      <c r="B157" s="274" t="s">
        <v>1096</v>
      </c>
      <c r="C157" s="273"/>
      <c r="D157" s="273"/>
      <c r="E157" s="273"/>
      <c r="F157" s="273"/>
      <c r="G157" s="275" t="str">
        <f t="shared" si="2"/>
        <v>🟡</v>
      </c>
      <c r="H157" s="273"/>
      <c r="I157" s="227"/>
      <c r="J157" s="227"/>
    </row>
    <row r="158" spans="1:10">
      <c r="A158" s="273" t="s">
        <v>5168</v>
      </c>
      <c r="B158" s="274" t="s">
        <v>1096</v>
      </c>
      <c r="C158" s="273"/>
      <c r="D158" s="273"/>
      <c r="E158" s="273"/>
      <c r="F158" s="273"/>
      <c r="G158" s="275" t="str">
        <f t="shared" si="2"/>
        <v>🟡</v>
      </c>
      <c r="H158" s="273"/>
      <c r="I158" s="227"/>
      <c r="J158" s="227"/>
    </row>
    <row r="159" spans="1:10">
      <c r="A159" s="273" t="s">
        <v>5573</v>
      </c>
      <c r="B159" s="274" t="s">
        <v>1096</v>
      </c>
      <c r="C159" s="273"/>
      <c r="D159" s="273"/>
      <c r="E159" s="273"/>
      <c r="F159" s="273"/>
      <c r="G159" s="275" t="str">
        <f t="shared" si="2"/>
        <v>🟡</v>
      </c>
      <c r="H159" s="273"/>
      <c r="I159" s="227"/>
      <c r="J159" s="227"/>
    </row>
    <row r="160" spans="1:10">
      <c r="A160" s="273" t="s">
        <v>5574</v>
      </c>
      <c r="B160" s="274" t="s">
        <v>1096</v>
      </c>
      <c r="C160" s="273"/>
      <c r="D160" s="273"/>
      <c r="E160" s="273"/>
      <c r="F160" s="273"/>
      <c r="G160" s="275" t="str">
        <f t="shared" si="2"/>
        <v>🟡</v>
      </c>
      <c r="H160" s="273"/>
      <c r="I160" s="227"/>
      <c r="J160" s="227"/>
    </row>
    <row r="161" spans="1:10">
      <c r="A161" s="273" t="s">
        <v>178</v>
      </c>
      <c r="B161" s="274" t="s">
        <v>1096</v>
      </c>
      <c r="C161" s="273"/>
      <c r="D161" s="273"/>
      <c r="E161" s="273"/>
      <c r="F161" s="273"/>
      <c r="G161" s="275" t="str">
        <f t="shared" si="2"/>
        <v>🟡</v>
      </c>
      <c r="H161" s="273"/>
      <c r="I161" s="227"/>
      <c r="J161" s="227"/>
    </row>
    <row r="162" spans="1:10" ht="25.5">
      <c r="A162" s="273" t="s">
        <v>5575</v>
      </c>
      <c r="B162" s="274" t="s">
        <v>1096</v>
      </c>
      <c r="C162" s="273"/>
      <c r="D162" s="273"/>
      <c r="E162" s="273"/>
      <c r="F162" s="273"/>
      <c r="G162" s="275" t="str">
        <f t="shared" si="2"/>
        <v>🟡</v>
      </c>
      <c r="H162" s="273"/>
      <c r="I162" s="227"/>
      <c r="J162" s="227"/>
    </row>
    <row r="163" spans="1:10">
      <c r="A163" s="320" t="s">
        <v>4946</v>
      </c>
      <c r="B163" s="320" t="s">
        <v>5583</v>
      </c>
      <c r="C163" s="192"/>
      <c r="D163" s="192"/>
      <c r="E163" s="320" t="s">
        <v>5584</v>
      </c>
      <c r="F163" s="192"/>
      <c r="G163" s="192"/>
      <c r="H163" s="192"/>
      <c r="I163" s="227"/>
      <c r="J163" s="227"/>
    </row>
    <row r="164" spans="1:10" ht="25.5">
      <c r="A164" s="287" t="s">
        <v>5570</v>
      </c>
      <c r="B164" s="577" t="s">
        <v>5585</v>
      </c>
      <c r="C164" s="577"/>
      <c r="D164" s="577"/>
      <c r="E164" s="577" t="s">
        <v>5586</v>
      </c>
      <c r="F164" s="577"/>
      <c r="G164" s="577"/>
      <c r="H164" s="192"/>
      <c r="I164" s="227"/>
      <c r="J164" s="227"/>
    </row>
    <row r="165" spans="1:10">
      <c r="A165" s="287" t="s">
        <v>5571</v>
      </c>
      <c r="B165" s="577" t="s">
        <v>5587</v>
      </c>
      <c r="C165" s="577"/>
      <c r="D165" s="577"/>
      <c r="E165" s="577" t="s">
        <v>5588</v>
      </c>
      <c r="F165" s="577"/>
      <c r="G165" s="577"/>
      <c r="H165" s="192"/>
      <c r="I165" s="227"/>
      <c r="J165" s="227"/>
    </row>
    <row r="166" spans="1:10">
      <c r="A166" s="287" t="s">
        <v>5572</v>
      </c>
      <c r="B166" s="577" t="s">
        <v>5589</v>
      </c>
      <c r="C166" s="577"/>
      <c r="D166" s="577"/>
      <c r="E166" s="577" t="s">
        <v>5590</v>
      </c>
      <c r="F166" s="577"/>
      <c r="G166" s="577"/>
      <c r="H166" s="192"/>
      <c r="I166" s="227"/>
      <c r="J166" s="227"/>
    </row>
    <row r="167" spans="1:10">
      <c r="A167" s="287" t="s">
        <v>5168</v>
      </c>
      <c r="B167" s="577" t="s">
        <v>5591</v>
      </c>
      <c r="C167" s="577"/>
      <c r="D167" s="577"/>
      <c r="E167" s="577" t="s">
        <v>5592</v>
      </c>
      <c r="F167" s="577"/>
      <c r="G167" s="577"/>
      <c r="H167" s="192"/>
      <c r="I167" s="227"/>
      <c r="J167" s="227"/>
    </row>
    <row r="168" spans="1:10">
      <c r="A168" s="287" t="s">
        <v>5573</v>
      </c>
      <c r="B168" s="577" t="s">
        <v>5593</v>
      </c>
      <c r="C168" s="577"/>
      <c r="D168" s="577"/>
      <c r="E168" s="577" t="s">
        <v>5594</v>
      </c>
      <c r="F168" s="577"/>
      <c r="G168" s="577"/>
      <c r="H168" s="192"/>
      <c r="I168" s="227"/>
      <c r="J168" s="227"/>
    </row>
    <row r="169" spans="1:10">
      <c r="A169" s="287" t="s">
        <v>5574</v>
      </c>
      <c r="B169" s="577" t="s">
        <v>5595</v>
      </c>
      <c r="C169" s="577"/>
      <c r="D169" s="577"/>
      <c r="E169" s="577" t="s">
        <v>5596</v>
      </c>
      <c r="F169" s="577"/>
      <c r="G169" s="577"/>
      <c r="H169" s="192"/>
      <c r="I169" s="227"/>
      <c r="J169" s="227"/>
    </row>
    <row r="170" spans="1:10">
      <c r="A170" s="287" t="s">
        <v>178</v>
      </c>
      <c r="B170" s="577" t="s">
        <v>5597</v>
      </c>
      <c r="C170" s="577"/>
      <c r="D170" s="577"/>
      <c r="E170" s="577" t="s">
        <v>5598</v>
      </c>
      <c r="F170" s="577"/>
      <c r="G170" s="577"/>
      <c r="H170" s="192"/>
      <c r="I170" s="227"/>
      <c r="J170" s="227"/>
    </row>
    <row r="171" spans="1:10" ht="25.5">
      <c r="A171" s="287" t="s">
        <v>5575</v>
      </c>
      <c r="B171" s="577" t="s">
        <v>5599</v>
      </c>
      <c r="C171" s="577"/>
      <c r="D171" s="577"/>
      <c r="E171" s="577" t="s">
        <v>5600</v>
      </c>
      <c r="F171" s="577"/>
      <c r="G171" s="577"/>
      <c r="H171" s="192"/>
      <c r="I171" s="227"/>
      <c r="J171" s="227"/>
    </row>
    <row r="172" spans="1:10">
      <c r="A172" s="272" t="s">
        <v>5576</v>
      </c>
      <c r="B172" s="276" t="str">
        <f>IF(COUNTIF(B155:B162,"No")=0,"🟢 PILOT COMPLETE / ACCEPTANCE READY","🟡 NOT COMPLETE — ACCEPTANCE GATES OPEN")</f>
        <v>🟡 NOT COMPLETE — ACCEPTANCE GATES OPEN</v>
      </c>
      <c r="C172" s="276"/>
      <c r="D172" s="276"/>
      <c r="E172" s="276"/>
      <c r="F172" s="276"/>
      <c r="G172" s="276"/>
      <c r="H172" s="276"/>
    </row>
    <row r="173" spans="1:10">
      <c r="A173" s="272" t="s">
        <v>5577</v>
      </c>
      <c r="B173" s="276">
        <f>COUNTIF(B155:B162,"No")</f>
        <v>8</v>
      </c>
      <c r="C173" s="276"/>
      <c r="D173" s="276"/>
      <c r="E173" s="276"/>
      <c r="F173" s="276"/>
      <c r="G173" s="276"/>
      <c r="H173" s="276"/>
    </row>
    <row r="174" spans="1:10">
      <c r="A174" s="272" t="s">
        <v>5578</v>
      </c>
      <c r="B174" s="276" t="str">
        <f>COUNTIF(B155:B162,"Yes")&amp;" / 8 Complete"</f>
        <v>0 / 8 Complete</v>
      </c>
      <c r="C174" s="276"/>
      <c r="D174" s="276"/>
      <c r="E174" s="276"/>
      <c r="F174" s="276"/>
      <c r="G174" s="276"/>
      <c r="H174" s="276"/>
    </row>
    <row r="175" spans="1:10" ht="90">
      <c r="A175" s="277" t="s">
        <v>5579</v>
      </c>
      <c r="B175" s="278" t="s">
        <v>5580</v>
      </c>
      <c r="C175" s="278"/>
      <c r="D175" s="278"/>
      <c r="E175" s="278"/>
      <c r="F175" s="278"/>
      <c r="G175" s="278"/>
      <c r="H175" s="278"/>
    </row>
    <row r="176" spans="1:10">
      <c r="A176" s="277"/>
      <c r="B176" s="278"/>
      <c r="C176" s="278"/>
      <c r="D176" s="278"/>
      <c r="E176" s="278"/>
      <c r="F176" s="278"/>
      <c r="G176" s="278"/>
      <c r="H176" s="278"/>
    </row>
    <row r="177" spans="1:10" ht="64.5">
      <c r="A177" s="277" t="s">
        <v>5581</v>
      </c>
      <c r="B177" s="278" t="s">
        <v>5582</v>
      </c>
      <c r="C177" s="278"/>
      <c r="D177" s="278"/>
      <c r="E177" s="278"/>
      <c r="F177" s="278"/>
      <c r="G177" s="278"/>
      <c r="H177" s="278"/>
    </row>
    <row r="178" spans="1:10">
      <c r="A178" s="575" t="s">
        <v>5694</v>
      </c>
      <c r="B178" s="575"/>
      <c r="C178" s="575"/>
      <c r="D178" s="575"/>
      <c r="E178" s="575"/>
      <c r="F178" s="575"/>
      <c r="G178" s="575"/>
      <c r="H178" s="575"/>
      <c r="I178" s="575"/>
      <c r="J178" s="575"/>
    </row>
    <row r="179" spans="1:10">
      <c r="A179" s="336" t="s">
        <v>5679</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5680</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575" t="s">
        <v>5695</v>
      </c>
      <c r="B189" s="575"/>
      <c r="C189" s="575"/>
      <c r="D189" s="575"/>
      <c r="E189" s="575"/>
      <c r="F189" s="575"/>
      <c r="G189" s="575"/>
      <c r="H189" s="575"/>
      <c r="I189" s="575"/>
      <c r="J189" s="575"/>
    </row>
    <row r="190" spans="1:10">
      <c r="A190" s="192"/>
      <c r="B190" s="192"/>
      <c r="C190" s="192"/>
      <c r="D190" s="192"/>
      <c r="E190" s="192"/>
      <c r="F190" s="192"/>
      <c r="G190" s="192"/>
      <c r="H190" s="192"/>
      <c r="I190" s="192"/>
      <c r="J190" s="192"/>
    </row>
    <row r="191" spans="1:10">
      <c r="A191" s="192" t="s">
        <v>5683</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5" t="s">
        <v>5696</v>
      </c>
      <c r="B199" s="575"/>
      <c r="C199" s="575"/>
      <c r="D199" s="575"/>
      <c r="E199" s="575"/>
      <c r="F199" s="575"/>
      <c r="G199" s="575"/>
      <c r="H199" s="575"/>
      <c r="I199" s="575"/>
      <c r="J199" s="575"/>
    </row>
    <row r="200" spans="1:10">
      <c r="A200" s="192"/>
      <c r="B200" s="192"/>
      <c r="C200" s="192"/>
      <c r="D200" s="192"/>
      <c r="E200" s="192"/>
      <c r="F200" s="192"/>
      <c r="G200" s="192"/>
      <c r="H200" s="192"/>
      <c r="I200" s="192"/>
      <c r="J200" s="192"/>
    </row>
    <row r="201" spans="1:10">
      <c r="A201" s="192" t="s">
        <v>5686</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575" t="s">
        <v>5697</v>
      </c>
      <c r="B211" s="575"/>
      <c r="C211" s="575"/>
      <c r="D211" s="575"/>
      <c r="E211" s="575"/>
      <c r="F211" s="575"/>
      <c r="G211" s="575"/>
      <c r="H211" s="575"/>
      <c r="I211" s="575"/>
      <c r="J211" s="575"/>
    </row>
    <row r="212" spans="1:10">
      <c r="A212" s="192"/>
      <c r="B212" s="192"/>
      <c r="C212" s="192"/>
      <c r="D212" s="192"/>
      <c r="E212" s="192"/>
      <c r="F212" s="192"/>
      <c r="G212" s="192"/>
      <c r="H212" s="192"/>
      <c r="I212" s="192"/>
      <c r="J212" s="192"/>
    </row>
    <row r="213" spans="1:10">
      <c r="A213" s="192" t="s">
        <v>5690</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5693</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599"/>
      <c r="H233" s="599"/>
      <c r="I233" s="599"/>
      <c r="J233" s="599"/>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157" priority="21">
      <formula>B94="Complete"</formula>
    </cfRule>
    <cfRule type="expression" dxfId="156" priority="22">
      <formula>B94="In Progress"</formula>
    </cfRule>
    <cfRule type="expression" dxfId="155" priority="23">
      <formula>B94="At Risk"</formula>
    </cfRule>
    <cfRule type="expression" dxfId="154" priority="24">
      <formula>B94="Blocked"</formula>
    </cfRule>
    <cfRule type="expression" dxfId="153" priority="25">
      <formula>B94="Not Started"</formula>
    </cfRule>
  </conditionalFormatting>
  <conditionalFormatting sqref="B103:B110">
    <cfRule type="expression" dxfId="152" priority="1">
      <formula>B103="Complete"</formula>
    </cfRule>
    <cfRule type="expression" dxfId="151" priority="2">
      <formula>B103="In Progress"</formula>
    </cfRule>
    <cfRule type="expression" dxfId="150" priority="3">
      <formula>B103="At Risk"</formula>
    </cfRule>
    <cfRule type="expression" dxfId="149" priority="4">
      <formula>B103="Blocked"</formula>
    </cfRule>
    <cfRule type="expression" dxfId="148" priority="5">
      <formula>B103="Not Started"</formula>
    </cfRule>
  </conditionalFormatting>
  <conditionalFormatting sqref="B115:B119">
    <cfRule type="expression" dxfId="147" priority="30">
      <formula>B115="Not Started"</formula>
    </cfRule>
    <cfRule type="expression" dxfId="146" priority="29">
      <formula>B115="Blocked"</formula>
    </cfRule>
    <cfRule type="expression" dxfId="145" priority="28">
      <formula>B115="At Risk"</formula>
    </cfRule>
    <cfRule type="expression" dxfId="144" priority="27">
      <formula>B115="In Progress"</formula>
    </cfRule>
    <cfRule type="expression" dxfId="143" priority="26">
      <formula>B115="Complete"</formula>
    </cfRule>
  </conditionalFormatting>
  <conditionalFormatting sqref="B124:B127">
    <cfRule type="expression" dxfId="142" priority="6">
      <formula>B124="Complete"</formula>
    </cfRule>
    <cfRule type="expression" dxfId="141" priority="7">
      <formula>B124="In Progress"</formula>
    </cfRule>
    <cfRule type="expression" dxfId="140" priority="8">
      <formula>B124="At Risk"</formula>
    </cfRule>
    <cfRule type="expression" dxfId="139" priority="9">
      <formula>B124="Blocked"</formula>
    </cfRule>
    <cfRule type="expression" dxfId="138" priority="10">
      <formula>B124="Not Started"</formula>
    </cfRule>
  </conditionalFormatting>
  <conditionalFormatting sqref="B132:B137">
    <cfRule type="expression" dxfId="137" priority="11">
      <formula>B132="Complete"</formula>
    </cfRule>
    <cfRule type="expression" dxfId="136" priority="12">
      <formula>B132="In Progress"</formula>
    </cfRule>
    <cfRule type="expression" dxfId="135" priority="13">
      <formula>B132="At Risk"</formula>
    </cfRule>
    <cfRule type="expression" dxfId="134" priority="14">
      <formula>B132="Blocked"</formula>
    </cfRule>
    <cfRule type="expression" dxfId="133" priority="15">
      <formula>B132="Not Started"</formula>
    </cfRule>
  </conditionalFormatting>
  <conditionalFormatting sqref="B155:B162">
    <cfRule type="expression" dxfId="132" priority="82">
      <formula>B155="Yes"</formula>
    </cfRule>
    <cfRule type="expression" dxfId="131" priority="83">
      <formula>B155="N/A"</formula>
    </cfRule>
    <cfRule type="expression" dxfId="130" priority="84">
      <formula>B155="No"</formula>
    </cfRule>
  </conditionalFormatting>
  <conditionalFormatting sqref="B172:H172">
    <cfRule type="expression" dxfId="129" priority="86">
      <formula>COUNTIF($B$6:$B$13,"No")&gt;0</formula>
    </cfRule>
    <cfRule type="expression" dxfId="128" priority="85">
      <formula>COUNTIF($B$6:$B$13,"No")=0</formula>
    </cfRule>
  </conditionalFormatting>
  <conditionalFormatting sqref="C99:D99">
    <cfRule type="dataBar" priority="37">
      <dataBar>
        <cfvo type="num" val="0"/>
        <cfvo type="num" val="1"/>
        <color rgb="FF5B9BD5"/>
      </dataBar>
    </cfRule>
  </conditionalFormatting>
  <conditionalFormatting sqref="C103:D110">
    <cfRule type="expression" dxfId="127" priority="32">
      <formula>C103="No"</formula>
    </cfRule>
    <cfRule type="expression" dxfId="126" priority="31">
      <formula>C103="Yes"</formula>
    </cfRule>
    <cfRule type="expression" dxfId="125"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24" priority="17">
      <formula>C132="No"</formula>
    </cfRule>
    <cfRule type="expression" dxfId="123" priority="16">
      <formula>C132="Yes"</formula>
    </cfRule>
    <cfRule type="expression" dxfId="122"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21" priority="87">
      <formula>E5="Pass"</formula>
    </cfRule>
    <cfRule type="expression" dxfId="120" priority="88">
      <formula>E5="Verify"</formula>
    </cfRule>
    <cfRule type="expression" dxfId="119" priority="89">
      <formula>E5="Fail"</formula>
    </cfRule>
    <cfRule type="expression" dxfId="118" priority="90">
      <formula>E5="Not Started"</formula>
    </cfRule>
  </conditionalFormatting>
  <conditionalFormatting sqref="F3">
    <cfRule type="expression" dxfId="117" priority="91">
      <formula>F3="Yes"</formula>
    </cfRule>
    <cfRule type="expression" dxfId="116" priority="92">
      <formula>F3="No"</formula>
    </cfRule>
  </conditionalFormatting>
  <conditionalFormatting sqref="F115:F119">
    <cfRule type="expression" dxfId="115" priority="35">
      <formula>F115="Fail"</formula>
    </cfRule>
    <cfRule type="expression" dxfId="114" priority="36">
      <formula>F115="Pending"</formula>
    </cfRule>
    <cfRule type="expression" dxfId="113" priority="34">
      <formula>F115="Pass"</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Lookup_Lists!$A$36:$A$42</xm:f>
          </x14:formula1>
          <xm:sqref>B94:B98 B103:B110 B132:B137</xm:sqref>
        </x14:dataValidation>
        <x14:dataValidation type="list" allowBlank="1" showInputMessage="1" showErrorMessage="1" xr:uid="{B25777DA-408E-4648-BF3B-7107964FFC50}">
          <x14:formula1>
            <xm:f>Lookup_Lists!$L$37:$L$39</xm:f>
          </x14:formula1>
          <xm:sqref>C115:E119 J2</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workbookViewId="0">
      <selection activeCell="D4" sqref="D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3998</v>
      </c>
      <c r="B1" s="896"/>
      <c r="C1" s="896"/>
      <c r="D1" s="896"/>
      <c r="E1" s="896"/>
      <c r="F1" s="896"/>
      <c r="G1" s="896"/>
      <c r="H1" s="896"/>
      <c r="I1" s="896"/>
      <c r="J1" s="896"/>
    </row>
    <row r="2" spans="1:10" s="223" customFormat="1" ht="16.899999999999999" customHeight="1">
      <c r="A2" s="219" t="s">
        <v>142</v>
      </c>
      <c r="B2" s="220" t="s">
        <v>68</v>
      </c>
      <c r="C2" s="219" t="s">
        <v>902</v>
      </c>
      <c r="D2" s="220" t="s">
        <v>1094</v>
      </c>
      <c r="E2" s="219" t="s">
        <v>151</v>
      </c>
      <c r="F2" s="220" t="s">
        <v>1095</v>
      </c>
      <c r="G2" s="219" t="s">
        <v>174</v>
      </c>
      <c r="H2" s="221">
        <v>0.5</v>
      </c>
      <c r="I2" s="219" t="s">
        <v>154</v>
      </c>
      <c r="J2" s="222" t="s">
        <v>1096</v>
      </c>
    </row>
    <row r="3" spans="1:10" s="227" customFormat="1" ht="16.899999999999999" customHeight="1">
      <c r="A3" s="219" t="s">
        <v>903</v>
      </c>
      <c r="B3" s="224">
        <v>46199.485680266203</v>
      </c>
      <c r="C3" s="225" t="s">
        <v>904</v>
      </c>
      <c r="D3" s="226" t="s">
        <v>721</v>
      </c>
      <c r="E3" s="219" t="s">
        <v>905</v>
      </c>
      <c r="F3" s="226" t="s">
        <v>3999</v>
      </c>
      <c r="G3" s="219" t="s">
        <v>907</v>
      </c>
      <c r="H3" s="226" t="s">
        <v>908</v>
      </c>
      <c r="I3" s="219" t="s">
        <v>551</v>
      </c>
      <c r="J3" s="226" t="s">
        <v>4000</v>
      </c>
    </row>
    <row r="4" spans="1:10" s="227" customFormat="1" ht="266.45" customHeight="1">
      <c r="A4" s="219" t="s">
        <v>161</v>
      </c>
      <c r="B4" s="226">
        <v>0</v>
      </c>
      <c r="C4" s="219" t="s">
        <v>199</v>
      </c>
      <c r="D4" s="226">
        <v>0</v>
      </c>
      <c r="E4" s="219" t="s">
        <v>179</v>
      </c>
      <c r="F4" s="226">
        <v>0</v>
      </c>
      <c r="G4" s="219" t="s">
        <v>870</v>
      </c>
      <c r="H4" s="228" t="s">
        <v>4001</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604" t="s">
        <v>4002</v>
      </c>
      <c r="E6" s="582"/>
      <c r="F6" s="582"/>
      <c r="G6" s="582"/>
      <c r="H6" s="582"/>
      <c r="I6" s="582"/>
      <c r="J6" s="582"/>
    </row>
    <row r="7" spans="1:10">
      <c r="A7" s="13"/>
      <c r="B7" s="13"/>
      <c r="C7" s="13"/>
      <c r="D7" s="13"/>
      <c r="E7" s="13"/>
      <c r="F7" s="13"/>
      <c r="G7" s="13"/>
      <c r="H7" s="13"/>
      <c r="I7" s="13"/>
      <c r="J7" s="13"/>
    </row>
    <row r="8" spans="1:10">
      <c r="A8" s="575" t="s">
        <v>918</v>
      </c>
      <c r="B8" s="896"/>
      <c r="C8" s="896"/>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89.25">
      <c r="A10" s="13" t="s">
        <v>68</v>
      </c>
      <c r="B10" s="13" t="s">
        <v>4003</v>
      </c>
      <c r="C10" s="13" t="s">
        <v>4004</v>
      </c>
      <c r="D10" s="13" t="s">
        <v>4005</v>
      </c>
      <c r="E10" s="13" t="s">
        <v>4006</v>
      </c>
      <c r="F10" s="13">
        <v>12</v>
      </c>
      <c r="G10" s="13">
        <v>0</v>
      </c>
      <c r="H10" s="13" t="s">
        <v>677</v>
      </c>
      <c r="I10" s="13" t="s">
        <v>4007</v>
      </c>
      <c r="J10" s="13" t="s">
        <v>4008</v>
      </c>
    </row>
    <row r="11" spans="1:10" ht="76.5">
      <c r="A11" s="13" t="s">
        <v>68</v>
      </c>
      <c r="B11" s="13" t="s">
        <v>4009</v>
      </c>
      <c r="C11" s="13" t="s">
        <v>4004</v>
      </c>
      <c r="D11" s="13" t="s">
        <v>4010</v>
      </c>
      <c r="E11" s="13" t="s">
        <v>4011</v>
      </c>
      <c r="F11" s="13">
        <v>1</v>
      </c>
      <c r="G11" s="13">
        <v>0</v>
      </c>
      <c r="H11" s="13" t="s">
        <v>677</v>
      </c>
      <c r="I11" s="13" t="s">
        <v>4012</v>
      </c>
      <c r="J11" s="13" t="s">
        <v>4013</v>
      </c>
    </row>
    <row r="12" spans="1:10" ht="76.5">
      <c r="A12" s="13" t="s">
        <v>68</v>
      </c>
      <c r="B12" s="13" t="s">
        <v>4014</v>
      </c>
      <c r="C12" s="13" t="s">
        <v>4004</v>
      </c>
      <c r="D12" s="13" t="s">
        <v>4015</v>
      </c>
      <c r="E12" s="13" t="s">
        <v>4016</v>
      </c>
      <c r="F12" s="13">
        <v>3</v>
      </c>
      <c r="G12" s="13">
        <v>0</v>
      </c>
      <c r="H12" s="13" t="s">
        <v>677</v>
      </c>
      <c r="I12" s="13" t="s">
        <v>4017</v>
      </c>
      <c r="J12" s="13" t="s">
        <v>4018</v>
      </c>
    </row>
    <row r="13" spans="1:10" ht="63.75">
      <c r="A13" s="13" t="s">
        <v>68</v>
      </c>
      <c r="B13" s="13" t="s">
        <v>4019</v>
      </c>
      <c r="C13" s="13" t="s">
        <v>4004</v>
      </c>
      <c r="D13" s="13" t="s">
        <v>4020</v>
      </c>
      <c r="E13" s="13" t="s">
        <v>4021</v>
      </c>
      <c r="F13" s="13">
        <v>3</v>
      </c>
      <c r="G13" s="13">
        <v>0</v>
      </c>
      <c r="H13" s="13" t="s">
        <v>677</v>
      </c>
      <c r="I13" s="13" t="s">
        <v>4017</v>
      </c>
      <c r="J13" s="13" t="s">
        <v>4022</v>
      </c>
    </row>
    <row r="14" spans="1:10" ht="76.5">
      <c r="A14" s="13" t="s">
        <v>68</v>
      </c>
      <c r="B14" s="13" t="s">
        <v>4023</v>
      </c>
      <c r="C14" s="13" t="s">
        <v>4004</v>
      </c>
      <c r="D14" s="13" t="s">
        <v>4024</v>
      </c>
      <c r="E14" s="13" t="s">
        <v>4025</v>
      </c>
      <c r="F14" s="13">
        <v>1</v>
      </c>
      <c r="G14" s="13">
        <v>0</v>
      </c>
      <c r="H14" s="13" t="s">
        <v>677</v>
      </c>
      <c r="I14" s="13" t="s">
        <v>4026</v>
      </c>
      <c r="J14" s="13" t="s">
        <v>4027</v>
      </c>
    </row>
    <row r="15" spans="1:10" ht="63.75">
      <c r="A15" s="13" t="s">
        <v>68</v>
      </c>
      <c r="B15" s="13" t="s">
        <v>4028</v>
      </c>
      <c r="C15" s="13" t="s">
        <v>4004</v>
      </c>
      <c r="D15" s="13" t="s">
        <v>4029</v>
      </c>
      <c r="E15" s="13" t="s">
        <v>4030</v>
      </c>
      <c r="F15" s="13">
        <v>1</v>
      </c>
      <c r="G15" s="13">
        <v>0</v>
      </c>
      <c r="H15" s="13" t="s">
        <v>677</v>
      </c>
      <c r="I15" s="13" t="s">
        <v>4031</v>
      </c>
      <c r="J15" s="13" t="s">
        <v>4032</v>
      </c>
    </row>
    <row r="16" spans="1:10" ht="102">
      <c r="A16" s="13" t="s">
        <v>68</v>
      </c>
      <c r="B16" s="13" t="s">
        <v>4033</v>
      </c>
      <c r="C16" s="13" t="s">
        <v>4034</v>
      </c>
      <c r="D16" s="13" t="s">
        <v>4035</v>
      </c>
      <c r="E16" s="13" t="s">
        <v>4036</v>
      </c>
      <c r="F16" s="13">
        <v>20</v>
      </c>
      <c r="G16" s="13">
        <v>0</v>
      </c>
      <c r="H16" s="13" t="s">
        <v>677</v>
      </c>
      <c r="I16" s="13" t="s">
        <v>4037</v>
      </c>
      <c r="J16" s="13" t="s">
        <v>4038</v>
      </c>
    </row>
    <row r="17" spans="1:10">
      <c r="A17" s="13"/>
      <c r="B17" s="13"/>
      <c r="C17" s="13"/>
      <c r="D17" s="13"/>
      <c r="E17" s="13"/>
      <c r="F17" s="13"/>
      <c r="G17" s="13"/>
      <c r="H17" s="13"/>
      <c r="I17" s="13"/>
      <c r="J17" s="13"/>
    </row>
    <row r="18" spans="1:10">
      <c r="A18" s="575" t="s">
        <v>936</v>
      </c>
      <c r="B18" s="896"/>
      <c r="C18" s="896"/>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89.25">
      <c r="A20" s="13" t="s">
        <v>4003</v>
      </c>
      <c r="B20" s="13" t="s">
        <v>677</v>
      </c>
      <c r="C20" s="13" t="s">
        <v>677</v>
      </c>
      <c r="D20" s="13" t="s">
        <v>677</v>
      </c>
      <c r="E20" s="13" t="s">
        <v>677</v>
      </c>
      <c r="F20" s="13" t="s">
        <v>677</v>
      </c>
      <c r="G20" s="13" t="s">
        <v>677</v>
      </c>
      <c r="H20" s="13" t="s">
        <v>677</v>
      </c>
      <c r="I20" s="13" t="s">
        <v>677</v>
      </c>
      <c r="J20" s="13" t="s">
        <v>4039</v>
      </c>
    </row>
    <row r="21" spans="1:10" ht="76.5">
      <c r="A21" s="13" t="s">
        <v>4040</v>
      </c>
      <c r="B21" s="13" t="s">
        <v>677</v>
      </c>
      <c r="C21" s="13" t="s">
        <v>677</v>
      </c>
      <c r="D21" s="13" t="s">
        <v>677</v>
      </c>
      <c r="E21" s="13" t="s">
        <v>677</v>
      </c>
      <c r="F21" s="13" t="s">
        <v>677</v>
      </c>
      <c r="G21" s="13" t="s">
        <v>677</v>
      </c>
      <c r="H21" s="13" t="s">
        <v>677</v>
      </c>
      <c r="I21" s="13" t="s">
        <v>677</v>
      </c>
      <c r="J21" s="13" t="s">
        <v>4041</v>
      </c>
    </row>
    <row r="22" spans="1:10" ht="51">
      <c r="A22" s="13" t="s">
        <v>4042</v>
      </c>
      <c r="B22" s="13" t="s">
        <v>677</v>
      </c>
      <c r="C22" s="13" t="s">
        <v>677</v>
      </c>
      <c r="D22" s="13" t="s">
        <v>677</v>
      </c>
      <c r="E22" s="13" t="s">
        <v>677</v>
      </c>
      <c r="F22" s="13" t="s">
        <v>677</v>
      </c>
      <c r="G22" s="13" t="s">
        <v>677</v>
      </c>
      <c r="H22" s="13" t="s">
        <v>677</v>
      </c>
      <c r="I22" s="13" t="s">
        <v>677</v>
      </c>
      <c r="J22" s="13" t="s">
        <v>4043</v>
      </c>
    </row>
    <row r="23" spans="1:10" ht="63.75">
      <c r="A23" s="13" t="s">
        <v>4044</v>
      </c>
      <c r="B23" s="13" t="s">
        <v>677</v>
      </c>
      <c r="C23" s="13" t="s">
        <v>677</v>
      </c>
      <c r="D23" s="13" t="s">
        <v>677</v>
      </c>
      <c r="E23" s="13" t="s">
        <v>677</v>
      </c>
      <c r="F23" s="13" t="s">
        <v>677</v>
      </c>
      <c r="G23" s="13" t="s">
        <v>677</v>
      </c>
      <c r="H23" s="13" t="s">
        <v>677</v>
      </c>
      <c r="I23" s="13" t="s">
        <v>677</v>
      </c>
      <c r="J23" s="13" t="s">
        <v>4045</v>
      </c>
    </row>
    <row r="24" spans="1:10" ht="63.75">
      <c r="A24" s="13" t="s">
        <v>4046</v>
      </c>
      <c r="B24" s="13" t="s">
        <v>946</v>
      </c>
      <c r="C24" s="13" t="s">
        <v>946</v>
      </c>
      <c r="D24" s="13" t="s">
        <v>946</v>
      </c>
      <c r="E24" s="13" t="s">
        <v>677</v>
      </c>
      <c r="F24" s="13" t="s">
        <v>677</v>
      </c>
      <c r="G24" s="13" t="s">
        <v>677</v>
      </c>
      <c r="H24" s="13" t="s">
        <v>677</v>
      </c>
      <c r="I24" s="13" t="s">
        <v>677</v>
      </c>
      <c r="J24" s="13" t="s">
        <v>4047</v>
      </c>
    </row>
    <row r="25" spans="1:10">
      <c r="A25" s="13"/>
      <c r="B25" s="13"/>
      <c r="C25" s="13"/>
      <c r="D25" s="13"/>
      <c r="E25" s="13"/>
      <c r="F25" s="13"/>
      <c r="G25" s="13"/>
      <c r="H25" s="13"/>
      <c r="I25" s="13"/>
      <c r="J25" s="13"/>
    </row>
    <row r="26" spans="1:10">
      <c r="A26" s="575" t="s">
        <v>951</v>
      </c>
      <c r="B26" s="896"/>
      <c r="C26" s="896"/>
      <c r="D26" s="85"/>
      <c r="E26" s="85"/>
      <c r="F26" s="85"/>
      <c r="G26" s="85"/>
      <c r="H26" s="85"/>
      <c r="I26" s="85"/>
      <c r="J26" s="85"/>
    </row>
    <row r="27" spans="1:10">
      <c r="A27" s="50" t="s">
        <v>275</v>
      </c>
      <c r="B27" s="50" t="s">
        <v>952</v>
      </c>
      <c r="C27" s="50" t="s">
        <v>953</v>
      </c>
      <c r="D27" s="50" t="s">
        <v>954</v>
      </c>
      <c r="E27" s="50" t="s">
        <v>955</v>
      </c>
      <c r="F27" s="50" t="s">
        <v>956</v>
      </c>
      <c r="G27" s="50" t="s">
        <v>957</v>
      </c>
      <c r="H27" s="50" t="s">
        <v>958</v>
      </c>
      <c r="I27" s="50" t="s">
        <v>899</v>
      </c>
      <c r="J27" s="50" t="s">
        <v>959</v>
      </c>
    </row>
    <row r="28" spans="1:10" ht="89.25">
      <c r="A28" s="13" t="s">
        <v>4003</v>
      </c>
      <c r="B28" s="13" t="s">
        <v>677</v>
      </c>
      <c r="C28" s="13" t="s">
        <v>677</v>
      </c>
      <c r="D28" s="13" t="s">
        <v>677</v>
      </c>
      <c r="E28" s="13" t="s">
        <v>677</v>
      </c>
      <c r="F28" s="13" t="s">
        <v>677</v>
      </c>
      <c r="G28" s="13" t="s">
        <v>677</v>
      </c>
      <c r="H28" s="13" t="s">
        <v>677</v>
      </c>
      <c r="I28" s="13" t="s">
        <v>677</v>
      </c>
      <c r="J28" s="13" t="s">
        <v>4048</v>
      </c>
    </row>
    <row r="29" spans="1:10" ht="51">
      <c r="A29" s="13" t="s">
        <v>4040</v>
      </c>
      <c r="B29" s="13" t="s">
        <v>677</v>
      </c>
      <c r="C29" s="13" t="s">
        <v>679</v>
      </c>
      <c r="D29" s="13" t="s">
        <v>677</v>
      </c>
      <c r="E29" s="13" t="s">
        <v>677</v>
      </c>
      <c r="F29" s="13" t="s">
        <v>677</v>
      </c>
      <c r="G29" s="13" t="s">
        <v>677</v>
      </c>
      <c r="H29" s="13" t="s">
        <v>677</v>
      </c>
      <c r="I29" s="13" t="s">
        <v>677</v>
      </c>
      <c r="J29" s="13" t="s">
        <v>4049</v>
      </c>
    </row>
    <row r="30" spans="1:10" ht="51">
      <c r="A30" s="13" t="s">
        <v>4042</v>
      </c>
      <c r="B30" s="13" t="s">
        <v>677</v>
      </c>
      <c r="C30" s="13" t="s">
        <v>677</v>
      </c>
      <c r="D30" s="13" t="s">
        <v>677</v>
      </c>
      <c r="E30" s="13" t="s">
        <v>677</v>
      </c>
      <c r="F30" s="13" t="s">
        <v>677</v>
      </c>
      <c r="G30" s="13" t="s">
        <v>677</v>
      </c>
      <c r="H30" s="13" t="s">
        <v>677</v>
      </c>
      <c r="I30" s="13" t="s">
        <v>677</v>
      </c>
      <c r="J30" s="13" t="s">
        <v>4050</v>
      </c>
    </row>
    <row r="31" spans="1:10" ht="38.25">
      <c r="A31" s="13" t="s">
        <v>4044</v>
      </c>
      <c r="B31" s="13" t="s">
        <v>677</v>
      </c>
      <c r="C31" s="13" t="s">
        <v>677</v>
      </c>
      <c r="D31" s="13" t="s">
        <v>677</v>
      </c>
      <c r="E31" s="13" t="s">
        <v>677</v>
      </c>
      <c r="F31" s="13" t="s">
        <v>677</v>
      </c>
      <c r="G31" s="13" t="s">
        <v>677</v>
      </c>
      <c r="H31" s="13" t="s">
        <v>677</v>
      </c>
      <c r="I31" s="13" t="s">
        <v>677</v>
      </c>
      <c r="J31" s="13" t="s">
        <v>4051</v>
      </c>
    </row>
    <row r="32" spans="1:10" ht="63.75">
      <c r="A32" s="13" t="s">
        <v>4046</v>
      </c>
      <c r="B32" s="13" t="s">
        <v>677</v>
      </c>
      <c r="C32" s="13" t="s">
        <v>679</v>
      </c>
      <c r="D32" s="13" t="s">
        <v>677</v>
      </c>
      <c r="E32" s="13" t="s">
        <v>677</v>
      </c>
      <c r="F32" s="13" t="s">
        <v>677</v>
      </c>
      <c r="G32" s="13" t="s">
        <v>677</v>
      </c>
      <c r="H32" s="13" t="s">
        <v>677</v>
      </c>
      <c r="I32" s="13" t="s">
        <v>677</v>
      </c>
      <c r="J32" s="13" t="s">
        <v>4052</v>
      </c>
    </row>
    <row r="33" spans="1:10">
      <c r="A33" s="13"/>
      <c r="B33" s="13"/>
      <c r="C33" s="13"/>
      <c r="D33" s="13"/>
      <c r="E33" s="13"/>
      <c r="F33" s="13"/>
      <c r="G33" s="13"/>
      <c r="H33" s="13"/>
      <c r="I33" s="13"/>
      <c r="J33" s="13"/>
    </row>
    <row r="34" spans="1:10">
      <c r="A34" s="575" t="s">
        <v>964</v>
      </c>
      <c r="B34" s="896"/>
      <c r="C34" s="896"/>
      <c r="D34" s="85"/>
      <c r="E34" s="85"/>
      <c r="F34" s="85"/>
      <c r="G34" s="85"/>
      <c r="H34" s="85"/>
      <c r="I34" s="85"/>
      <c r="J34" s="85"/>
    </row>
    <row r="35" spans="1:10">
      <c r="A35" s="50" t="s">
        <v>275</v>
      </c>
      <c r="B35" s="50" t="s">
        <v>965</v>
      </c>
      <c r="C35" s="50" t="s">
        <v>966</v>
      </c>
      <c r="D35" s="50" t="s">
        <v>967</v>
      </c>
      <c r="E35" s="50" t="s">
        <v>968</v>
      </c>
      <c r="F35" s="50" t="s">
        <v>969</v>
      </c>
      <c r="G35" s="50" t="s">
        <v>970</v>
      </c>
      <c r="H35" s="50" t="s">
        <v>971</v>
      </c>
      <c r="I35" s="50" t="s">
        <v>899</v>
      </c>
      <c r="J35" s="50" t="s">
        <v>959</v>
      </c>
    </row>
    <row r="36" spans="1:10" ht="89.25">
      <c r="A36" s="13" t="s">
        <v>4003</v>
      </c>
      <c r="B36" s="13" t="s">
        <v>4053</v>
      </c>
      <c r="C36" s="13" t="s">
        <v>677</v>
      </c>
      <c r="D36" s="13" t="s">
        <v>677</v>
      </c>
      <c r="E36" s="13" t="s">
        <v>677</v>
      </c>
      <c r="F36" s="13" t="s">
        <v>677</v>
      </c>
      <c r="G36" s="13" t="s">
        <v>677</v>
      </c>
      <c r="H36" s="13" t="s">
        <v>677</v>
      </c>
      <c r="I36" s="13" t="s">
        <v>677</v>
      </c>
      <c r="J36" s="13" t="s">
        <v>4054</v>
      </c>
    </row>
    <row r="37" spans="1:10" ht="63.75">
      <c r="A37" s="13" t="s">
        <v>4055</v>
      </c>
      <c r="B37" s="13" t="s">
        <v>4056</v>
      </c>
      <c r="C37" s="13" t="s">
        <v>677</v>
      </c>
      <c r="D37" s="13" t="s">
        <v>677</v>
      </c>
      <c r="E37" s="13" t="s">
        <v>677</v>
      </c>
      <c r="F37" s="13" t="s">
        <v>677</v>
      </c>
      <c r="G37" s="13" t="s">
        <v>677</v>
      </c>
      <c r="H37" s="13" t="s">
        <v>677</v>
      </c>
      <c r="I37" s="13" t="s">
        <v>677</v>
      </c>
      <c r="J37" s="13" t="s">
        <v>4057</v>
      </c>
    </row>
    <row r="38" spans="1:10" ht="51">
      <c r="A38" s="13" t="s">
        <v>4042</v>
      </c>
      <c r="B38" s="13" t="s">
        <v>4058</v>
      </c>
      <c r="C38" s="13" t="s">
        <v>677</v>
      </c>
      <c r="D38" s="13" t="s">
        <v>677</v>
      </c>
      <c r="E38" s="13" t="s">
        <v>677</v>
      </c>
      <c r="F38" s="13" t="s">
        <v>677</v>
      </c>
      <c r="G38" s="13" t="s">
        <v>677</v>
      </c>
      <c r="H38" s="13" t="s">
        <v>677</v>
      </c>
      <c r="I38" s="13" t="s">
        <v>677</v>
      </c>
      <c r="J38" s="13" t="s">
        <v>4059</v>
      </c>
    </row>
    <row r="39" spans="1:10" ht="51">
      <c r="A39" s="13" t="s">
        <v>4044</v>
      </c>
      <c r="B39" s="13" t="s">
        <v>4058</v>
      </c>
      <c r="C39" s="13" t="s">
        <v>677</v>
      </c>
      <c r="D39" s="13" t="s">
        <v>677</v>
      </c>
      <c r="E39" s="13" t="s">
        <v>677</v>
      </c>
      <c r="F39" s="13" t="s">
        <v>677</v>
      </c>
      <c r="G39" s="13" t="s">
        <v>677</v>
      </c>
      <c r="H39" s="13" t="s">
        <v>677</v>
      </c>
      <c r="I39" s="13" t="s">
        <v>677</v>
      </c>
      <c r="J39" s="13" t="s">
        <v>4060</v>
      </c>
    </row>
    <row r="40" spans="1:10" ht="63.75">
      <c r="A40" s="13" t="s">
        <v>4046</v>
      </c>
      <c r="B40" s="13" t="s">
        <v>946</v>
      </c>
      <c r="C40" s="13" t="s">
        <v>677</v>
      </c>
      <c r="D40" s="13" t="s">
        <v>677</v>
      </c>
      <c r="E40" s="13" t="s">
        <v>677</v>
      </c>
      <c r="F40" s="13" t="s">
        <v>677</v>
      </c>
      <c r="G40" s="13" t="s">
        <v>677</v>
      </c>
      <c r="H40" s="13" t="s">
        <v>677</v>
      </c>
      <c r="I40" s="13" t="s">
        <v>677</v>
      </c>
      <c r="J40" s="13" t="s">
        <v>4061</v>
      </c>
    </row>
    <row r="41" spans="1:10">
      <c r="A41" s="13"/>
      <c r="B41" s="13"/>
      <c r="C41" s="13"/>
      <c r="D41" s="13"/>
      <c r="E41" s="13"/>
      <c r="F41" s="13"/>
      <c r="G41" s="13"/>
      <c r="H41" s="13"/>
      <c r="I41" s="13"/>
      <c r="J41" s="13"/>
    </row>
    <row r="42" spans="1:10">
      <c r="A42" s="575" t="s">
        <v>977</v>
      </c>
      <c r="B42" s="896"/>
      <c r="C42" s="896"/>
      <c r="D42" s="85"/>
      <c r="E42" s="85"/>
      <c r="F42" s="85"/>
      <c r="G42" s="85"/>
      <c r="H42" s="85"/>
      <c r="I42" s="85"/>
      <c r="J42" s="85"/>
    </row>
    <row r="43" spans="1:10">
      <c r="A43" s="50" t="s">
        <v>275</v>
      </c>
      <c r="B43" s="50" t="s">
        <v>978</v>
      </c>
      <c r="C43" s="50" t="s">
        <v>979</v>
      </c>
      <c r="D43" s="50" t="s">
        <v>980</v>
      </c>
      <c r="E43" s="50" t="s">
        <v>981</v>
      </c>
      <c r="F43" s="50" t="s">
        <v>982</v>
      </c>
      <c r="G43" s="50" t="s">
        <v>983</v>
      </c>
      <c r="H43" s="50" t="s">
        <v>984</v>
      </c>
      <c r="I43" s="50" t="s">
        <v>899</v>
      </c>
      <c r="J43" s="50" t="s">
        <v>11</v>
      </c>
    </row>
    <row r="44" spans="1:10" ht="89.25">
      <c r="A44" s="13" t="s">
        <v>4003</v>
      </c>
      <c r="B44" s="13" t="s">
        <v>4055</v>
      </c>
      <c r="C44" s="13" t="s">
        <v>677</v>
      </c>
      <c r="D44" s="13" t="s">
        <v>677</v>
      </c>
      <c r="E44" s="13" t="s">
        <v>677</v>
      </c>
      <c r="F44" s="13" t="s">
        <v>4062</v>
      </c>
      <c r="G44" s="13" t="s">
        <v>677</v>
      </c>
      <c r="H44" s="13" t="s">
        <v>677</v>
      </c>
      <c r="I44" s="13" t="s">
        <v>677</v>
      </c>
      <c r="J44" s="13" t="s">
        <v>4063</v>
      </c>
    </row>
    <row r="45" spans="1:10" ht="51">
      <c r="A45" s="13" t="s">
        <v>4042</v>
      </c>
      <c r="B45" s="13" t="s">
        <v>677</v>
      </c>
      <c r="C45" s="13" t="s">
        <v>4064</v>
      </c>
      <c r="D45" s="13" t="s">
        <v>677</v>
      </c>
      <c r="E45" s="13" t="s">
        <v>677</v>
      </c>
      <c r="F45" s="13" t="s">
        <v>4065</v>
      </c>
      <c r="G45" s="13" t="s">
        <v>677</v>
      </c>
      <c r="H45" s="13" t="s">
        <v>677</v>
      </c>
      <c r="I45" s="13" t="s">
        <v>677</v>
      </c>
      <c r="J45" s="13" t="s">
        <v>4066</v>
      </c>
    </row>
    <row r="46" spans="1:10" ht="63.75">
      <c r="A46" s="13" t="s">
        <v>4044</v>
      </c>
      <c r="B46" s="13" t="s">
        <v>677</v>
      </c>
      <c r="C46" s="13" t="s">
        <v>4067</v>
      </c>
      <c r="D46" s="13" t="s">
        <v>677</v>
      </c>
      <c r="E46" s="13" t="s">
        <v>677</v>
      </c>
      <c r="F46" s="13" t="s">
        <v>4068</v>
      </c>
      <c r="G46" s="13" t="s">
        <v>677</v>
      </c>
      <c r="H46" s="13" t="s">
        <v>677</v>
      </c>
      <c r="I46" s="13" t="s">
        <v>677</v>
      </c>
      <c r="J46" s="13" t="s">
        <v>4069</v>
      </c>
    </row>
    <row r="47" spans="1:10" ht="63.75">
      <c r="A47" s="13" t="s">
        <v>4046</v>
      </c>
      <c r="B47" s="13" t="s">
        <v>946</v>
      </c>
      <c r="C47" s="13" t="s">
        <v>4070</v>
      </c>
      <c r="D47" s="13" t="s">
        <v>946</v>
      </c>
      <c r="E47" s="13" t="s">
        <v>677</v>
      </c>
      <c r="F47" s="13" t="s">
        <v>3607</v>
      </c>
      <c r="G47" s="13" t="s">
        <v>677</v>
      </c>
      <c r="H47" s="13" t="s">
        <v>677</v>
      </c>
      <c r="I47" s="13" t="s">
        <v>677</v>
      </c>
      <c r="J47" s="13" t="s">
        <v>4071</v>
      </c>
    </row>
    <row r="48" spans="1:10" ht="63.75">
      <c r="A48" s="13" t="s">
        <v>4072</v>
      </c>
      <c r="B48" s="13" t="s">
        <v>677</v>
      </c>
      <c r="C48" s="13" t="s">
        <v>679</v>
      </c>
      <c r="D48" s="13" t="s">
        <v>679</v>
      </c>
      <c r="E48" s="13" t="s">
        <v>679</v>
      </c>
      <c r="F48" s="13" t="s">
        <v>4073</v>
      </c>
      <c r="G48" s="13" t="s">
        <v>677</v>
      </c>
      <c r="H48" s="13" t="s">
        <v>677</v>
      </c>
      <c r="I48" s="13" t="s">
        <v>677</v>
      </c>
      <c r="J48" s="13" t="s">
        <v>4074</v>
      </c>
    </row>
    <row r="49" spans="1:10">
      <c r="A49" s="13"/>
      <c r="B49" s="13"/>
      <c r="C49" s="13"/>
      <c r="D49" s="13"/>
      <c r="E49" s="13"/>
      <c r="F49" s="13"/>
      <c r="G49" s="13"/>
      <c r="H49" s="13"/>
      <c r="I49" s="13"/>
      <c r="J49" s="13"/>
    </row>
    <row r="50" spans="1:10">
      <c r="A50" s="575" t="s">
        <v>994</v>
      </c>
      <c r="B50" s="896"/>
      <c r="C50" s="896"/>
      <c r="D50" s="85"/>
      <c r="E50" s="85"/>
      <c r="F50" s="85"/>
      <c r="G50" s="85"/>
      <c r="H50" s="85"/>
      <c r="I50" s="85"/>
      <c r="J50" s="85"/>
    </row>
    <row r="51" spans="1:10">
      <c r="A51" s="50" t="s">
        <v>275</v>
      </c>
      <c r="B51" s="50" t="s">
        <v>995</v>
      </c>
      <c r="C51" s="50" t="s">
        <v>996</v>
      </c>
      <c r="D51" s="50" t="s">
        <v>997</v>
      </c>
      <c r="E51" s="50" t="s">
        <v>998</v>
      </c>
      <c r="F51" s="50" t="s">
        <v>999</v>
      </c>
      <c r="G51" s="50" t="s">
        <v>1000</v>
      </c>
      <c r="H51" s="50" t="s">
        <v>1001</v>
      </c>
      <c r="I51" s="50" t="s">
        <v>899</v>
      </c>
      <c r="J51" s="50" t="s">
        <v>11</v>
      </c>
    </row>
    <row r="52" spans="1:10" ht="76.5">
      <c r="A52" s="13" t="s">
        <v>4003</v>
      </c>
      <c r="B52" s="13" t="s">
        <v>677</v>
      </c>
      <c r="C52" s="13" t="s">
        <v>677</v>
      </c>
      <c r="D52" s="13" t="s">
        <v>677</v>
      </c>
      <c r="E52" s="13" t="s">
        <v>677</v>
      </c>
      <c r="F52" s="13" t="s">
        <v>677</v>
      </c>
      <c r="G52" s="13" t="s">
        <v>677</v>
      </c>
      <c r="H52" s="13" t="s">
        <v>677</v>
      </c>
      <c r="I52" s="13" t="s">
        <v>677</v>
      </c>
      <c r="J52" s="13" t="s">
        <v>4075</v>
      </c>
    </row>
    <row r="53" spans="1:10" ht="63.75">
      <c r="A53" s="13" t="s">
        <v>4040</v>
      </c>
      <c r="B53" s="13" t="s">
        <v>677</v>
      </c>
      <c r="C53" s="13" t="s">
        <v>677</v>
      </c>
      <c r="D53" s="13" t="s">
        <v>677</v>
      </c>
      <c r="E53" s="13" t="s">
        <v>677</v>
      </c>
      <c r="F53" s="13" t="s">
        <v>677</v>
      </c>
      <c r="G53" s="13" t="s">
        <v>677</v>
      </c>
      <c r="H53" s="13" t="s">
        <v>677</v>
      </c>
      <c r="I53" s="13" t="s">
        <v>677</v>
      </c>
      <c r="J53" s="13" t="s">
        <v>4076</v>
      </c>
    </row>
    <row r="54" spans="1:10" ht="63.75">
      <c r="A54" s="13" t="s">
        <v>4042</v>
      </c>
      <c r="B54" s="13" t="s">
        <v>677</v>
      </c>
      <c r="C54" s="13" t="s">
        <v>677</v>
      </c>
      <c r="D54" s="13" t="s">
        <v>677</v>
      </c>
      <c r="E54" s="13" t="s">
        <v>677</v>
      </c>
      <c r="F54" s="13" t="s">
        <v>677</v>
      </c>
      <c r="G54" s="13" t="s">
        <v>677</v>
      </c>
      <c r="H54" s="13" t="s">
        <v>677</v>
      </c>
      <c r="I54" s="13" t="s">
        <v>677</v>
      </c>
      <c r="J54" s="13" t="s">
        <v>4077</v>
      </c>
    </row>
    <row r="55" spans="1:10" ht="51">
      <c r="A55" s="13" t="s">
        <v>4044</v>
      </c>
      <c r="B55" s="13" t="s">
        <v>677</v>
      </c>
      <c r="C55" s="13" t="s">
        <v>677</v>
      </c>
      <c r="D55" s="13" t="s">
        <v>677</v>
      </c>
      <c r="E55" s="13" t="s">
        <v>677</v>
      </c>
      <c r="F55" s="13" t="s">
        <v>677</v>
      </c>
      <c r="G55" s="13" t="s">
        <v>677</v>
      </c>
      <c r="H55" s="13" t="s">
        <v>677</v>
      </c>
      <c r="I55" s="13" t="s">
        <v>677</v>
      </c>
      <c r="J55" s="13" t="s">
        <v>4078</v>
      </c>
    </row>
    <row r="56" spans="1:10" ht="63.75">
      <c r="A56" s="13" t="s">
        <v>4046</v>
      </c>
      <c r="B56" s="13" t="s">
        <v>946</v>
      </c>
      <c r="C56" s="13" t="s">
        <v>946</v>
      </c>
      <c r="D56" s="13" t="s">
        <v>946</v>
      </c>
      <c r="E56" s="13" t="s">
        <v>677</v>
      </c>
      <c r="F56" s="13" t="s">
        <v>677</v>
      </c>
      <c r="G56" s="13" t="s">
        <v>677</v>
      </c>
      <c r="H56" s="13" t="s">
        <v>677</v>
      </c>
      <c r="I56" s="13" t="s">
        <v>677</v>
      </c>
      <c r="J56" s="13" t="s">
        <v>4079</v>
      </c>
    </row>
    <row r="57" spans="1:10">
      <c r="A57" s="13"/>
      <c r="B57" s="13"/>
      <c r="C57" s="13"/>
      <c r="D57" s="13"/>
      <c r="E57" s="13"/>
      <c r="F57" s="13"/>
      <c r="G57" s="13"/>
      <c r="H57" s="13"/>
      <c r="I57" s="13"/>
      <c r="J57" s="13"/>
    </row>
    <row r="58" spans="1:10">
      <c r="A58" s="575" t="s">
        <v>1007</v>
      </c>
      <c r="B58" s="896"/>
      <c r="C58" s="896"/>
      <c r="D58" s="85"/>
      <c r="E58" s="85"/>
      <c r="F58" s="85"/>
      <c r="G58" s="85"/>
      <c r="H58" s="85"/>
      <c r="I58" s="85"/>
      <c r="J58" s="85"/>
    </row>
    <row r="59" spans="1:10">
      <c r="A59" s="50" t="s">
        <v>275</v>
      </c>
      <c r="B59" s="50" t="s">
        <v>1008</v>
      </c>
      <c r="C59" s="50" t="s">
        <v>1009</v>
      </c>
      <c r="D59" s="50" t="s">
        <v>1010</v>
      </c>
      <c r="E59" s="50" t="s">
        <v>1011</v>
      </c>
      <c r="F59" s="50" t="s">
        <v>1012</v>
      </c>
      <c r="G59" s="50" t="s">
        <v>1013</v>
      </c>
      <c r="H59" s="50" t="s">
        <v>1014</v>
      </c>
      <c r="I59" s="50" t="s">
        <v>899</v>
      </c>
      <c r="J59" s="50" t="s">
        <v>11</v>
      </c>
    </row>
    <row r="60" spans="1:10" ht="89.25">
      <c r="A60" s="13" t="s">
        <v>4003</v>
      </c>
      <c r="B60" s="13" t="s">
        <v>677</v>
      </c>
      <c r="C60" s="13" t="s">
        <v>677</v>
      </c>
      <c r="D60" s="13" t="s">
        <v>677</v>
      </c>
      <c r="E60" s="13" t="s">
        <v>677</v>
      </c>
      <c r="F60" s="13" t="s">
        <v>677</v>
      </c>
      <c r="G60" s="13" t="s">
        <v>677</v>
      </c>
      <c r="H60" s="13" t="s">
        <v>677</v>
      </c>
      <c r="I60" s="13" t="s">
        <v>677</v>
      </c>
      <c r="J60" s="13" t="s">
        <v>4080</v>
      </c>
    </row>
    <row r="61" spans="1:10" ht="51">
      <c r="A61" s="13" t="s">
        <v>4040</v>
      </c>
      <c r="B61" s="13" t="s">
        <v>677</v>
      </c>
      <c r="C61" s="13" t="s">
        <v>677</v>
      </c>
      <c r="D61" s="13" t="s">
        <v>677</v>
      </c>
      <c r="E61" s="13" t="s">
        <v>677</v>
      </c>
      <c r="F61" s="13" t="s">
        <v>677</v>
      </c>
      <c r="G61" s="13" t="s">
        <v>677</v>
      </c>
      <c r="H61" s="13" t="s">
        <v>677</v>
      </c>
      <c r="I61" s="13" t="s">
        <v>677</v>
      </c>
      <c r="J61" s="13" t="s">
        <v>4081</v>
      </c>
    </row>
    <row r="62" spans="1:10" ht="38.25">
      <c r="A62" s="13" t="s">
        <v>4042</v>
      </c>
      <c r="B62" s="13" t="s">
        <v>677</v>
      </c>
      <c r="C62" s="13" t="s">
        <v>677</v>
      </c>
      <c r="D62" s="13" t="s">
        <v>677</v>
      </c>
      <c r="E62" s="13" t="s">
        <v>677</v>
      </c>
      <c r="F62" s="13" t="s">
        <v>677</v>
      </c>
      <c r="G62" s="13" t="s">
        <v>677</v>
      </c>
      <c r="H62" s="13" t="s">
        <v>677</v>
      </c>
      <c r="I62" s="13" t="s">
        <v>677</v>
      </c>
      <c r="J62" s="13" t="s">
        <v>4082</v>
      </c>
    </row>
    <row r="63" spans="1:10" ht="38.25">
      <c r="A63" s="13" t="s">
        <v>4044</v>
      </c>
      <c r="B63" s="13" t="s">
        <v>677</v>
      </c>
      <c r="C63" s="13" t="s">
        <v>677</v>
      </c>
      <c r="D63" s="13" t="s">
        <v>677</v>
      </c>
      <c r="E63" s="13" t="s">
        <v>677</v>
      </c>
      <c r="F63" s="13" t="s">
        <v>677</v>
      </c>
      <c r="G63" s="13" t="s">
        <v>677</v>
      </c>
      <c r="H63" s="13" t="s">
        <v>677</v>
      </c>
      <c r="I63" s="13" t="s">
        <v>677</v>
      </c>
      <c r="J63" s="13" t="s">
        <v>4083</v>
      </c>
    </row>
    <row r="64" spans="1:10" ht="51">
      <c r="A64" s="13" t="s">
        <v>4046</v>
      </c>
      <c r="B64" s="13" t="s">
        <v>946</v>
      </c>
      <c r="C64" s="13" t="s">
        <v>946</v>
      </c>
      <c r="D64" s="13" t="s">
        <v>946</v>
      </c>
      <c r="E64" s="13" t="s">
        <v>946</v>
      </c>
      <c r="F64" s="13" t="s">
        <v>677</v>
      </c>
      <c r="G64" s="13" t="s">
        <v>677</v>
      </c>
      <c r="H64" s="13" t="s">
        <v>677</v>
      </c>
      <c r="I64" s="13" t="s">
        <v>677</v>
      </c>
      <c r="J64" s="13" t="s">
        <v>4084</v>
      </c>
    </row>
    <row r="65" spans="1:10">
      <c r="A65" s="13"/>
      <c r="B65" s="13"/>
      <c r="C65" s="13"/>
      <c r="D65" s="13"/>
      <c r="E65" s="13"/>
      <c r="F65" s="13"/>
      <c r="G65" s="13"/>
      <c r="H65" s="13"/>
      <c r="I65" s="13"/>
      <c r="J65" s="13"/>
    </row>
    <row r="66" spans="1:10">
      <c r="A66" s="575" t="s">
        <v>1019</v>
      </c>
      <c r="B66" s="896"/>
      <c r="C66" s="896"/>
      <c r="D66" s="85"/>
      <c r="E66" s="85"/>
      <c r="F66" s="85"/>
      <c r="G66" s="85"/>
      <c r="H66" s="85"/>
      <c r="I66" s="85"/>
      <c r="J66" s="85"/>
    </row>
    <row r="67" spans="1:10">
      <c r="A67" s="50" t="s">
        <v>213</v>
      </c>
      <c r="B67" s="50" t="s">
        <v>275</v>
      </c>
      <c r="C67" s="50" t="s">
        <v>573</v>
      </c>
      <c r="D67" s="50" t="s">
        <v>215</v>
      </c>
      <c r="E67" s="50" t="s">
        <v>257</v>
      </c>
      <c r="F67" s="50" t="s">
        <v>572</v>
      </c>
      <c r="G67" s="50" t="s">
        <v>259</v>
      </c>
      <c r="H67" s="50" t="s">
        <v>216</v>
      </c>
      <c r="I67" s="50" t="s">
        <v>77</v>
      </c>
      <c r="J67" s="50" t="s">
        <v>11</v>
      </c>
    </row>
    <row r="68" spans="1:10" ht="76.5">
      <c r="A68" s="13" t="s">
        <v>4085</v>
      </c>
      <c r="B68" s="13" t="s">
        <v>575</v>
      </c>
      <c r="C68" s="13" t="s">
        <v>4086</v>
      </c>
      <c r="D68" s="13" t="s">
        <v>492</v>
      </c>
      <c r="E68" s="13" t="s">
        <v>488</v>
      </c>
      <c r="F68" s="13">
        <v>8</v>
      </c>
      <c r="G68" s="13" t="s">
        <v>4087</v>
      </c>
      <c r="H68" s="13" t="s">
        <v>4088</v>
      </c>
      <c r="I68" s="13" t="s">
        <v>502</v>
      </c>
      <c r="J68" s="13" t="s">
        <v>4089</v>
      </c>
    </row>
    <row r="69" spans="1:10" ht="102">
      <c r="A69" s="13" t="s">
        <v>4090</v>
      </c>
      <c r="B69" s="13" t="s">
        <v>4046</v>
      </c>
      <c r="C69" s="13" t="s">
        <v>4091</v>
      </c>
      <c r="D69" s="13" t="s">
        <v>492</v>
      </c>
      <c r="E69" s="13" t="s">
        <v>488</v>
      </c>
      <c r="F69" s="13">
        <v>8</v>
      </c>
      <c r="G69" s="13" t="s">
        <v>4092</v>
      </c>
      <c r="H69" s="13" t="s">
        <v>595</v>
      </c>
      <c r="I69" s="13" t="s">
        <v>502</v>
      </c>
      <c r="J69" s="13" t="s">
        <v>4093</v>
      </c>
    </row>
    <row r="70" spans="1:10" ht="76.5">
      <c r="A70" s="13" t="s">
        <v>4094</v>
      </c>
      <c r="B70" s="13" t="s">
        <v>4095</v>
      </c>
      <c r="C70" s="13" t="s">
        <v>4096</v>
      </c>
      <c r="D70" s="13" t="s">
        <v>492</v>
      </c>
      <c r="E70" s="13" t="s">
        <v>488</v>
      </c>
      <c r="F70" s="13">
        <v>8</v>
      </c>
      <c r="G70" s="13" t="s">
        <v>4097</v>
      </c>
      <c r="H70" s="13" t="s">
        <v>584</v>
      </c>
      <c r="I70" s="13" t="s">
        <v>502</v>
      </c>
      <c r="J70" s="13" t="s">
        <v>4098</v>
      </c>
    </row>
    <row r="71" spans="1:10" ht="76.5">
      <c r="A71" s="13" t="s">
        <v>4099</v>
      </c>
      <c r="B71" s="13" t="s">
        <v>4100</v>
      </c>
      <c r="C71" s="13" t="s">
        <v>4101</v>
      </c>
      <c r="D71" s="13" t="s">
        <v>492</v>
      </c>
      <c r="E71" s="13" t="s">
        <v>488</v>
      </c>
      <c r="F71" s="13">
        <v>8</v>
      </c>
      <c r="G71" s="13" t="s">
        <v>4102</v>
      </c>
      <c r="H71" s="13" t="s">
        <v>4103</v>
      </c>
      <c r="I71" s="13" t="s">
        <v>502</v>
      </c>
      <c r="J71" s="13" t="s">
        <v>4104</v>
      </c>
    </row>
    <row r="72" spans="1:10" ht="102">
      <c r="A72" s="13" t="s">
        <v>4105</v>
      </c>
      <c r="B72" s="13" t="s">
        <v>68</v>
      </c>
      <c r="C72" s="13" t="s">
        <v>4106</v>
      </c>
      <c r="D72" s="13" t="s">
        <v>492</v>
      </c>
      <c r="E72" s="13" t="s">
        <v>488</v>
      </c>
      <c r="F72" s="13">
        <v>8</v>
      </c>
      <c r="G72" s="13" t="s">
        <v>4107</v>
      </c>
      <c r="H72" s="13" t="s">
        <v>4108</v>
      </c>
      <c r="I72" s="13" t="s">
        <v>502</v>
      </c>
      <c r="J72" s="13" t="s">
        <v>4109</v>
      </c>
    </row>
    <row r="73" spans="1:10" ht="102">
      <c r="A73" s="13" t="s">
        <v>4110</v>
      </c>
      <c r="B73" s="13" t="s">
        <v>68</v>
      </c>
      <c r="C73" s="13" t="s">
        <v>4111</v>
      </c>
      <c r="D73" s="13" t="s">
        <v>492</v>
      </c>
      <c r="E73" s="13" t="s">
        <v>488</v>
      </c>
      <c r="F73" s="13">
        <v>8</v>
      </c>
      <c r="G73" s="13" t="s">
        <v>4112</v>
      </c>
      <c r="H73" s="13" t="s">
        <v>4113</v>
      </c>
      <c r="I73" s="13" t="s">
        <v>502</v>
      </c>
      <c r="J73" s="13" t="s">
        <v>4114</v>
      </c>
    </row>
    <row r="74" spans="1:10" ht="89.25">
      <c r="A74" s="13" t="s">
        <v>4115</v>
      </c>
      <c r="B74" s="13" t="s">
        <v>4116</v>
      </c>
      <c r="C74" s="13" t="s">
        <v>4117</v>
      </c>
      <c r="D74" s="13" t="s">
        <v>391</v>
      </c>
      <c r="E74" s="13" t="s">
        <v>488</v>
      </c>
      <c r="F74" s="13">
        <v>6</v>
      </c>
      <c r="G74" s="13" t="s">
        <v>4118</v>
      </c>
      <c r="H74" s="13" t="s">
        <v>4119</v>
      </c>
      <c r="I74" s="13" t="s">
        <v>502</v>
      </c>
      <c r="J74" s="13" t="s">
        <v>4120</v>
      </c>
    </row>
    <row r="75" spans="1:10" ht="89.25">
      <c r="A75" s="13" t="s">
        <v>4121</v>
      </c>
      <c r="B75" s="13" t="s">
        <v>575</v>
      </c>
      <c r="C75" s="13" t="s">
        <v>4122</v>
      </c>
      <c r="D75" s="13" t="s">
        <v>391</v>
      </c>
      <c r="E75" s="13" t="s">
        <v>488</v>
      </c>
      <c r="F75" s="13">
        <v>6</v>
      </c>
      <c r="G75" s="13" t="s">
        <v>4123</v>
      </c>
      <c r="H75" s="13" t="s">
        <v>1049</v>
      </c>
      <c r="I75" s="13" t="s">
        <v>502</v>
      </c>
      <c r="J75" s="13" t="s">
        <v>4124</v>
      </c>
    </row>
    <row r="76" spans="1:10">
      <c r="A76" s="13"/>
      <c r="B76" s="13"/>
      <c r="C76" s="13"/>
      <c r="D76" s="13"/>
      <c r="E76" s="13"/>
      <c r="F76" s="13"/>
      <c r="G76" s="13"/>
      <c r="H76" s="13"/>
      <c r="I76" s="13"/>
      <c r="J76" s="13"/>
    </row>
    <row r="77" spans="1:10">
      <c r="A77" s="575" t="s">
        <v>1051</v>
      </c>
      <c r="B77" s="896"/>
      <c r="C77" s="896"/>
      <c r="D77" s="85"/>
      <c r="E77" s="85"/>
      <c r="F77" s="85"/>
      <c r="G77" s="85"/>
      <c r="H77" s="85"/>
      <c r="I77" s="85"/>
      <c r="J77" s="85"/>
    </row>
    <row r="78" spans="1:10">
      <c r="A78" s="50" t="s">
        <v>221</v>
      </c>
      <c r="B78" s="50" t="s">
        <v>222</v>
      </c>
      <c r="C78" s="50" t="s">
        <v>265</v>
      </c>
      <c r="D78" s="50" t="s">
        <v>77</v>
      </c>
      <c r="E78" s="50" t="s">
        <v>878</v>
      </c>
      <c r="F78" s="50" t="s">
        <v>879</v>
      </c>
      <c r="G78" s="50" t="s">
        <v>880</v>
      </c>
      <c r="H78" s="50" t="s">
        <v>494</v>
      </c>
      <c r="I78" s="50" t="s">
        <v>881</v>
      </c>
      <c r="J78" s="50" t="s">
        <v>11</v>
      </c>
    </row>
    <row r="79" spans="1:10" ht="89.25">
      <c r="A79" s="13" t="s">
        <v>4125</v>
      </c>
      <c r="B79" s="13" t="s">
        <v>4126</v>
      </c>
      <c r="C79" s="13" t="s">
        <v>579</v>
      </c>
      <c r="D79" s="13" t="s">
        <v>502</v>
      </c>
      <c r="E79" s="13"/>
      <c r="F79" s="13"/>
      <c r="G79" s="13" t="s">
        <v>4127</v>
      </c>
      <c r="H79" s="13"/>
      <c r="I79" s="13"/>
      <c r="J79" s="13"/>
    </row>
    <row r="80" spans="1:10" ht="89.25">
      <c r="A80" s="13" t="s">
        <v>4128</v>
      </c>
      <c r="B80" s="13" t="s">
        <v>4129</v>
      </c>
      <c r="C80" s="13" t="s">
        <v>587</v>
      </c>
      <c r="D80" s="13" t="s">
        <v>502</v>
      </c>
      <c r="E80" s="13"/>
      <c r="F80" s="13"/>
      <c r="G80" s="13" t="s">
        <v>4130</v>
      </c>
      <c r="H80" s="13"/>
      <c r="I80" s="13"/>
      <c r="J80" s="13"/>
    </row>
    <row r="81" spans="1:10" ht="63.75">
      <c r="A81" s="13" t="s">
        <v>4131</v>
      </c>
      <c r="B81" s="13" t="s">
        <v>4132</v>
      </c>
      <c r="C81" s="13" t="s">
        <v>4133</v>
      </c>
      <c r="D81" s="13" t="s">
        <v>502</v>
      </c>
      <c r="E81" s="13"/>
      <c r="F81" s="13"/>
      <c r="G81" s="13" t="s">
        <v>4134</v>
      </c>
      <c r="H81" s="13"/>
      <c r="I81" s="13"/>
      <c r="J81" s="13" t="s">
        <v>4135</v>
      </c>
    </row>
    <row r="82" spans="1:10" ht="76.5">
      <c r="A82" s="13" t="s">
        <v>4136</v>
      </c>
      <c r="B82" s="13" t="s">
        <v>4137</v>
      </c>
      <c r="C82" s="13" t="s">
        <v>4103</v>
      </c>
      <c r="D82" s="13" t="s">
        <v>502</v>
      </c>
      <c r="E82" s="13"/>
      <c r="F82" s="13"/>
      <c r="G82" s="13" t="s">
        <v>617</v>
      </c>
      <c r="H82" s="13"/>
      <c r="I82" s="13"/>
      <c r="J82" s="13"/>
    </row>
    <row r="83" spans="1:10" ht="63.75">
      <c r="A83" s="13" t="s">
        <v>4138</v>
      </c>
      <c r="B83" s="13" t="s">
        <v>4139</v>
      </c>
      <c r="C83" s="13" t="s">
        <v>4108</v>
      </c>
      <c r="D83" s="13" t="s">
        <v>502</v>
      </c>
      <c r="E83" s="13"/>
      <c r="F83" s="13"/>
      <c r="G83" s="13" t="s">
        <v>4140</v>
      </c>
      <c r="H83" s="13"/>
      <c r="I83" s="13"/>
      <c r="J83" s="13"/>
    </row>
    <row r="84" spans="1:10" ht="63.75">
      <c r="A84" s="13" t="s">
        <v>4141</v>
      </c>
      <c r="B84" s="13" t="s">
        <v>4142</v>
      </c>
      <c r="C84" s="13" t="s">
        <v>4143</v>
      </c>
      <c r="D84" s="13" t="s">
        <v>502</v>
      </c>
      <c r="E84" s="13"/>
      <c r="F84" s="13"/>
      <c r="G84" s="13" t="s">
        <v>610</v>
      </c>
      <c r="H84" s="13"/>
      <c r="I84" s="13"/>
      <c r="J84" s="13"/>
    </row>
    <row r="85" spans="1:10" ht="76.5">
      <c r="A85" s="13" t="s">
        <v>4144</v>
      </c>
      <c r="B85" s="13" t="s">
        <v>4145</v>
      </c>
      <c r="C85" s="13" t="s">
        <v>584</v>
      </c>
      <c r="D85" s="13" t="s">
        <v>502</v>
      </c>
      <c r="E85" s="13"/>
      <c r="F85" s="13"/>
      <c r="G85" s="13" t="s">
        <v>4146</v>
      </c>
      <c r="H85" s="13"/>
      <c r="I85" s="13"/>
      <c r="J85" s="13"/>
    </row>
    <row r="86" spans="1:10" ht="89.25">
      <c r="A86" s="13" t="s">
        <v>4147</v>
      </c>
      <c r="B86" s="13" t="s">
        <v>4148</v>
      </c>
      <c r="C86" s="13" t="s">
        <v>630</v>
      </c>
      <c r="D86" s="13" t="s">
        <v>502</v>
      </c>
      <c r="E86" s="13"/>
      <c r="F86" s="13"/>
      <c r="G86" s="13" t="s">
        <v>631</v>
      </c>
      <c r="H86" s="13"/>
      <c r="I86" s="13"/>
      <c r="J86" s="13"/>
    </row>
    <row r="87" spans="1:10">
      <c r="A87" s="13"/>
      <c r="B87" s="13"/>
      <c r="C87" s="13"/>
      <c r="D87" s="13"/>
      <c r="E87" s="13"/>
      <c r="F87" s="13"/>
      <c r="G87" s="13"/>
      <c r="H87" s="13"/>
      <c r="I87" s="13"/>
      <c r="J87" s="13"/>
    </row>
    <row r="88" spans="1:10">
      <c r="A88" s="575" t="s">
        <v>1052</v>
      </c>
      <c r="B88" s="896"/>
      <c r="C88" s="896"/>
      <c r="D88" s="85"/>
      <c r="E88" s="85"/>
      <c r="F88" s="85"/>
      <c r="G88" s="85"/>
      <c r="H88" s="85"/>
      <c r="I88" s="85"/>
      <c r="J88" s="85"/>
    </row>
    <row r="89" spans="1:10">
      <c r="A89" s="50" t="s">
        <v>291</v>
      </c>
      <c r="B89" s="50" t="s">
        <v>275</v>
      </c>
      <c r="C89" s="50" t="s">
        <v>493</v>
      </c>
      <c r="D89" s="50" t="s">
        <v>214</v>
      </c>
      <c r="E89" s="50" t="s">
        <v>263</v>
      </c>
      <c r="F89" s="50" t="s">
        <v>891</v>
      </c>
      <c r="G89" s="50" t="s">
        <v>892</v>
      </c>
      <c r="H89" s="50" t="s">
        <v>893</v>
      </c>
      <c r="I89" s="50" t="s">
        <v>77</v>
      </c>
      <c r="J89" s="50" t="s">
        <v>11</v>
      </c>
    </row>
    <row r="90" spans="1:10" ht="76.5">
      <c r="A90" s="13" t="s">
        <v>4149</v>
      </c>
      <c r="B90" s="13" t="s">
        <v>4150</v>
      </c>
      <c r="C90" s="13" t="s">
        <v>1054</v>
      </c>
      <c r="D90" s="13" t="s">
        <v>4151</v>
      </c>
      <c r="E90" s="13"/>
      <c r="F90" s="13" t="s">
        <v>229</v>
      </c>
      <c r="G90" s="13"/>
      <c r="H90" s="13" t="s">
        <v>4152</v>
      </c>
      <c r="I90" s="13" t="s">
        <v>502</v>
      </c>
      <c r="J90" s="13"/>
    </row>
    <row r="91" spans="1:10" ht="102">
      <c r="A91" s="13" t="s">
        <v>4153</v>
      </c>
      <c r="B91" s="13" t="s">
        <v>4040</v>
      </c>
      <c r="C91" s="13" t="s">
        <v>4154</v>
      </c>
      <c r="D91" s="13" t="s">
        <v>4155</v>
      </c>
      <c r="E91" s="13"/>
      <c r="F91" s="13" t="s">
        <v>229</v>
      </c>
      <c r="G91" s="13"/>
      <c r="H91" s="13" t="s">
        <v>4094</v>
      </c>
      <c r="I91" s="13" t="s">
        <v>502</v>
      </c>
      <c r="J91" s="13"/>
    </row>
    <row r="92" spans="1:10" ht="76.5">
      <c r="A92" s="13" t="s">
        <v>4156</v>
      </c>
      <c r="B92" s="13" t="s">
        <v>4042</v>
      </c>
      <c r="C92" s="13" t="s">
        <v>4157</v>
      </c>
      <c r="D92" s="13" t="s">
        <v>4158</v>
      </c>
      <c r="E92" s="13"/>
      <c r="F92" s="13" t="s">
        <v>229</v>
      </c>
      <c r="G92" s="13"/>
      <c r="H92" s="13" t="s">
        <v>4159</v>
      </c>
      <c r="I92" s="13" t="s">
        <v>502</v>
      </c>
      <c r="J92" s="13"/>
    </row>
    <row r="93" spans="1:10" ht="89.25">
      <c r="A93" s="13" t="s">
        <v>4160</v>
      </c>
      <c r="B93" s="13" t="s">
        <v>4044</v>
      </c>
      <c r="C93" s="13" t="s">
        <v>4161</v>
      </c>
      <c r="D93" s="13" t="s">
        <v>4162</v>
      </c>
      <c r="E93" s="13"/>
      <c r="F93" s="13" t="s">
        <v>229</v>
      </c>
      <c r="G93" s="13"/>
      <c r="H93" s="13" t="s">
        <v>4163</v>
      </c>
      <c r="I93" s="13" t="s">
        <v>502</v>
      </c>
      <c r="J93" s="13"/>
    </row>
    <row r="94" spans="1:10" ht="114.75">
      <c r="A94" s="13" t="s">
        <v>4164</v>
      </c>
      <c r="B94" s="13" t="s">
        <v>4046</v>
      </c>
      <c r="C94" s="13" t="s">
        <v>1058</v>
      </c>
      <c r="D94" s="13" t="s">
        <v>4165</v>
      </c>
      <c r="E94" s="13"/>
      <c r="F94" s="13" t="s">
        <v>229</v>
      </c>
      <c r="G94" s="13"/>
      <c r="H94" s="13" t="s">
        <v>4090</v>
      </c>
      <c r="I94" s="13" t="s">
        <v>502</v>
      </c>
      <c r="J94" s="13"/>
    </row>
    <row r="95" spans="1:10" ht="102">
      <c r="A95" s="13" t="s">
        <v>4166</v>
      </c>
      <c r="B95" s="13" t="s">
        <v>4167</v>
      </c>
      <c r="C95" s="13" t="s">
        <v>3349</v>
      </c>
      <c r="D95" s="13" t="s">
        <v>4168</v>
      </c>
      <c r="E95" s="13"/>
      <c r="F95" s="13" t="s">
        <v>229</v>
      </c>
      <c r="G95" s="13"/>
      <c r="H95" s="13" t="s">
        <v>4099</v>
      </c>
      <c r="I95" s="13" t="s">
        <v>502</v>
      </c>
      <c r="J95" s="13"/>
    </row>
    <row r="96" spans="1:10" ht="114.75">
      <c r="A96" s="13" t="s">
        <v>4169</v>
      </c>
      <c r="B96" s="13" t="s">
        <v>4170</v>
      </c>
      <c r="C96" s="13" t="s">
        <v>4171</v>
      </c>
      <c r="D96" s="13" t="s">
        <v>4172</v>
      </c>
      <c r="E96" s="13"/>
      <c r="F96" s="13" t="s">
        <v>229</v>
      </c>
      <c r="G96" s="13"/>
      <c r="H96" s="13" t="s">
        <v>4105</v>
      </c>
      <c r="I96" s="13" t="s">
        <v>502</v>
      </c>
      <c r="J96" s="13"/>
    </row>
    <row r="97" spans="1:10" ht="127.5">
      <c r="A97" s="13" t="s">
        <v>4173</v>
      </c>
      <c r="B97" s="13" t="s">
        <v>4174</v>
      </c>
      <c r="C97" s="13" t="s">
        <v>4175</v>
      </c>
      <c r="D97" s="13" t="s">
        <v>4176</v>
      </c>
      <c r="E97" s="13"/>
      <c r="F97" s="13" t="s">
        <v>229</v>
      </c>
      <c r="G97" s="13"/>
      <c r="H97" s="13" t="s">
        <v>4177</v>
      </c>
      <c r="I97" s="13" t="s">
        <v>502</v>
      </c>
      <c r="J97" s="13"/>
    </row>
    <row r="98" spans="1:10">
      <c r="A98" s="13"/>
      <c r="B98" s="13"/>
      <c r="C98" s="13"/>
      <c r="D98" s="13"/>
      <c r="E98" s="13"/>
      <c r="F98" s="13"/>
      <c r="G98" s="13"/>
      <c r="H98" s="13"/>
      <c r="I98" s="13"/>
      <c r="J98" s="13"/>
    </row>
    <row r="99" spans="1:10">
      <c r="A99" s="575" t="s">
        <v>1079</v>
      </c>
      <c r="B99" s="896"/>
      <c r="C99" s="896"/>
      <c r="D99" s="85"/>
      <c r="E99" s="85"/>
      <c r="F99" s="85"/>
      <c r="G99" s="85"/>
      <c r="H99" s="85"/>
      <c r="I99" s="85"/>
      <c r="J99" s="85"/>
    </row>
    <row r="100" spans="1:10">
      <c r="A100" s="50" t="s">
        <v>275</v>
      </c>
      <c r="B100" s="50" t="s">
        <v>895</v>
      </c>
      <c r="C100" s="50" t="s">
        <v>896</v>
      </c>
      <c r="D100" s="50" t="s">
        <v>148</v>
      </c>
      <c r="E100" s="50" t="s">
        <v>153</v>
      </c>
      <c r="F100" s="50" t="s">
        <v>155</v>
      </c>
      <c r="G100" s="50" t="s">
        <v>491</v>
      </c>
      <c r="H100" s="50" t="s">
        <v>897</v>
      </c>
      <c r="I100" s="50" t="s">
        <v>174</v>
      </c>
      <c r="J100" s="50" t="s">
        <v>11</v>
      </c>
    </row>
    <row r="101" spans="1:10" ht="63.75">
      <c r="A101" s="13" t="s">
        <v>4003</v>
      </c>
      <c r="B101" s="13">
        <v>0.5</v>
      </c>
      <c r="C101" s="13">
        <v>0.5</v>
      </c>
      <c r="D101" s="13">
        <v>0.5</v>
      </c>
      <c r="E101" s="13">
        <v>0.5</v>
      </c>
      <c r="F101" s="13">
        <v>0.5</v>
      </c>
      <c r="G101" s="13" t="s">
        <v>677</v>
      </c>
      <c r="H101" s="13">
        <v>0.5</v>
      </c>
      <c r="I101" s="13" t="s">
        <v>1201</v>
      </c>
      <c r="J101" s="13" t="s">
        <v>4178</v>
      </c>
    </row>
    <row r="102" spans="1:10" ht="51">
      <c r="A102" s="13" t="s">
        <v>4040</v>
      </c>
      <c r="B102" s="13">
        <v>0.5</v>
      </c>
      <c r="C102" s="13">
        <v>0.5</v>
      </c>
      <c r="D102" s="13">
        <v>0.5</v>
      </c>
      <c r="E102" s="13">
        <v>0.5</v>
      </c>
      <c r="F102" s="13">
        <v>0.5</v>
      </c>
      <c r="G102" s="13" t="s">
        <v>677</v>
      </c>
      <c r="H102" s="13">
        <v>0.5</v>
      </c>
      <c r="I102" s="13" t="s">
        <v>1201</v>
      </c>
      <c r="J102" s="13" t="s">
        <v>4179</v>
      </c>
    </row>
    <row r="103" spans="1:10" ht="38.25">
      <c r="A103" s="13" t="s">
        <v>4042</v>
      </c>
      <c r="B103" s="13">
        <v>0.5</v>
      </c>
      <c r="C103" s="13">
        <v>0.5</v>
      </c>
      <c r="D103" s="13">
        <v>0.5</v>
      </c>
      <c r="E103" s="13">
        <v>0.5</v>
      </c>
      <c r="F103" s="13">
        <v>0.5</v>
      </c>
      <c r="G103" s="13" t="s">
        <v>677</v>
      </c>
      <c r="H103" s="13">
        <v>0.5</v>
      </c>
      <c r="I103" s="13" t="s">
        <v>1201</v>
      </c>
      <c r="J103" s="13" t="s">
        <v>4180</v>
      </c>
    </row>
    <row r="104" spans="1:10" ht="38.25">
      <c r="A104" s="13" t="s">
        <v>4044</v>
      </c>
      <c r="B104" s="13">
        <v>0.5</v>
      </c>
      <c r="C104" s="13">
        <v>0.5</v>
      </c>
      <c r="D104" s="13">
        <v>0.5</v>
      </c>
      <c r="E104" s="13">
        <v>0.5</v>
      </c>
      <c r="F104" s="13">
        <v>0.5</v>
      </c>
      <c r="G104" s="13" t="s">
        <v>677</v>
      </c>
      <c r="H104" s="13">
        <v>0.5</v>
      </c>
      <c r="I104" s="13" t="s">
        <v>1201</v>
      </c>
      <c r="J104" s="13" t="s">
        <v>4181</v>
      </c>
    </row>
    <row r="105" spans="1:10" ht="38.25">
      <c r="A105" s="13" t="s">
        <v>4046</v>
      </c>
      <c r="B105" s="13">
        <v>0.5</v>
      </c>
      <c r="C105" s="13">
        <v>0.5</v>
      </c>
      <c r="D105" s="13">
        <v>0.5</v>
      </c>
      <c r="E105" s="13">
        <v>0.5</v>
      </c>
      <c r="F105" s="13">
        <v>0.5</v>
      </c>
      <c r="G105" s="13" t="s">
        <v>677</v>
      </c>
      <c r="H105" s="13">
        <v>0.5</v>
      </c>
      <c r="I105" s="13" t="s">
        <v>1201</v>
      </c>
      <c r="J105" s="13" t="s">
        <v>4182</v>
      </c>
    </row>
    <row r="106" spans="1:10">
      <c r="A106" s="13"/>
      <c r="B106" s="13"/>
      <c r="C106" s="13"/>
      <c r="D106" s="13"/>
      <c r="E106" s="13"/>
      <c r="F106" s="13"/>
      <c r="G106" s="13"/>
      <c r="H106" s="13"/>
      <c r="I106" s="13"/>
      <c r="J106" s="13"/>
    </row>
    <row r="107" spans="1:10">
      <c r="A107" s="575" t="s">
        <v>1085</v>
      </c>
      <c r="B107" s="896"/>
      <c r="C107" s="896"/>
      <c r="D107" s="85"/>
      <c r="E107" s="85"/>
      <c r="F107" s="85"/>
      <c r="G107" s="85"/>
      <c r="H107" s="85"/>
      <c r="I107" s="85"/>
      <c r="J107" s="85"/>
    </row>
    <row r="108" spans="1:10" ht="38.25">
      <c r="A108" s="50" t="s">
        <v>905</v>
      </c>
      <c r="B108" s="50" t="s">
        <v>854</v>
      </c>
      <c r="C108" s="50"/>
      <c r="D108" s="50"/>
      <c r="E108" s="50"/>
      <c r="F108" s="50"/>
      <c r="G108" s="50"/>
      <c r="H108" s="50"/>
      <c r="I108" s="50"/>
      <c r="J108" s="50"/>
    </row>
    <row r="109" spans="1:10">
      <c r="A109" s="13" t="s">
        <v>1086</v>
      </c>
      <c r="B109" s="594" t="s">
        <v>4183</v>
      </c>
      <c r="C109" s="896"/>
      <c r="D109" s="896"/>
      <c r="E109" s="896"/>
      <c r="F109" s="896"/>
      <c r="G109" s="896"/>
      <c r="H109" s="896"/>
      <c r="I109" s="896"/>
      <c r="J109" s="896"/>
    </row>
    <row r="110" spans="1:10">
      <c r="A110" s="13" t="s">
        <v>2194</v>
      </c>
      <c r="B110" s="594" t="s">
        <v>4184</v>
      </c>
      <c r="C110" s="896"/>
      <c r="D110" s="896"/>
      <c r="E110" s="896"/>
      <c r="F110" s="896"/>
      <c r="G110" s="896"/>
      <c r="H110" s="896"/>
      <c r="I110" s="896"/>
      <c r="J110" s="896"/>
    </row>
    <row r="111" spans="1:10">
      <c r="A111" s="13" t="s">
        <v>1088</v>
      </c>
      <c r="B111" s="594" t="s">
        <v>4185</v>
      </c>
      <c r="C111" s="896"/>
      <c r="D111" s="896"/>
      <c r="E111" s="896"/>
      <c r="F111" s="896"/>
      <c r="G111" s="896"/>
      <c r="H111" s="896"/>
      <c r="I111" s="896"/>
      <c r="J111" s="896"/>
    </row>
    <row r="112" spans="1:10" ht="25.5">
      <c r="A112" s="13" t="s">
        <v>3076</v>
      </c>
      <c r="B112" s="594" t="s">
        <v>4186</v>
      </c>
      <c r="C112" s="896"/>
      <c r="D112" s="896"/>
      <c r="E112" s="896"/>
      <c r="F112" s="896"/>
      <c r="G112" s="896"/>
      <c r="H112" s="896"/>
      <c r="I112" s="896"/>
      <c r="J112" s="896"/>
    </row>
    <row r="113" spans="1:10" ht="25.5">
      <c r="A113" s="13" t="s">
        <v>4187</v>
      </c>
      <c r="B113" s="594" t="s">
        <v>4188</v>
      </c>
      <c r="C113" s="896"/>
      <c r="D113" s="896"/>
      <c r="E113" s="896"/>
      <c r="F113" s="896"/>
      <c r="G113" s="896"/>
      <c r="H113" s="896"/>
      <c r="I113" s="896"/>
      <c r="J113" s="896"/>
    </row>
    <row r="114" spans="1:10" ht="25.5">
      <c r="A114" s="13" t="s">
        <v>3696</v>
      </c>
      <c r="B114" s="594" t="s">
        <v>4189</v>
      </c>
      <c r="C114" s="896"/>
      <c r="D114" s="896"/>
      <c r="E114" s="896"/>
      <c r="F114" s="896"/>
      <c r="G114" s="896"/>
      <c r="H114" s="896"/>
      <c r="I114" s="896"/>
      <c r="J114" s="896"/>
    </row>
    <row r="115" spans="1:10" ht="25.5">
      <c r="A115" s="13" t="s">
        <v>4190</v>
      </c>
      <c r="B115" s="594" t="s">
        <v>4191</v>
      </c>
      <c r="C115" s="896"/>
      <c r="D115" s="896"/>
      <c r="E115" s="896"/>
      <c r="F115" s="896"/>
      <c r="G115" s="896"/>
      <c r="H115" s="896"/>
      <c r="I115" s="896"/>
      <c r="J115" s="896"/>
    </row>
    <row r="116" spans="1:10">
      <c r="A116" s="13" t="s">
        <v>1563</v>
      </c>
      <c r="B116" s="594" t="s">
        <v>4192</v>
      </c>
      <c r="C116" s="896"/>
      <c r="D116" s="896"/>
      <c r="E116" s="896"/>
      <c r="F116" s="896"/>
      <c r="G116" s="896"/>
      <c r="H116" s="896"/>
      <c r="I116" s="896"/>
      <c r="J116" s="896"/>
    </row>
    <row r="117" spans="1:10" ht="15.75" thickBot="1"/>
    <row r="118" spans="1:10" ht="15" customHeight="1">
      <c r="A118" s="605" t="s">
        <v>5668</v>
      </c>
      <c r="B118" s="602"/>
      <c r="C118" s="602"/>
      <c r="D118" s="606"/>
      <c r="E118" s="602"/>
      <c r="F118" s="602"/>
      <c r="G118" s="606"/>
      <c r="H118" s="606"/>
      <c r="I118" s="606"/>
      <c r="J118" s="607"/>
    </row>
    <row r="119" spans="1:10" ht="30" customHeight="1">
      <c r="A119" s="321" t="s">
        <v>5610</v>
      </c>
      <c r="B119" s="322" t="s">
        <v>77</v>
      </c>
      <c r="C119" s="322" t="s">
        <v>5611</v>
      </c>
      <c r="D119" s="322" t="s">
        <v>5612</v>
      </c>
      <c r="E119" s="322" t="s">
        <v>5634</v>
      </c>
      <c r="F119" s="322" t="s">
        <v>5601</v>
      </c>
      <c r="G119" s="578" t="s">
        <v>5635</v>
      </c>
      <c r="H119" s="578"/>
      <c r="I119" s="578"/>
      <c r="J119" s="579"/>
    </row>
    <row r="120" spans="1:10" ht="25.5" customHeight="1">
      <c r="A120" s="323" t="s">
        <v>5613</v>
      </c>
      <c r="B120" s="333" t="s">
        <v>484</v>
      </c>
      <c r="C120" s="325">
        <v>0</v>
      </c>
      <c r="D120" s="325">
        <v>0</v>
      </c>
      <c r="E120" s="192" t="s">
        <v>5674</v>
      </c>
      <c r="F120" s="325">
        <f>IF(AND(C120&lt;&gt;"",D120&lt;&gt;""),D120-C120,"")</f>
        <v>0</v>
      </c>
      <c r="G120" s="608"/>
      <c r="H120" s="608"/>
      <c r="I120" s="608"/>
      <c r="J120" s="609"/>
    </row>
    <row r="121" spans="1:10" ht="25.5" customHeight="1">
      <c r="A121" s="326" t="s">
        <v>5614</v>
      </c>
      <c r="B121" s="333" t="s">
        <v>484</v>
      </c>
      <c r="C121" s="327">
        <v>1</v>
      </c>
      <c r="D121" s="327">
        <v>0</v>
      </c>
      <c r="E121" s="310" t="s">
        <v>5675</v>
      </c>
      <c r="F121" s="327">
        <f>IF(AND(C121&lt;&gt;"",D121&lt;&gt;""),D121-C121,"")</f>
        <v>-1</v>
      </c>
      <c r="G121" s="610"/>
      <c r="H121" s="610"/>
      <c r="I121" s="610"/>
      <c r="J121" s="611"/>
    </row>
    <row r="122" spans="1:10" ht="15" customHeight="1">
      <c r="A122" s="323" t="s">
        <v>5615</v>
      </c>
      <c r="B122" s="333" t="s">
        <v>484</v>
      </c>
      <c r="C122" s="327">
        <v>1</v>
      </c>
      <c r="D122" s="327">
        <v>0</v>
      </c>
      <c r="E122" s="310" t="s">
        <v>5675</v>
      </c>
      <c r="F122" s="325">
        <f>IF(AND(C122&lt;&gt;"",D122&lt;&gt;""),D122-C122,"")</f>
        <v>-1</v>
      </c>
      <c r="G122" s="328"/>
      <c r="H122" s="227"/>
      <c r="I122" s="227"/>
      <c r="J122" s="329"/>
    </row>
    <row r="123" spans="1:10" ht="15" customHeight="1">
      <c r="A123" s="326" t="s">
        <v>5616</v>
      </c>
      <c r="B123" s="333" t="s">
        <v>484</v>
      </c>
      <c r="C123" s="327">
        <v>1</v>
      </c>
      <c r="D123" s="327">
        <v>0</v>
      </c>
      <c r="E123" s="310" t="s">
        <v>5675</v>
      </c>
      <c r="F123" s="327">
        <f>IF(AND(C123&lt;&gt;"",D123&lt;&gt;""),D123-C123,"")</f>
        <v>-1</v>
      </c>
      <c r="G123" s="610"/>
      <c r="H123" s="610"/>
      <c r="I123" s="610"/>
      <c r="J123" s="611"/>
    </row>
    <row r="124" spans="1:10" ht="15" customHeight="1">
      <c r="A124" s="323" t="s">
        <v>5168</v>
      </c>
      <c r="B124" s="333" t="s">
        <v>484</v>
      </c>
      <c r="C124" s="327">
        <v>1</v>
      </c>
      <c r="D124" s="327">
        <v>0</v>
      </c>
      <c r="E124" s="310" t="s">
        <v>5675</v>
      </c>
      <c r="F124" s="325">
        <f>IF(AND(C124&lt;&gt;"",D124&lt;&gt;""),D124-C124,"")</f>
        <v>-1</v>
      </c>
      <c r="G124" s="328"/>
      <c r="H124" s="227"/>
      <c r="I124" s="227"/>
      <c r="J124" s="329"/>
    </row>
    <row r="125" spans="1:10" ht="15.75" customHeight="1">
      <c r="A125" s="585" t="s">
        <v>5636</v>
      </c>
      <c r="B125" s="586"/>
      <c r="C125" s="330">
        <f>IFERROR(AVERAGE(C120:C124),"")</f>
        <v>0.8</v>
      </c>
      <c r="D125" s="330">
        <f>IFERROR(AVERAGE(D120:D124),"")</f>
        <v>0</v>
      </c>
      <c r="E125" s="589" t="s">
        <v>5637</v>
      </c>
      <c r="F125" s="589"/>
      <c r="G125" s="589"/>
      <c r="H125" s="589"/>
      <c r="I125" s="589"/>
      <c r="J125" s="590"/>
    </row>
    <row r="126" spans="1:10" ht="20.25" customHeight="1">
      <c r="A126" s="331"/>
      <c r="B126" s="316"/>
      <c r="C126" s="316"/>
      <c r="D126" s="316"/>
      <c r="E126" s="316"/>
      <c r="F126" s="316"/>
      <c r="G126" s="316"/>
      <c r="H126" s="227"/>
      <c r="I126" s="227"/>
      <c r="J126" s="329"/>
    </row>
    <row r="127" spans="1:10">
      <c r="A127" s="574" t="s">
        <v>5669</v>
      </c>
      <c r="B127" s="582"/>
      <c r="C127" s="582"/>
      <c r="D127" s="575"/>
      <c r="E127" s="582"/>
      <c r="F127" s="582"/>
      <c r="G127" s="575"/>
      <c r="H127" s="575"/>
      <c r="I127" s="575"/>
      <c r="J127" s="576"/>
    </row>
    <row r="128" spans="1:10">
      <c r="A128" s="321" t="s">
        <v>4946</v>
      </c>
      <c r="B128" s="322" t="s">
        <v>77</v>
      </c>
      <c r="C128" s="322" t="s">
        <v>5676</v>
      </c>
      <c r="D128" s="322" t="s">
        <v>482</v>
      </c>
      <c r="E128" s="322" t="s">
        <v>572</v>
      </c>
      <c r="F128" s="322" t="s">
        <v>5639</v>
      </c>
      <c r="G128" s="578" t="s">
        <v>5640</v>
      </c>
      <c r="H128" s="578"/>
      <c r="I128" s="578"/>
      <c r="J128" s="579"/>
    </row>
    <row r="129" spans="1:10" ht="31.5" customHeight="1">
      <c r="A129" s="326" t="s">
        <v>5602</v>
      </c>
      <c r="B129" s="333" t="s">
        <v>484</v>
      </c>
      <c r="C129" s="332" t="s">
        <v>679</v>
      </c>
      <c r="D129" s="324" t="s">
        <v>679</v>
      </c>
      <c r="E129" s="332">
        <f>IF(D129="Yes",1,0)</f>
        <v>0</v>
      </c>
      <c r="F129" s="580"/>
      <c r="G129" s="580"/>
      <c r="H129" s="580"/>
      <c r="I129" s="580"/>
      <c r="J129" s="581"/>
    </row>
    <row r="130" spans="1:10" ht="20.25" customHeight="1">
      <c r="A130" s="323" t="s">
        <v>995</v>
      </c>
      <c r="B130" s="333" t="s">
        <v>484</v>
      </c>
      <c r="C130" s="332" t="s">
        <v>679</v>
      </c>
      <c r="D130" s="324" t="s">
        <v>679</v>
      </c>
      <c r="E130" s="324">
        <f t="shared" ref="E130:E136" si="0">IF(D130="Yes",1,0)</f>
        <v>0</v>
      </c>
      <c r="F130" s="580"/>
      <c r="G130" s="580"/>
      <c r="H130" s="580"/>
      <c r="I130" s="580"/>
      <c r="J130" s="581"/>
    </row>
    <row r="131" spans="1:10" ht="24.75" customHeight="1">
      <c r="A131" s="326" t="s">
        <v>5603</v>
      </c>
      <c r="B131" s="333" t="s">
        <v>484</v>
      </c>
      <c r="C131" s="332" t="s">
        <v>679</v>
      </c>
      <c r="D131" s="324" t="s">
        <v>679</v>
      </c>
      <c r="E131" s="332">
        <f t="shared" si="0"/>
        <v>0</v>
      </c>
      <c r="F131" s="580"/>
      <c r="G131" s="580"/>
      <c r="H131" s="580"/>
      <c r="I131" s="580"/>
      <c r="J131" s="581"/>
    </row>
    <row r="132" spans="1:10">
      <c r="A132" s="323" t="s">
        <v>5617</v>
      </c>
      <c r="B132" s="333" t="s">
        <v>484</v>
      </c>
      <c r="C132" s="332" t="s">
        <v>679</v>
      </c>
      <c r="D132" s="324" t="s">
        <v>679</v>
      </c>
      <c r="E132" s="324">
        <f t="shared" si="0"/>
        <v>0</v>
      </c>
      <c r="F132" s="580"/>
      <c r="G132" s="580"/>
      <c r="H132" s="580"/>
      <c r="I132" s="580"/>
      <c r="J132" s="581"/>
    </row>
    <row r="133" spans="1:10" ht="38.25">
      <c r="A133" s="326" t="s">
        <v>5618</v>
      </c>
      <c r="B133" s="333" t="s">
        <v>484</v>
      </c>
      <c r="C133" s="332" t="s">
        <v>679</v>
      </c>
      <c r="D133" s="324" t="s">
        <v>679</v>
      </c>
      <c r="E133" s="332">
        <f t="shared" si="0"/>
        <v>0</v>
      </c>
      <c r="F133" s="580"/>
      <c r="G133" s="580"/>
      <c r="H133" s="580"/>
      <c r="I133" s="580"/>
      <c r="J133" s="581"/>
    </row>
    <row r="134" spans="1:10" ht="25.5">
      <c r="A134" s="323" t="s">
        <v>5619</v>
      </c>
      <c r="B134" s="333" t="s">
        <v>484</v>
      </c>
      <c r="C134" s="332" t="s">
        <v>679</v>
      </c>
      <c r="D134" s="324" t="s">
        <v>679</v>
      </c>
      <c r="E134" s="324">
        <f t="shared" si="0"/>
        <v>0</v>
      </c>
      <c r="F134" s="580"/>
      <c r="G134" s="580"/>
      <c r="H134" s="580"/>
      <c r="I134" s="580"/>
      <c r="J134" s="581"/>
    </row>
    <row r="135" spans="1:10" ht="18.75" customHeight="1">
      <c r="A135" s="326" t="s">
        <v>5604</v>
      </c>
      <c r="B135" s="333" t="s">
        <v>484</v>
      </c>
      <c r="C135" s="332" t="s">
        <v>679</v>
      </c>
      <c r="D135" s="324" t="s">
        <v>679</v>
      </c>
      <c r="E135" s="332">
        <f t="shared" si="0"/>
        <v>0</v>
      </c>
      <c r="F135" s="580"/>
      <c r="G135" s="580"/>
      <c r="H135" s="580"/>
      <c r="I135" s="580"/>
      <c r="J135" s="581"/>
    </row>
    <row r="136" spans="1:10" ht="25.5">
      <c r="A136" s="323" t="s">
        <v>5605</v>
      </c>
      <c r="B136" s="333" t="s">
        <v>484</v>
      </c>
      <c r="C136" s="332" t="s">
        <v>679</v>
      </c>
      <c r="D136" s="324" t="s">
        <v>679</v>
      </c>
      <c r="E136" s="324">
        <f t="shared" si="0"/>
        <v>0</v>
      </c>
      <c r="F136" s="580"/>
      <c r="G136" s="580"/>
      <c r="H136" s="580"/>
      <c r="I136" s="580"/>
      <c r="J136" s="581"/>
    </row>
    <row r="137" spans="1:10" ht="28.5" customHeight="1">
      <c r="A137" s="585" t="s">
        <v>5641</v>
      </c>
      <c r="B137" s="586"/>
      <c r="C137" s="587" t="str">
        <f>IFERROR(SUM(E129:E136)/COUNTIF(C129:C136,"Yes"),"")</f>
        <v/>
      </c>
      <c r="D137" s="588"/>
      <c r="E137" s="589" t="s">
        <v>5642</v>
      </c>
      <c r="F137" s="589"/>
      <c r="G137" s="589"/>
      <c r="H137" s="589"/>
      <c r="I137" s="589"/>
      <c r="J137" s="590"/>
    </row>
    <row r="138" spans="1:10" ht="20.25" customHeight="1">
      <c r="A138" s="331"/>
      <c r="B138" s="316"/>
      <c r="C138" s="316"/>
      <c r="D138" s="316"/>
      <c r="E138" s="316"/>
      <c r="F138" s="316"/>
      <c r="G138" s="316"/>
      <c r="H138" s="227"/>
      <c r="I138" s="227"/>
      <c r="J138" s="329"/>
    </row>
    <row r="139" spans="1:10">
      <c r="A139" s="574" t="s">
        <v>5670</v>
      </c>
      <c r="B139" s="582"/>
      <c r="C139" s="582"/>
      <c r="D139" s="575"/>
      <c r="E139" s="582"/>
      <c r="F139" s="582"/>
      <c r="G139" s="575"/>
      <c r="H139" s="575"/>
      <c r="I139" s="575"/>
      <c r="J139" s="576"/>
    </row>
    <row r="140" spans="1:10" ht="30" customHeight="1">
      <c r="A140" s="321" t="s">
        <v>5643</v>
      </c>
      <c r="B140" s="322" t="s">
        <v>77</v>
      </c>
      <c r="C140" s="322" t="s">
        <v>5620</v>
      </c>
      <c r="D140" s="322" t="s">
        <v>5621</v>
      </c>
      <c r="E140" s="322" t="s">
        <v>5622</v>
      </c>
      <c r="F140" s="322" t="s">
        <v>5644</v>
      </c>
      <c r="G140" s="578" t="s">
        <v>5645</v>
      </c>
      <c r="H140" s="578"/>
      <c r="I140" s="578"/>
      <c r="J140" s="579"/>
    </row>
    <row r="141" spans="1:10" ht="25.5">
      <c r="A141" s="326" t="s">
        <v>5623</v>
      </c>
      <c r="B141" s="332" t="s">
        <v>484</v>
      </c>
      <c r="C141" s="332" t="s">
        <v>1096</v>
      </c>
      <c r="D141" s="332" t="s">
        <v>1096</v>
      </c>
      <c r="E141" s="332" t="s">
        <v>1096</v>
      </c>
      <c r="F141" s="332" t="s">
        <v>348</v>
      </c>
      <c r="G141" s="583"/>
      <c r="H141" s="583"/>
      <c r="I141" s="583"/>
      <c r="J141" s="584"/>
    </row>
    <row r="142" spans="1:10" ht="53.45" customHeight="1">
      <c r="A142" s="323" t="s">
        <v>5624</v>
      </c>
      <c r="B142" s="332" t="s">
        <v>484</v>
      </c>
      <c r="C142" s="332" t="s">
        <v>1096</v>
      </c>
      <c r="D142" s="332" t="s">
        <v>1096</v>
      </c>
      <c r="E142" s="332" t="s">
        <v>1096</v>
      </c>
      <c r="F142" s="332" t="s">
        <v>348</v>
      </c>
      <c r="G142" s="583"/>
      <c r="H142" s="583"/>
      <c r="I142" s="583"/>
      <c r="J142" s="584"/>
    </row>
    <row r="143" spans="1:10" ht="53.45" customHeight="1">
      <c r="A143" s="326" t="s">
        <v>5646</v>
      </c>
      <c r="B143" s="332" t="s">
        <v>484</v>
      </c>
      <c r="C143" s="332" t="s">
        <v>1096</v>
      </c>
      <c r="D143" s="332" t="s">
        <v>1096</v>
      </c>
      <c r="E143" s="332" t="s">
        <v>1096</v>
      </c>
      <c r="F143" s="332" t="s">
        <v>348</v>
      </c>
      <c r="G143" s="583"/>
      <c r="H143" s="583"/>
      <c r="I143" s="583"/>
      <c r="J143" s="584"/>
    </row>
    <row r="144" spans="1:10" ht="53.45" customHeight="1">
      <c r="A144" s="323" t="s">
        <v>5625</v>
      </c>
      <c r="B144" s="332" t="s">
        <v>484</v>
      </c>
      <c r="C144" s="332" t="s">
        <v>1096</v>
      </c>
      <c r="D144" s="332" t="s">
        <v>1096</v>
      </c>
      <c r="E144" s="332" t="s">
        <v>1096</v>
      </c>
      <c r="F144" s="332" t="s">
        <v>348</v>
      </c>
      <c r="G144" s="583"/>
      <c r="H144" s="583"/>
      <c r="I144" s="583"/>
      <c r="J144" s="584"/>
    </row>
    <row r="145" spans="1:10" ht="53.45" customHeight="1">
      <c r="A145" s="326" t="s">
        <v>5626</v>
      </c>
      <c r="B145" s="332" t="s">
        <v>484</v>
      </c>
      <c r="C145" s="332" t="s">
        <v>1096</v>
      </c>
      <c r="D145" s="332" t="s">
        <v>1096</v>
      </c>
      <c r="E145" s="332" t="s">
        <v>1096</v>
      </c>
      <c r="F145" s="332" t="s">
        <v>348</v>
      </c>
      <c r="G145" s="583"/>
      <c r="H145" s="583"/>
      <c r="I145" s="583"/>
      <c r="J145" s="584"/>
    </row>
    <row r="146" spans="1:10" ht="53.45" customHeight="1">
      <c r="A146" s="585" t="s">
        <v>5677</v>
      </c>
      <c r="B146" s="586"/>
      <c r="C146" s="587">
        <f>IFERROR(COUNTIF(E141:E145,"Yes")/COUNTA(A141:A145),"")</f>
        <v>0</v>
      </c>
      <c r="D146" s="588"/>
      <c r="E146" s="589" t="s">
        <v>5648</v>
      </c>
      <c r="F146" s="589"/>
      <c r="G146" s="589"/>
      <c r="H146" s="589"/>
      <c r="I146" s="589"/>
      <c r="J146" s="590"/>
    </row>
    <row r="147" spans="1:10" ht="20.25" customHeight="1">
      <c r="A147" s="331"/>
      <c r="B147" s="316"/>
      <c r="C147" s="316"/>
      <c r="D147" s="316"/>
      <c r="E147" s="316"/>
      <c r="F147" s="316"/>
      <c r="G147" s="599"/>
      <c r="H147" s="599"/>
      <c r="I147" s="599"/>
      <c r="J147" s="600"/>
    </row>
    <row r="148" spans="1:10" ht="53.45" customHeight="1">
      <c r="A148" s="574" t="s">
        <v>5671</v>
      </c>
      <c r="B148" s="582"/>
      <c r="C148" s="582"/>
      <c r="D148" s="575"/>
      <c r="E148" s="582"/>
      <c r="F148" s="582"/>
      <c r="G148" s="575"/>
      <c r="H148" s="575"/>
      <c r="I148" s="575"/>
      <c r="J148" s="576"/>
    </row>
    <row r="149" spans="1:10" ht="53.45" customHeight="1">
      <c r="A149" s="322" t="s">
        <v>5606</v>
      </c>
      <c r="B149" s="322" t="s">
        <v>77</v>
      </c>
      <c r="C149" s="322" t="s">
        <v>5627</v>
      </c>
      <c r="D149" s="322" t="s">
        <v>5628</v>
      </c>
      <c r="E149" s="322" t="s">
        <v>5629</v>
      </c>
      <c r="F149" s="322" t="s">
        <v>5630</v>
      </c>
      <c r="G149" s="578" t="s">
        <v>5678</v>
      </c>
      <c r="H149" s="578"/>
      <c r="I149" s="578"/>
      <c r="J149" s="578"/>
    </row>
    <row r="150" spans="1:10">
      <c r="A150" s="328" t="s">
        <v>153</v>
      </c>
      <c r="B150" s="324" t="s">
        <v>484</v>
      </c>
      <c r="C150" s="324"/>
      <c r="D150" s="324"/>
      <c r="E150" s="324"/>
      <c r="F150" s="325" t="str">
        <f>IFERROR(D150/C150,"")</f>
        <v/>
      </c>
      <c r="G150" s="572"/>
      <c r="H150" s="572"/>
      <c r="I150" s="572"/>
      <c r="J150" s="572"/>
    </row>
    <row r="151" spans="1:10">
      <c r="A151" s="335" t="s">
        <v>155</v>
      </c>
      <c r="B151" s="332" t="s">
        <v>484</v>
      </c>
      <c r="C151" s="332"/>
      <c r="D151" s="332"/>
      <c r="E151" s="332"/>
      <c r="F151" s="327" t="str">
        <f>IFERROR(D151/C151,"")</f>
        <v/>
      </c>
      <c r="G151" s="572"/>
      <c r="H151" s="572"/>
      <c r="I151" s="572"/>
      <c r="J151" s="572"/>
    </row>
    <row r="152" spans="1:10">
      <c r="A152" s="328" t="s">
        <v>4821</v>
      </c>
      <c r="B152" s="324" t="s">
        <v>484</v>
      </c>
      <c r="C152" s="324"/>
      <c r="D152" s="324"/>
      <c r="E152" s="324"/>
      <c r="F152" s="325" t="str">
        <f>IFERROR(D152/C152,"")</f>
        <v/>
      </c>
      <c r="G152" s="572"/>
      <c r="H152" s="572"/>
      <c r="I152" s="572"/>
      <c r="J152" s="572"/>
    </row>
    <row r="153" spans="1:10">
      <c r="A153" s="335" t="s">
        <v>957</v>
      </c>
      <c r="B153" s="332" t="s">
        <v>484</v>
      </c>
      <c r="C153" s="332"/>
      <c r="D153" s="332"/>
      <c r="E153" s="332"/>
      <c r="F153" s="327" t="str">
        <f>IFERROR(D153/C153,"")</f>
        <v/>
      </c>
      <c r="G153" s="572"/>
      <c r="H153" s="572"/>
      <c r="I153" s="572"/>
      <c r="J153" s="572"/>
    </row>
    <row r="154" spans="1:10">
      <c r="A154" s="597" t="s">
        <v>5649</v>
      </c>
      <c r="B154" s="597"/>
      <c r="C154" s="597"/>
      <c r="D154" s="597"/>
      <c r="E154" s="589" t="s">
        <v>5650</v>
      </c>
      <c r="F154" s="589"/>
      <c r="G154" s="589"/>
      <c r="H154" s="589"/>
      <c r="I154" s="589"/>
      <c r="J154" s="589"/>
    </row>
    <row r="155" spans="1:10">
      <c r="A155" s="597"/>
      <c r="B155" s="597"/>
      <c r="C155" s="597"/>
      <c r="D155" s="597"/>
      <c r="E155" s="589"/>
      <c r="F155" s="589"/>
      <c r="G155" s="589"/>
      <c r="H155" s="589"/>
      <c r="I155" s="589"/>
      <c r="J155" s="589"/>
    </row>
    <row r="156" spans="1:10">
      <c r="A156" s="575" t="s">
        <v>5672</v>
      </c>
      <c r="B156" s="575"/>
      <c r="C156" s="575"/>
      <c r="D156" s="575"/>
      <c r="E156" s="575"/>
      <c r="F156" s="575"/>
      <c r="G156" s="575"/>
      <c r="H156" s="575"/>
      <c r="I156" s="575"/>
      <c r="J156" s="575"/>
    </row>
    <row r="157" spans="1:10">
      <c r="A157" s="322" t="s">
        <v>4946</v>
      </c>
      <c r="B157" s="322" t="s">
        <v>77</v>
      </c>
      <c r="C157" s="322" t="s">
        <v>5638</v>
      </c>
      <c r="D157" s="322" t="s">
        <v>482</v>
      </c>
      <c r="E157" s="322" t="s">
        <v>572</v>
      </c>
      <c r="F157" s="322" t="s">
        <v>944</v>
      </c>
      <c r="G157" s="578" t="s">
        <v>5640</v>
      </c>
      <c r="H157" s="578"/>
      <c r="I157" s="578"/>
      <c r="J157" s="578"/>
    </row>
    <row r="158" spans="1:10" ht="25.5">
      <c r="A158" s="328" t="s">
        <v>5607</v>
      </c>
      <c r="B158" s="324" t="s">
        <v>484</v>
      </c>
      <c r="C158" s="324" t="s">
        <v>392</v>
      </c>
      <c r="D158" s="324" t="s">
        <v>1096</v>
      </c>
      <c r="E158" s="324">
        <f t="shared" ref="E158:E163" si="1">IF(D158="Yes",1,0)</f>
        <v>0</v>
      </c>
      <c r="F158" s="324"/>
      <c r="G158" s="572"/>
      <c r="H158" s="572"/>
      <c r="I158" s="572"/>
      <c r="J158" s="572"/>
    </row>
    <row r="159" spans="1:10">
      <c r="A159" s="335" t="s">
        <v>5608</v>
      </c>
      <c r="B159" s="324" t="s">
        <v>484</v>
      </c>
      <c r="C159" s="332" t="s">
        <v>392</v>
      </c>
      <c r="D159" s="324" t="s">
        <v>1096</v>
      </c>
      <c r="E159" s="332">
        <f t="shared" si="1"/>
        <v>0</v>
      </c>
      <c r="F159" s="332"/>
      <c r="G159" s="572"/>
      <c r="H159" s="572"/>
      <c r="I159" s="572"/>
      <c r="J159" s="572"/>
    </row>
    <row r="160" spans="1:10" ht="25.5">
      <c r="A160" s="328" t="s">
        <v>5609</v>
      </c>
      <c r="B160" s="324" t="s">
        <v>484</v>
      </c>
      <c r="C160" s="324" t="s">
        <v>392</v>
      </c>
      <c r="D160" s="324" t="s">
        <v>1096</v>
      </c>
      <c r="E160" s="324">
        <f t="shared" si="1"/>
        <v>0</v>
      </c>
      <c r="F160" s="324"/>
      <c r="G160" s="572"/>
      <c r="H160" s="572"/>
      <c r="I160" s="572"/>
      <c r="J160" s="572"/>
    </row>
    <row r="161" spans="1:10">
      <c r="A161" s="335" t="s">
        <v>5631</v>
      </c>
      <c r="B161" s="324" t="s">
        <v>484</v>
      </c>
      <c r="C161" s="332" t="s">
        <v>392</v>
      </c>
      <c r="D161" s="324" t="s">
        <v>1096</v>
      </c>
      <c r="E161" s="332">
        <f t="shared" si="1"/>
        <v>0</v>
      </c>
      <c r="F161" s="332"/>
      <c r="G161" s="572"/>
      <c r="H161" s="572"/>
      <c r="I161" s="572"/>
      <c r="J161" s="572"/>
    </row>
    <row r="162" spans="1:10" ht="27.75" customHeight="1">
      <c r="A162" s="328" t="s">
        <v>5632</v>
      </c>
      <c r="B162" s="324" t="s">
        <v>484</v>
      </c>
      <c r="C162" s="324" t="s">
        <v>392</v>
      </c>
      <c r="D162" s="324" t="s">
        <v>1096</v>
      </c>
      <c r="E162" s="324">
        <f t="shared" si="1"/>
        <v>0</v>
      </c>
      <c r="F162" s="324"/>
      <c r="G162" s="572"/>
      <c r="H162" s="572"/>
      <c r="I162" s="572"/>
      <c r="J162" s="572"/>
    </row>
    <row r="163" spans="1:10" ht="29.25" customHeight="1">
      <c r="A163" s="335" t="s">
        <v>5633</v>
      </c>
      <c r="B163" s="324" t="s">
        <v>484</v>
      </c>
      <c r="C163" s="332" t="s">
        <v>392</v>
      </c>
      <c r="D163" s="332" t="s">
        <v>1096</v>
      </c>
      <c r="E163" s="332">
        <f t="shared" si="1"/>
        <v>0</v>
      </c>
      <c r="F163" s="332"/>
      <c r="G163" s="572"/>
      <c r="H163" s="572"/>
      <c r="I163" s="572"/>
      <c r="J163" s="572"/>
    </row>
    <row r="164" spans="1:10" ht="15.75">
      <c r="A164" s="930" t="s">
        <v>5651</v>
      </c>
      <c r="B164" s="586"/>
      <c r="C164" s="587">
        <f>IFERROR(SUM(E158:E163)/COUNTIF(C158:C163,"Yes"),"")</f>
        <v>0</v>
      </c>
      <c r="D164" s="588"/>
      <c r="E164" s="589" t="s">
        <v>5652</v>
      </c>
      <c r="F164" s="589"/>
      <c r="G164" s="589"/>
      <c r="H164" s="589"/>
      <c r="I164" s="589"/>
      <c r="J164" s="589"/>
    </row>
    <row r="165" spans="1:10" ht="20.25" customHeight="1">
      <c r="A165" s="192"/>
      <c r="B165" s="192"/>
      <c r="C165" s="192"/>
      <c r="D165" s="192"/>
      <c r="E165" s="192"/>
      <c r="F165" s="192"/>
      <c r="G165" s="192"/>
      <c r="H165" s="192"/>
      <c r="I165" s="192"/>
      <c r="J165" s="192"/>
    </row>
    <row r="166" spans="1:10">
      <c r="A166" s="575" t="s">
        <v>5673</v>
      </c>
      <c r="B166" s="582"/>
      <c r="C166" s="582"/>
      <c r="D166" s="317"/>
      <c r="E166" s="317"/>
      <c r="F166" s="317"/>
      <c r="G166" s="317"/>
      <c r="H166" s="317"/>
      <c r="I166" s="317"/>
      <c r="J166" s="317"/>
    </row>
    <row r="167" spans="1:10" ht="38.25">
      <c r="A167" s="318" t="s">
        <v>905</v>
      </c>
      <c r="B167" s="318" t="s">
        <v>830</v>
      </c>
      <c r="C167" s="318"/>
      <c r="D167" s="318"/>
      <c r="E167" s="318"/>
      <c r="F167" s="318"/>
      <c r="G167" s="318"/>
      <c r="H167" s="318"/>
      <c r="I167" s="318"/>
      <c r="J167" s="318"/>
    </row>
    <row r="168" spans="1:10">
      <c r="A168" s="315" t="s">
        <v>1086</v>
      </c>
      <c r="B168" s="594" t="s">
        <v>3292</v>
      </c>
      <c r="C168" s="582"/>
      <c r="D168" s="582"/>
      <c r="E168" s="582"/>
      <c r="F168" s="582"/>
      <c r="G168" s="582"/>
      <c r="H168" s="582"/>
      <c r="I168" s="582"/>
      <c r="J168" s="582"/>
    </row>
    <row r="169" spans="1:10" ht="25.5">
      <c r="A169" s="315" t="s">
        <v>2090</v>
      </c>
      <c r="B169" s="594" t="s">
        <v>3293</v>
      </c>
      <c r="C169" s="582"/>
      <c r="D169" s="582"/>
      <c r="E169" s="582"/>
      <c r="F169" s="582"/>
      <c r="G169" s="582"/>
      <c r="H169" s="582"/>
      <c r="I169" s="582"/>
      <c r="J169" s="582"/>
    </row>
    <row r="170" spans="1:10">
      <c r="A170" s="315" t="s">
        <v>1089</v>
      </c>
      <c r="B170" s="594" t="s">
        <v>3294</v>
      </c>
      <c r="C170" s="582"/>
      <c r="D170" s="582"/>
      <c r="E170" s="582"/>
      <c r="F170" s="582"/>
      <c r="G170" s="582"/>
      <c r="H170" s="582"/>
      <c r="I170" s="582"/>
      <c r="J170" s="582"/>
    </row>
    <row r="171" spans="1:10">
      <c r="A171" s="315" t="s">
        <v>1090</v>
      </c>
      <c r="B171" s="594" t="s">
        <v>3295</v>
      </c>
      <c r="C171" s="582"/>
      <c r="D171" s="582"/>
      <c r="E171" s="582"/>
      <c r="F171" s="582"/>
      <c r="G171" s="582"/>
      <c r="H171" s="582"/>
      <c r="I171" s="582"/>
      <c r="J171" s="582"/>
    </row>
    <row r="172" spans="1:10">
      <c r="A172" s="315" t="s">
        <v>1088</v>
      </c>
      <c r="B172" s="594" t="s">
        <v>3296</v>
      </c>
      <c r="C172" s="582"/>
      <c r="D172" s="582"/>
      <c r="E172" s="582"/>
      <c r="F172" s="582"/>
      <c r="G172" s="582"/>
      <c r="H172" s="582"/>
      <c r="I172" s="582"/>
      <c r="J172" s="582"/>
    </row>
    <row r="173" spans="1:10" ht="25.5">
      <c r="A173" s="315" t="s">
        <v>3297</v>
      </c>
      <c r="B173" s="594" t="s">
        <v>3298</v>
      </c>
      <c r="C173" s="582"/>
      <c r="D173" s="582"/>
      <c r="E173" s="582"/>
      <c r="F173" s="582"/>
      <c r="G173" s="582"/>
      <c r="H173" s="582"/>
      <c r="I173" s="582"/>
      <c r="J173" s="582"/>
    </row>
    <row r="174" spans="1:10">
      <c r="A174" s="315" t="s">
        <v>1563</v>
      </c>
      <c r="B174" s="594" t="s">
        <v>1776</v>
      </c>
      <c r="C174" s="582"/>
      <c r="D174" s="582"/>
      <c r="E174" s="582"/>
      <c r="F174" s="582"/>
      <c r="G174" s="582"/>
      <c r="H174" s="582"/>
      <c r="I174" s="582"/>
      <c r="J174" s="582"/>
    </row>
    <row r="175" spans="1:10">
      <c r="A175" s="227"/>
      <c r="B175" s="227"/>
      <c r="C175" s="227"/>
      <c r="D175" s="227"/>
      <c r="E175" s="227"/>
      <c r="F175" s="227"/>
      <c r="G175" s="227"/>
      <c r="H175" s="227"/>
      <c r="I175" s="227"/>
      <c r="J175" s="227"/>
    </row>
    <row r="176" spans="1:10" ht="18">
      <c r="A176" s="598" t="s">
        <v>5562</v>
      </c>
      <c r="B176" s="598"/>
      <c r="C176" s="598"/>
      <c r="D176" s="598"/>
      <c r="E176" s="598"/>
      <c r="F176" s="598"/>
      <c r="G176" s="598"/>
      <c r="H176" s="598"/>
      <c r="I176" s="227"/>
      <c r="J176" s="227"/>
    </row>
    <row r="177" spans="1:10">
      <c r="A177" s="272" t="s">
        <v>2</v>
      </c>
      <c r="B177" s="591" t="s">
        <v>5563</v>
      </c>
      <c r="C177" s="591"/>
      <c r="D177" s="591"/>
      <c r="E177" s="591"/>
      <c r="F177" s="591"/>
      <c r="G177" s="591"/>
      <c r="H177" s="591"/>
      <c r="I177" s="227"/>
      <c r="J177" s="227"/>
    </row>
    <row r="178" spans="1:10">
      <c r="A178" s="272" t="s">
        <v>5564</v>
      </c>
      <c r="B178" s="591" t="s">
        <v>5565</v>
      </c>
      <c r="C178" s="591"/>
      <c r="D178" s="591"/>
      <c r="E178" s="591"/>
      <c r="F178" s="591"/>
      <c r="G178" s="591"/>
      <c r="H178" s="591"/>
      <c r="I178" s="227"/>
      <c r="J178" s="227"/>
    </row>
    <row r="179" spans="1:10">
      <c r="A179" s="192"/>
      <c r="B179" s="192"/>
      <c r="C179" s="192"/>
      <c r="D179" s="192"/>
      <c r="E179" s="192"/>
      <c r="F179" s="192"/>
      <c r="G179" s="192"/>
      <c r="H179" s="192"/>
      <c r="I179" s="227"/>
      <c r="J179" s="227"/>
    </row>
    <row r="180" spans="1:10">
      <c r="A180" s="319" t="s">
        <v>4946</v>
      </c>
      <c r="B180" s="319" t="s">
        <v>77</v>
      </c>
      <c r="C180" s="319" t="s">
        <v>5566</v>
      </c>
      <c r="D180" s="319" t="s">
        <v>263</v>
      </c>
      <c r="E180" s="319" t="s">
        <v>216</v>
      </c>
      <c r="F180" s="319" t="s">
        <v>5567</v>
      </c>
      <c r="G180" s="319" t="s">
        <v>5568</v>
      </c>
      <c r="H180" s="319" t="s">
        <v>5569</v>
      </c>
      <c r="I180" s="227"/>
      <c r="J180" s="227"/>
    </row>
    <row r="181" spans="1:10" ht="25.5">
      <c r="A181" s="273" t="s">
        <v>5570</v>
      </c>
      <c r="B181" s="274" t="s">
        <v>1096</v>
      </c>
      <c r="C181" s="273"/>
      <c r="D181" s="273"/>
      <c r="E181" s="273"/>
      <c r="F181" s="273"/>
      <c r="G181" s="275" t="str">
        <f t="shared" ref="G181:G188" si="2">IF(OR(B181="Yes",B181="N/A"),"🟢","🟡")</f>
        <v>🟡</v>
      </c>
      <c r="H181" s="273"/>
      <c r="I181" s="227"/>
      <c r="J181" s="227"/>
    </row>
    <row r="182" spans="1:10">
      <c r="A182" s="273" t="s">
        <v>5571</v>
      </c>
      <c r="B182" s="274" t="s">
        <v>1096</v>
      </c>
      <c r="C182" s="273"/>
      <c r="D182" s="273"/>
      <c r="E182" s="273"/>
      <c r="F182" s="273"/>
      <c r="G182" s="275" t="str">
        <f t="shared" si="2"/>
        <v>🟡</v>
      </c>
      <c r="H182" s="273"/>
      <c r="I182" s="227"/>
      <c r="J182" s="227"/>
    </row>
    <row r="183" spans="1:10">
      <c r="A183" s="273" t="s">
        <v>5572</v>
      </c>
      <c r="B183" s="274" t="s">
        <v>1096</v>
      </c>
      <c r="C183" s="273"/>
      <c r="D183" s="273"/>
      <c r="E183" s="273"/>
      <c r="F183" s="273"/>
      <c r="G183" s="275" t="str">
        <f t="shared" si="2"/>
        <v>🟡</v>
      </c>
      <c r="H183" s="273"/>
      <c r="I183" s="227"/>
      <c r="J183" s="227"/>
    </row>
    <row r="184" spans="1:10">
      <c r="A184" s="273" t="s">
        <v>5168</v>
      </c>
      <c r="B184" s="274" t="s">
        <v>1096</v>
      </c>
      <c r="C184" s="273"/>
      <c r="D184" s="273"/>
      <c r="E184" s="273"/>
      <c r="F184" s="273"/>
      <c r="G184" s="275" t="str">
        <f t="shared" si="2"/>
        <v>🟡</v>
      </c>
      <c r="H184" s="273"/>
      <c r="I184" s="227"/>
      <c r="J184" s="227"/>
    </row>
    <row r="185" spans="1:10">
      <c r="A185" s="273" t="s">
        <v>5573</v>
      </c>
      <c r="B185" s="274" t="s">
        <v>1096</v>
      </c>
      <c r="C185" s="273"/>
      <c r="D185" s="273"/>
      <c r="E185" s="273"/>
      <c r="F185" s="273"/>
      <c r="G185" s="275" t="str">
        <f t="shared" si="2"/>
        <v>🟡</v>
      </c>
      <c r="H185" s="273"/>
      <c r="I185" s="227"/>
      <c r="J185" s="227"/>
    </row>
    <row r="186" spans="1:10">
      <c r="A186" s="273" t="s">
        <v>5574</v>
      </c>
      <c r="B186" s="274" t="s">
        <v>1096</v>
      </c>
      <c r="C186" s="273"/>
      <c r="D186" s="273"/>
      <c r="E186" s="273"/>
      <c r="F186" s="273"/>
      <c r="G186" s="275" t="str">
        <f t="shared" si="2"/>
        <v>🟡</v>
      </c>
      <c r="H186" s="273"/>
      <c r="I186" s="227"/>
      <c r="J186" s="227"/>
    </row>
    <row r="187" spans="1:10">
      <c r="A187" s="273" t="s">
        <v>178</v>
      </c>
      <c r="B187" s="274" t="s">
        <v>1096</v>
      </c>
      <c r="C187" s="273"/>
      <c r="D187" s="273"/>
      <c r="E187" s="273"/>
      <c r="F187" s="273"/>
      <c r="G187" s="275" t="str">
        <f t="shared" si="2"/>
        <v>🟡</v>
      </c>
      <c r="H187" s="273"/>
      <c r="I187" s="227"/>
      <c r="J187" s="227"/>
    </row>
    <row r="188" spans="1:10" ht="25.5">
      <c r="A188" s="273" t="s">
        <v>5575</v>
      </c>
      <c r="B188" s="274" t="s">
        <v>1096</v>
      </c>
      <c r="C188" s="273"/>
      <c r="D188" s="273"/>
      <c r="E188" s="273"/>
      <c r="F188" s="273"/>
      <c r="G188" s="275" t="str">
        <f t="shared" si="2"/>
        <v>🟡</v>
      </c>
      <c r="H188" s="273"/>
      <c r="I188" s="227"/>
      <c r="J188" s="227"/>
    </row>
    <row r="189" spans="1:10">
      <c r="A189" s="320" t="s">
        <v>4946</v>
      </c>
      <c r="B189" s="320" t="s">
        <v>5583</v>
      </c>
      <c r="C189" s="192"/>
      <c r="D189" s="192"/>
      <c r="E189" s="320" t="s">
        <v>5584</v>
      </c>
      <c r="F189" s="192"/>
      <c r="G189" s="192"/>
      <c r="H189" s="192"/>
      <c r="I189" s="227"/>
      <c r="J189" s="227"/>
    </row>
    <row r="190" spans="1:10" ht="25.5">
      <c r="A190" s="287" t="s">
        <v>5570</v>
      </c>
      <c r="B190" s="577" t="s">
        <v>5585</v>
      </c>
      <c r="C190" s="577"/>
      <c r="D190" s="577"/>
      <c r="E190" s="577" t="s">
        <v>5586</v>
      </c>
      <c r="F190" s="577"/>
      <c r="G190" s="577"/>
      <c r="H190" s="192"/>
      <c r="I190" s="227"/>
      <c r="J190" s="227"/>
    </row>
    <row r="191" spans="1:10">
      <c r="A191" s="287" t="s">
        <v>5571</v>
      </c>
      <c r="B191" s="577" t="s">
        <v>5587</v>
      </c>
      <c r="C191" s="577"/>
      <c r="D191" s="577"/>
      <c r="E191" s="577" t="s">
        <v>5588</v>
      </c>
      <c r="F191" s="577"/>
      <c r="G191" s="577"/>
      <c r="H191" s="192"/>
      <c r="I191" s="227"/>
      <c r="J191" s="227"/>
    </row>
    <row r="192" spans="1:10">
      <c r="A192" s="287" t="s">
        <v>5572</v>
      </c>
      <c r="B192" s="577" t="s">
        <v>5589</v>
      </c>
      <c r="C192" s="577"/>
      <c r="D192" s="577"/>
      <c r="E192" s="577" t="s">
        <v>5590</v>
      </c>
      <c r="F192" s="577"/>
      <c r="G192" s="577"/>
      <c r="H192" s="192"/>
      <c r="I192" s="227"/>
      <c r="J192" s="227"/>
    </row>
    <row r="193" spans="1:10">
      <c r="A193" s="287" t="s">
        <v>5168</v>
      </c>
      <c r="B193" s="577" t="s">
        <v>5591</v>
      </c>
      <c r="C193" s="577"/>
      <c r="D193" s="577"/>
      <c r="E193" s="577" t="s">
        <v>5592</v>
      </c>
      <c r="F193" s="577"/>
      <c r="G193" s="577"/>
      <c r="H193" s="192"/>
      <c r="I193" s="227"/>
      <c r="J193" s="227"/>
    </row>
    <row r="194" spans="1:10">
      <c r="A194" s="287" t="s">
        <v>5573</v>
      </c>
      <c r="B194" s="577" t="s">
        <v>5593</v>
      </c>
      <c r="C194" s="577"/>
      <c r="D194" s="577"/>
      <c r="E194" s="577" t="s">
        <v>5594</v>
      </c>
      <c r="F194" s="577"/>
      <c r="G194" s="577"/>
      <c r="H194" s="192"/>
      <c r="I194" s="227"/>
      <c r="J194" s="227"/>
    </row>
    <row r="195" spans="1:10">
      <c r="A195" s="287" t="s">
        <v>5574</v>
      </c>
      <c r="B195" s="577" t="s">
        <v>5595</v>
      </c>
      <c r="C195" s="577"/>
      <c r="D195" s="577"/>
      <c r="E195" s="577" t="s">
        <v>5596</v>
      </c>
      <c r="F195" s="577"/>
      <c r="G195" s="577"/>
      <c r="H195" s="192"/>
      <c r="I195" s="227"/>
      <c r="J195" s="227"/>
    </row>
    <row r="196" spans="1:10">
      <c r="A196" s="287" t="s">
        <v>178</v>
      </c>
      <c r="B196" s="577" t="s">
        <v>5597</v>
      </c>
      <c r="C196" s="577"/>
      <c r="D196" s="577"/>
      <c r="E196" s="577" t="s">
        <v>5598</v>
      </c>
      <c r="F196" s="577"/>
      <c r="G196" s="577"/>
      <c r="H196" s="192"/>
      <c r="I196" s="227"/>
      <c r="J196" s="227"/>
    </row>
    <row r="197" spans="1:10" ht="25.5">
      <c r="A197" s="287" t="s">
        <v>5575</v>
      </c>
      <c r="B197" s="577" t="s">
        <v>5599</v>
      </c>
      <c r="C197" s="577"/>
      <c r="D197" s="577"/>
      <c r="E197" s="577" t="s">
        <v>5600</v>
      </c>
      <c r="F197" s="577"/>
      <c r="G197" s="577"/>
      <c r="H197" s="192"/>
      <c r="I197" s="227"/>
      <c r="J197" s="227"/>
    </row>
    <row r="198" spans="1:10">
      <c r="A198" s="272" t="s">
        <v>5576</v>
      </c>
      <c r="B198" s="276" t="str">
        <f>IF(COUNTIF(B181:B188,"No")=0,"🟢 PILOT COMPLETE / ACCEPTANCE READY","🟡 NOT COMPLETE — ACCEPTANCE GATES OPEN")</f>
        <v>🟡 NOT COMPLETE — ACCEPTANCE GATES OPEN</v>
      </c>
      <c r="C198" s="276"/>
      <c r="D198" s="276"/>
      <c r="E198" s="276"/>
      <c r="F198" s="276"/>
      <c r="G198" s="276"/>
      <c r="H198" s="276"/>
    </row>
    <row r="199" spans="1:10">
      <c r="A199" s="272" t="s">
        <v>5577</v>
      </c>
      <c r="B199" s="276">
        <f>COUNTIF(B181:B188,"No")</f>
        <v>8</v>
      </c>
      <c r="C199" s="276"/>
      <c r="D199" s="276"/>
      <c r="E199" s="276"/>
      <c r="F199" s="276"/>
      <c r="G199" s="276"/>
      <c r="H199" s="276"/>
    </row>
    <row r="200" spans="1:10">
      <c r="A200" s="272" t="s">
        <v>5578</v>
      </c>
      <c r="B200" s="276" t="str">
        <f>COUNTIF(B181:B188,"Yes")&amp;" / 8 Complete"</f>
        <v>0 / 8 Complete</v>
      </c>
      <c r="C200" s="276"/>
      <c r="D200" s="276"/>
      <c r="E200" s="276"/>
      <c r="F200" s="276"/>
      <c r="G200" s="276"/>
      <c r="H200" s="276"/>
    </row>
    <row r="201" spans="1:10" ht="90">
      <c r="A201" s="277" t="s">
        <v>5579</v>
      </c>
      <c r="B201" s="278" t="s">
        <v>5580</v>
      </c>
      <c r="C201" s="278"/>
      <c r="D201" s="278"/>
      <c r="E201" s="278"/>
      <c r="F201" s="278"/>
      <c r="G201" s="278"/>
      <c r="H201" s="278"/>
    </row>
    <row r="202" spans="1:10">
      <c r="A202" s="277"/>
      <c r="B202" s="278"/>
      <c r="C202" s="278"/>
      <c r="D202" s="278"/>
      <c r="E202" s="278"/>
      <c r="F202" s="278"/>
      <c r="G202" s="278"/>
      <c r="H202" s="278"/>
    </row>
    <row r="203" spans="1:10" ht="64.5">
      <c r="A203" s="277" t="s">
        <v>5581</v>
      </c>
      <c r="B203" s="278" t="s">
        <v>5582</v>
      </c>
      <c r="C203" s="278"/>
      <c r="D203" s="278"/>
      <c r="E203" s="278"/>
      <c r="F203" s="278"/>
      <c r="G203" s="278"/>
      <c r="H203" s="278"/>
    </row>
    <row r="204" spans="1:10">
      <c r="A204" s="575" t="s">
        <v>5694</v>
      </c>
      <c r="B204" s="575"/>
      <c r="C204" s="575"/>
      <c r="D204" s="575"/>
      <c r="E204" s="575"/>
      <c r="F204" s="575"/>
      <c r="G204" s="575"/>
      <c r="H204" s="575"/>
      <c r="I204" s="575"/>
      <c r="J204" s="575"/>
    </row>
    <row r="205" spans="1:10">
      <c r="A205" s="336" t="s">
        <v>5679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5682</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5" t="s">
        <v>5695</v>
      </c>
      <c r="B215" s="575"/>
      <c r="C215" s="575"/>
      <c r="D215" s="575"/>
      <c r="E215" s="575"/>
      <c r="F215" s="575"/>
      <c r="G215" s="575"/>
      <c r="H215" s="575"/>
      <c r="I215" s="575"/>
      <c r="J215" s="575"/>
    </row>
    <row r="216" spans="1:10">
      <c r="A216" s="192"/>
      <c r="B216" s="192"/>
      <c r="C216" s="192"/>
      <c r="D216" s="192"/>
      <c r="E216" s="192"/>
      <c r="F216" s="192"/>
      <c r="G216" s="192"/>
      <c r="H216" s="192"/>
      <c r="I216" s="192"/>
      <c r="J216" s="192"/>
    </row>
    <row r="217" spans="1:10">
      <c r="A217" s="192" t="s">
        <v>5683</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5684</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5685</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575" t="s">
        <v>5696</v>
      </c>
      <c r="B225" s="575"/>
      <c r="C225" s="575"/>
      <c r="D225" s="575"/>
      <c r="E225" s="575"/>
      <c r="F225" s="575"/>
      <c r="G225" s="575"/>
      <c r="H225" s="575"/>
      <c r="I225" s="575"/>
      <c r="J225" s="575"/>
    </row>
    <row r="226" spans="1:10">
      <c r="A226" s="192"/>
      <c r="B226" s="192"/>
      <c r="C226" s="192"/>
      <c r="D226" s="192"/>
      <c r="E226" s="192"/>
      <c r="F226" s="192"/>
      <c r="G226" s="192"/>
      <c r="H226" s="192"/>
      <c r="I226" s="192"/>
      <c r="J226" s="192"/>
    </row>
    <row r="227" spans="1:10">
      <c r="A227" s="192" t="s">
        <v>5686</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5687</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5688</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5689</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575" t="s">
        <v>5697</v>
      </c>
      <c r="B237" s="575"/>
      <c r="C237" s="575"/>
      <c r="D237" s="575"/>
      <c r="E237" s="575"/>
      <c r="F237" s="575"/>
      <c r="G237" s="575"/>
      <c r="H237" s="575"/>
      <c r="I237" s="575"/>
      <c r="J237" s="575"/>
    </row>
    <row r="238" spans="1:10">
      <c r="A238" s="192"/>
      <c r="B238" s="192"/>
      <c r="C238" s="192"/>
      <c r="D238" s="192"/>
      <c r="E238" s="192"/>
      <c r="F238" s="192"/>
      <c r="G238" s="192"/>
      <c r="H238" s="192"/>
      <c r="I238" s="192"/>
      <c r="J238" s="192"/>
    </row>
    <row r="239" spans="1:10">
      <c r="A239" s="192" t="s">
        <v>5690</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5691</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5692</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5693</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192"/>
      <c r="B258" s="192"/>
      <c r="C258" s="192"/>
      <c r="D258" s="192"/>
      <c r="E258" s="192"/>
      <c r="F258" s="192"/>
      <c r="G258" s="192"/>
      <c r="H258" s="192"/>
      <c r="I258" s="192"/>
      <c r="J258" s="192"/>
    </row>
    <row r="259" spans="1:10">
      <c r="A259" s="316"/>
      <c r="B259" s="316"/>
      <c r="C259" s="316"/>
      <c r="D259" s="316"/>
      <c r="E259" s="316"/>
      <c r="F259" s="316"/>
      <c r="G259" s="599"/>
      <c r="H259" s="599"/>
      <c r="I259" s="599"/>
      <c r="J259" s="599"/>
    </row>
  </sheetData>
  <mergeCells count="122">
    <mergeCell ref="A237:C237"/>
    <mergeCell ref="D237:F237"/>
    <mergeCell ref="G237:J237"/>
    <mergeCell ref="G259:J259"/>
    <mergeCell ref="A215:C215"/>
    <mergeCell ref="D215:F215"/>
    <mergeCell ref="G215:J215"/>
    <mergeCell ref="A225:C225"/>
    <mergeCell ref="D225:F225"/>
    <mergeCell ref="G225:J225"/>
    <mergeCell ref="B197:D197"/>
    <mergeCell ref="E197:G197"/>
    <mergeCell ref="A204:C204"/>
    <mergeCell ref="D204:F204"/>
    <mergeCell ref="G204:J204"/>
    <mergeCell ref="B194:D194"/>
    <mergeCell ref="E194:G194"/>
    <mergeCell ref="B195:D195"/>
    <mergeCell ref="E195:G195"/>
    <mergeCell ref="B196:D196"/>
    <mergeCell ref="E196:G196"/>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69:J169"/>
    <mergeCell ref="B170:J170"/>
    <mergeCell ref="B171:J171"/>
    <mergeCell ref="B172:J172"/>
    <mergeCell ref="B173:J173"/>
    <mergeCell ref="A164:B164"/>
    <mergeCell ref="C164:D164"/>
    <mergeCell ref="E164:J164"/>
    <mergeCell ref="A166:C166"/>
    <mergeCell ref="B168:J168"/>
    <mergeCell ref="G159:J159"/>
    <mergeCell ref="G160:J160"/>
    <mergeCell ref="G161:J161"/>
    <mergeCell ref="G162:J162"/>
    <mergeCell ref="G163:J163"/>
    <mergeCell ref="A156:C156"/>
    <mergeCell ref="D156:F156"/>
    <mergeCell ref="G156:J156"/>
    <mergeCell ref="G157:J157"/>
    <mergeCell ref="G158:J158"/>
    <mergeCell ref="G150:J150"/>
    <mergeCell ref="G151:J151"/>
    <mergeCell ref="G152:J152"/>
    <mergeCell ref="G153:J153"/>
    <mergeCell ref="A154:D155"/>
    <mergeCell ref="E154:J155"/>
    <mergeCell ref="G147:J147"/>
    <mergeCell ref="A148:C148"/>
    <mergeCell ref="D148:F148"/>
    <mergeCell ref="G148:J148"/>
    <mergeCell ref="G149:J149"/>
    <mergeCell ref="G142:J142"/>
    <mergeCell ref="G143:J143"/>
    <mergeCell ref="G144:J144"/>
    <mergeCell ref="G145:J145"/>
    <mergeCell ref="A146:B146"/>
    <mergeCell ref="C146:D146"/>
    <mergeCell ref="E146:J146"/>
    <mergeCell ref="A139:C139"/>
    <mergeCell ref="D139:F139"/>
    <mergeCell ref="G139:J139"/>
    <mergeCell ref="G140:J140"/>
    <mergeCell ref="G141:J141"/>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21:J121"/>
    <mergeCell ref="G123:J123"/>
    <mergeCell ref="A125:B125"/>
    <mergeCell ref="E125:J125"/>
    <mergeCell ref="A127:C127"/>
    <mergeCell ref="D127:F127"/>
    <mergeCell ref="G127:J127"/>
    <mergeCell ref="A118:C118"/>
    <mergeCell ref="D118:F118"/>
    <mergeCell ref="G118:J118"/>
    <mergeCell ref="G119:J119"/>
    <mergeCell ref="G120:J120"/>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s>
  <conditionalFormatting sqref="B120:B124">
    <cfRule type="expression" dxfId="112" priority="21">
      <formula>B120="Complete"</formula>
    </cfRule>
    <cfRule type="expression" dxfId="111" priority="22">
      <formula>B120="In Progress"</formula>
    </cfRule>
    <cfRule type="expression" dxfId="110" priority="23">
      <formula>B120="At Risk"</formula>
    </cfRule>
    <cfRule type="expression" dxfId="109" priority="24">
      <formula>B120="Blocked"</formula>
    </cfRule>
    <cfRule type="expression" dxfId="108" priority="25">
      <formula>B120="Not Started"</formula>
    </cfRule>
  </conditionalFormatting>
  <conditionalFormatting sqref="B129:B136">
    <cfRule type="expression" dxfId="107" priority="1">
      <formula>B129="Complete"</formula>
    </cfRule>
    <cfRule type="expression" dxfId="106" priority="2">
      <formula>B129="In Progress"</formula>
    </cfRule>
    <cfRule type="expression" dxfId="105" priority="3">
      <formula>B129="At Risk"</formula>
    </cfRule>
    <cfRule type="expression" dxfId="104" priority="4">
      <formula>B129="Blocked"</formula>
    </cfRule>
    <cfRule type="expression" dxfId="103" priority="5">
      <formula>B129="Not Started"</formula>
    </cfRule>
  </conditionalFormatting>
  <conditionalFormatting sqref="B141:B145">
    <cfRule type="expression" dxfId="102" priority="30">
      <formula>B141="Not Started"</formula>
    </cfRule>
    <cfRule type="expression" dxfId="101" priority="29">
      <formula>B141="Blocked"</formula>
    </cfRule>
    <cfRule type="expression" dxfId="100" priority="28">
      <formula>B141="At Risk"</formula>
    </cfRule>
    <cfRule type="expression" dxfId="99" priority="27">
      <formula>B141="In Progress"</formula>
    </cfRule>
    <cfRule type="expression" dxfId="98" priority="26">
      <formula>B141="Complete"</formula>
    </cfRule>
  </conditionalFormatting>
  <conditionalFormatting sqref="B150:B153">
    <cfRule type="expression" dxfId="97" priority="6">
      <formula>B150="Complete"</formula>
    </cfRule>
    <cfRule type="expression" dxfId="96" priority="7">
      <formula>B150="In Progress"</formula>
    </cfRule>
    <cfRule type="expression" dxfId="95" priority="8">
      <formula>B150="At Risk"</formula>
    </cfRule>
    <cfRule type="expression" dxfId="94" priority="9">
      <formula>B150="Blocked"</formula>
    </cfRule>
    <cfRule type="expression" dxfId="93" priority="10">
      <formula>B150="Not Started"</formula>
    </cfRule>
  </conditionalFormatting>
  <conditionalFormatting sqref="B158:B163">
    <cfRule type="expression" dxfId="92" priority="11">
      <formula>B158="Complete"</formula>
    </cfRule>
    <cfRule type="expression" dxfId="91" priority="12">
      <formula>B158="In Progress"</formula>
    </cfRule>
    <cfRule type="expression" dxfId="90" priority="13">
      <formula>B158="At Risk"</formula>
    </cfRule>
    <cfRule type="expression" dxfId="89" priority="14">
      <formula>B158="Blocked"</formula>
    </cfRule>
    <cfRule type="expression" dxfId="88" priority="15">
      <formula>B158="Not Started"</formula>
    </cfRule>
  </conditionalFormatting>
  <conditionalFormatting sqref="B181:B188">
    <cfRule type="expression" dxfId="87" priority="82">
      <formula>B181="Yes"</formula>
    </cfRule>
    <cfRule type="expression" dxfId="86" priority="83">
      <formula>B181="N/A"</formula>
    </cfRule>
    <cfRule type="expression" dxfId="85" priority="84">
      <formula>B181="No"</formula>
    </cfRule>
  </conditionalFormatting>
  <conditionalFormatting sqref="B198:H198">
    <cfRule type="expression" dxfId="84" priority="86">
      <formula>COUNTIF($B$6:$B$13,"No")&gt;0</formula>
    </cfRule>
    <cfRule type="expression" dxfId="83" priority="85">
      <formula>COUNTIF($B$6:$B$13,"No")=0</formula>
    </cfRule>
  </conditionalFormatting>
  <conditionalFormatting sqref="C125:D125">
    <cfRule type="dataBar" priority="37">
      <dataBar>
        <cfvo type="num" val="0"/>
        <cfvo type="num" val="1"/>
        <color rgb="FF5B9BD5"/>
      </dataBar>
    </cfRule>
  </conditionalFormatting>
  <conditionalFormatting sqref="C129:D136">
    <cfRule type="expression" dxfId="82" priority="32">
      <formula>C129="No"</formula>
    </cfRule>
    <cfRule type="expression" dxfId="81" priority="31">
      <formula>C129="Yes"</formula>
    </cfRule>
    <cfRule type="expression" dxfId="80"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79" priority="17">
      <formula>C158="No"</formula>
    </cfRule>
    <cfRule type="expression" dxfId="78" priority="16">
      <formula>C158="Yes"</formula>
    </cfRule>
    <cfRule type="expression" dxfId="77"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6" priority="87">
      <formula>E5="Pass"</formula>
    </cfRule>
    <cfRule type="expression" dxfId="75" priority="88">
      <formula>E5="Verify"</formula>
    </cfRule>
    <cfRule type="expression" dxfId="74" priority="89">
      <formula>E5="Fail"</formula>
    </cfRule>
    <cfRule type="expression" dxfId="73" priority="90">
      <formula>E5="Not Started"</formula>
    </cfRule>
  </conditionalFormatting>
  <conditionalFormatting sqref="F3">
    <cfRule type="expression" dxfId="72" priority="91">
      <formula>F3="Yes"</formula>
    </cfRule>
    <cfRule type="expression" dxfId="71" priority="92">
      <formula>F3="No"</formula>
    </cfRule>
  </conditionalFormatting>
  <conditionalFormatting sqref="F141:F145">
    <cfRule type="expression" dxfId="70" priority="35">
      <formula>F141="Fail"</formula>
    </cfRule>
    <cfRule type="expression" dxfId="69" priority="36">
      <formula>F141="Pending"</formula>
    </cfRule>
    <cfRule type="expression" dxfId="68" priority="34">
      <formula>F141="Pass"</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Lookup_Lists!$A$36:$A$42</xm:f>
          </x14:formula1>
          <xm:sqref>B120:B124 B129:B136 B158:B163</xm:sqref>
        </x14:dataValidation>
        <x14:dataValidation type="list" allowBlank="1" showInputMessage="1" showErrorMessage="1" xr:uid="{F9901D11-894A-4CC2-A2CE-242743D046D6}">
          <x14:formula1>
            <xm:f>Lookup_Lists!$L$37:$L$39</xm:f>
          </x14:formula1>
          <xm:sqref>C141:E145 J2</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G4" sqref="G4"/>
    </sheetView>
  </sheetViews>
  <sheetFormatPr defaultColWidth="8.710937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7109375" style="8" customWidth="1"/>
    <col min="13" max="16384" width="8.7109375" style="8"/>
  </cols>
  <sheetData>
    <row r="1" spans="1:10">
      <c r="A1" s="929" t="s">
        <v>4193</v>
      </c>
      <c r="B1" s="896"/>
      <c r="C1" s="896"/>
      <c r="D1" s="896"/>
      <c r="E1" s="896"/>
      <c r="F1" s="896"/>
      <c r="G1" s="896"/>
      <c r="H1" s="896"/>
      <c r="I1" s="896"/>
      <c r="J1" s="896"/>
    </row>
    <row r="2" spans="1:10" s="223" customFormat="1">
      <c r="A2" s="219" t="s">
        <v>142</v>
      </c>
      <c r="B2" s="220" t="s">
        <v>70</v>
      </c>
      <c r="C2" s="219" t="s">
        <v>902</v>
      </c>
      <c r="D2" s="220" t="s">
        <v>1094</v>
      </c>
      <c r="E2" s="219" t="s">
        <v>151</v>
      </c>
      <c r="F2" s="220" t="s">
        <v>1095</v>
      </c>
      <c r="G2" s="219" t="s">
        <v>174</v>
      </c>
      <c r="H2" s="221">
        <v>0.5</v>
      </c>
      <c r="I2" s="219" t="s">
        <v>154</v>
      </c>
      <c r="J2" s="222" t="s">
        <v>1096</v>
      </c>
    </row>
    <row r="3" spans="1:10" s="227" customFormat="1" ht="38.25">
      <c r="A3" s="219" t="s">
        <v>903</v>
      </c>
      <c r="B3" s="224">
        <v>46199.497538078707</v>
      </c>
      <c r="C3" s="225" t="s">
        <v>904</v>
      </c>
      <c r="D3" s="226" t="s">
        <v>721</v>
      </c>
      <c r="E3" s="219" t="s">
        <v>905</v>
      </c>
      <c r="F3" s="226" t="s">
        <v>4194</v>
      </c>
      <c r="G3" s="219" t="s">
        <v>907</v>
      </c>
      <c r="H3" s="226" t="s">
        <v>908</v>
      </c>
      <c r="I3" s="219" t="s">
        <v>551</v>
      </c>
      <c r="J3" s="226" t="s">
        <v>4195</v>
      </c>
    </row>
    <row r="4" spans="1:10" s="227" customFormat="1" ht="344.25">
      <c r="A4" s="219" t="s">
        <v>161</v>
      </c>
      <c r="B4" s="226">
        <v>0</v>
      </c>
      <c r="C4" s="219" t="s">
        <v>199</v>
      </c>
      <c r="D4" s="226">
        <v>0</v>
      </c>
      <c r="E4" s="219" t="s">
        <v>179</v>
      </c>
      <c r="F4" s="226">
        <v>0</v>
      </c>
      <c r="G4" s="219" t="s">
        <v>870</v>
      </c>
      <c r="H4" s="228" t="s">
        <v>4196</v>
      </c>
      <c r="I4" s="229"/>
      <c r="J4" s="229"/>
    </row>
    <row r="5" spans="1:10" s="227" customFormat="1">
      <c r="A5" s="230" t="s">
        <v>911</v>
      </c>
      <c r="B5" s="221" t="s">
        <v>679</v>
      </c>
      <c r="C5" s="231" t="s">
        <v>912</v>
      </c>
      <c r="D5" s="221" t="s">
        <v>677</v>
      </c>
      <c r="E5" s="232" t="s">
        <v>913</v>
      </c>
      <c r="F5" s="221" t="s">
        <v>677</v>
      </c>
      <c r="G5" s="233" t="s">
        <v>914</v>
      </c>
      <c r="H5" s="221" t="s">
        <v>4197</v>
      </c>
      <c r="I5" s="233" t="s">
        <v>915</v>
      </c>
      <c r="J5" s="221" t="s">
        <v>679</v>
      </c>
    </row>
    <row r="6" spans="1:10" s="227" customFormat="1" ht="24.75" customHeight="1">
      <c r="A6" s="234" t="s">
        <v>916</v>
      </c>
      <c r="B6" s="221" t="s">
        <v>4198</v>
      </c>
      <c r="C6" s="235" t="s">
        <v>869</v>
      </c>
      <c r="D6" s="604" t="s">
        <v>4199</v>
      </c>
      <c r="E6" s="582"/>
      <c r="F6" s="582"/>
      <c r="G6" s="582"/>
      <c r="H6" s="582"/>
      <c r="I6" s="582"/>
      <c r="J6" s="582"/>
    </row>
    <row r="7" spans="1:10">
      <c r="A7" s="13"/>
      <c r="B7" s="13"/>
      <c r="C7" s="13"/>
      <c r="D7" s="13"/>
      <c r="E7" s="13"/>
      <c r="F7" s="13"/>
      <c r="G7" s="13"/>
      <c r="H7" s="13"/>
      <c r="I7" s="13"/>
      <c r="J7" s="13"/>
    </row>
    <row r="8" spans="1:10">
      <c r="A8" s="575" t="s">
        <v>4200</v>
      </c>
      <c r="B8" s="896"/>
      <c r="C8" s="896"/>
      <c r="D8" s="85"/>
      <c r="E8" s="85"/>
      <c r="F8" s="85"/>
      <c r="G8" s="85"/>
      <c r="H8" s="85"/>
      <c r="I8" s="85"/>
      <c r="J8" s="85"/>
    </row>
    <row r="9" spans="1:10" ht="25.5">
      <c r="A9" s="50" t="s">
        <v>4201</v>
      </c>
      <c r="B9" s="50" t="s">
        <v>4202</v>
      </c>
      <c r="C9" s="50" t="s">
        <v>4203</v>
      </c>
      <c r="D9" s="50" t="s">
        <v>4204</v>
      </c>
      <c r="E9" s="50" t="s">
        <v>4205</v>
      </c>
      <c r="F9" s="50" t="s">
        <v>4206</v>
      </c>
      <c r="G9" s="50" t="s">
        <v>77</v>
      </c>
      <c r="H9" s="50" t="s">
        <v>889</v>
      </c>
      <c r="I9" s="50" t="s">
        <v>4207</v>
      </c>
      <c r="J9" s="50" t="s">
        <v>11</v>
      </c>
    </row>
    <row r="10" spans="1:10" ht="63.75">
      <c r="A10" s="13" t="s">
        <v>4208</v>
      </c>
      <c r="B10" s="13" t="s">
        <v>4209</v>
      </c>
      <c r="C10" s="13" t="s">
        <v>4210</v>
      </c>
      <c r="D10" s="13" t="s">
        <v>4211</v>
      </c>
      <c r="E10" s="13" t="s">
        <v>4212</v>
      </c>
      <c r="F10" s="13" t="s">
        <v>4213</v>
      </c>
      <c r="G10" s="13" t="s">
        <v>677</v>
      </c>
      <c r="H10" s="13" t="s">
        <v>4214</v>
      </c>
      <c r="I10" s="13" t="s">
        <v>4215</v>
      </c>
      <c r="J10" s="13" t="s">
        <v>4216</v>
      </c>
    </row>
    <row r="11" spans="1:10" ht="38.25">
      <c r="A11" s="13" t="s">
        <v>4217</v>
      </c>
      <c r="B11" s="13" t="s">
        <v>4218</v>
      </c>
      <c r="C11" s="13" t="s">
        <v>4210</v>
      </c>
      <c r="D11" s="13" t="s">
        <v>4219</v>
      </c>
      <c r="E11" s="13" t="s">
        <v>4220</v>
      </c>
      <c r="F11" s="13" t="s">
        <v>4221</v>
      </c>
      <c r="G11" s="13" t="s">
        <v>677</v>
      </c>
      <c r="H11" s="13" t="s">
        <v>4222</v>
      </c>
      <c r="I11" s="13" t="s">
        <v>4223</v>
      </c>
      <c r="J11" s="13" t="s">
        <v>4224</v>
      </c>
    </row>
    <row r="12" spans="1:10" ht="51">
      <c r="A12" s="13" t="s">
        <v>4225</v>
      </c>
      <c r="B12" s="13" t="s">
        <v>4226</v>
      </c>
      <c r="C12" s="13" t="s">
        <v>4210</v>
      </c>
      <c r="D12" s="13" t="s">
        <v>4219</v>
      </c>
      <c r="E12" s="13" t="s">
        <v>4227</v>
      </c>
      <c r="F12" s="13" t="s">
        <v>4228</v>
      </c>
      <c r="G12" s="13" t="s">
        <v>677</v>
      </c>
      <c r="H12" s="13" t="s">
        <v>4229</v>
      </c>
      <c r="I12" s="13" t="s">
        <v>4230</v>
      </c>
      <c r="J12" s="13" t="s">
        <v>4231</v>
      </c>
    </row>
    <row r="13" spans="1:10" ht="38.25">
      <c r="A13" s="13" t="s">
        <v>4232</v>
      </c>
      <c r="B13" s="13" t="s">
        <v>4232</v>
      </c>
      <c r="C13" s="13" t="s">
        <v>4210</v>
      </c>
      <c r="D13" s="13" t="s">
        <v>4219</v>
      </c>
      <c r="E13" s="13" t="s">
        <v>4233</v>
      </c>
      <c r="F13" s="13" t="s">
        <v>4221</v>
      </c>
      <c r="G13" s="13" t="s">
        <v>677</v>
      </c>
      <c r="H13" s="13" t="s">
        <v>4234</v>
      </c>
      <c r="I13" s="13" t="s">
        <v>4235</v>
      </c>
      <c r="J13" s="13" t="s">
        <v>4236</v>
      </c>
    </row>
    <row r="14" spans="1:10" ht="38.25">
      <c r="A14" s="13" t="s">
        <v>4237</v>
      </c>
      <c r="B14" s="13" t="s">
        <v>4237</v>
      </c>
      <c r="C14" s="13" t="s">
        <v>4210</v>
      </c>
      <c r="D14" s="13" t="s">
        <v>4219</v>
      </c>
      <c r="E14" s="13" t="s">
        <v>4238</v>
      </c>
      <c r="F14" s="13" t="s">
        <v>4221</v>
      </c>
      <c r="G14" s="13" t="s">
        <v>677</v>
      </c>
      <c r="H14" s="13" t="s">
        <v>4239</v>
      </c>
      <c r="I14" s="13" t="s">
        <v>4240</v>
      </c>
      <c r="J14" s="13" t="s">
        <v>4241</v>
      </c>
    </row>
    <row r="15" spans="1:10" ht="38.25">
      <c r="A15" s="13" t="s">
        <v>4242</v>
      </c>
      <c r="B15" s="13" t="s">
        <v>4242</v>
      </c>
      <c r="C15" s="13" t="s">
        <v>4210</v>
      </c>
      <c r="D15" s="13" t="s">
        <v>4219</v>
      </c>
      <c r="E15" s="13" t="s">
        <v>4243</v>
      </c>
      <c r="F15" s="13" t="s">
        <v>4221</v>
      </c>
      <c r="G15" s="13" t="s">
        <v>677</v>
      </c>
      <c r="H15" s="13" t="s">
        <v>4244</v>
      </c>
      <c r="I15" s="13" t="s">
        <v>4245</v>
      </c>
      <c r="J15" s="13" t="s">
        <v>4246</v>
      </c>
    </row>
    <row r="16" spans="1:10" ht="38.25">
      <c r="A16" s="13" t="s">
        <v>4247</v>
      </c>
      <c r="B16" s="13" t="s">
        <v>4247</v>
      </c>
      <c r="C16" s="13" t="s">
        <v>4210</v>
      </c>
      <c r="D16" s="13" t="s">
        <v>4219</v>
      </c>
      <c r="E16" s="13" t="s">
        <v>4248</v>
      </c>
      <c r="F16" s="13" t="s">
        <v>4221</v>
      </c>
      <c r="G16" s="13" t="s">
        <v>677</v>
      </c>
      <c r="H16" s="13" t="s">
        <v>4249</v>
      </c>
      <c r="I16" s="13" t="s">
        <v>4250</v>
      </c>
      <c r="J16" s="13" t="s">
        <v>4251</v>
      </c>
    </row>
    <row r="17" spans="1:10" ht="38.25">
      <c r="A17" s="13" t="s">
        <v>4252</v>
      </c>
      <c r="B17" s="13" t="s">
        <v>4252</v>
      </c>
      <c r="C17" s="13" t="s">
        <v>4253</v>
      </c>
      <c r="D17" s="13" t="s">
        <v>4219</v>
      </c>
      <c r="E17" s="13" t="s">
        <v>4254</v>
      </c>
      <c r="F17" s="13" t="s">
        <v>4221</v>
      </c>
      <c r="G17" s="13" t="s">
        <v>677</v>
      </c>
      <c r="H17" s="13" t="s">
        <v>4255</v>
      </c>
      <c r="I17" s="13" t="s">
        <v>4256</v>
      </c>
      <c r="J17" s="13" t="s">
        <v>4257</v>
      </c>
    </row>
    <row r="18" spans="1:10" ht="38.25">
      <c r="A18" s="13" t="s">
        <v>4258</v>
      </c>
      <c r="B18" s="13" t="s">
        <v>4258</v>
      </c>
      <c r="C18" s="13" t="s">
        <v>4259</v>
      </c>
      <c r="D18" s="13" t="s">
        <v>4219</v>
      </c>
      <c r="E18" s="13" t="s">
        <v>4260</v>
      </c>
      <c r="F18" s="13" t="s">
        <v>4221</v>
      </c>
      <c r="G18" s="13" t="s">
        <v>677</v>
      </c>
      <c r="H18" s="13" t="s">
        <v>4261</v>
      </c>
      <c r="I18" s="13" t="s">
        <v>4262</v>
      </c>
      <c r="J18" s="13" t="s">
        <v>4263</v>
      </c>
    </row>
    <row r="19" spans="1:10" ht="51">
      <c r="A19" s="13" t="s">
        <v>4264</v>
      </c>
      <c r="B19" s="13" t="s">
        <v>4265</v>
      </c>
      <c r="C19" s="13" t="s">
        <v>4266</v>
      </c>
      <c r="D19" s="13" t="s">
        <v>4219</v>
      </c>
      <c r="E19" s="13" t="s">
        <v>4267</v>
      </c>
      <c r="F19" s="13" t="s">
        <v>4221</v>
      </c>
      <c r="G19" s="13" t="s">
        <v>677</v>
      </c>
      <c r="H19" s="13" t="s">
        <v>4268</v>
      </c>
      <c r="I19" s="13" t="s">
        <v>4269</v>
      </c>
      <c r="J19" s="13" t="s">
        <v>4270</v>
      </c>
    </row>
    <row r="20" spans="1:10">
      <c r="A20" s="13"/>
      <c r="B20" s="13"/>
      <c r="C20" s="13"/>
      <c r="D20" s="13"/>
      <c r="E20" s="13"/>
      <c r="F20" s="13"/>
      <c r="G20" s="13"/>
      <c r="H20" s="13"/>
      <c r="I20" s="13"/>
      <c r="J20" s="13"/>
    </row>
    <row r="21" spans="1:10">
      <c r="A21" s="575" t="s">
        <v>4271</v>
      </c>
      <c r="B21" s="896"/>
      <c r="C21" s="896"/>
      <c r="D21" s="85"/>
      <c r="E21" s="85"/>
      <c r="F21" s="85"/>
      <c r="G21" s="85"/>
      <c r="H21" s="85"/>
      <c r="I21" s="85"/>
      <c r="J21" s="85"/>
    </row>
    <row r="22" spans="1:10">
      <c r="A22" s="50" t="s">
        <v>4272</v>
      </c>
      <c r="B22" s="50" t="s">
        <v>4273</v>
      </c>
      <c r="C22" s="50" t="s">
        <v>4274</v>
      </c>
      <c r="D22" s="50" t="s">
        <v>4275</v>
      </c>
      <c r="E22" s="50" t="s">
        <v>4276</v>
      </c>
      <c r="F22" s="50" t="s">
        <v>4277</v>
      </c>
      <c r="G22" s="50" t="s">
        <v>4278</v>
      </c>
      <c r="H22" s="50" t="s">
        <v>4279</v>
      </c>
      <c r="I22" s="50" t="s">
        <v>899</v>
      </c>
      <c r="J22" s="50" t="s">
        <v>944</v>
      </c>
    </row>
    <row r="23" spans="1:10" ht="63.75">
      <c r="A23" s="13" t="s">
        <v>4280</v>
      </c>
      <c r="B23" s="13" t="s">
        <v>677</v>
      </c>
      <c r="C23" s="13" t="s">
        <v>677</v>
      </c>
      <c r="D23" s="13" t="s">
        <v>677</v>
      </c>
      <c r="E23" s="13" t="s">
        <v>677</v>
      </c>
      <c r="F23" s="13" t="s">
        <v>677</v>
      </c>
      <c r="G23" s="13" t="s">
        <v>677</v>
      </c>
      <c r="H23" s="13" t="s">
        <v>677</v>
      </c>
      <c r="I23" s="13" t="s">
        <v>677</v>
      </c>
      <c r="J23" s="13" t="s">
        <v>4281</v>
      </c>
    </row>
    <row r="24" spans="1:10" ht="51">
      <c r="A24" s="13" t="s">
        <v>4282</v>
      </c>
      <c r="B24" s="13" t="s">
        <v>677</v>
      </c>
      <c r="C24" s="13" t="s">
        <v>677</v>
      </c>
      <c r="D24" s="13" t="s">
        <v>677</v>
      </c>
      <c r="E24" s="13" t="s">
        <v>677</v>
      </c>
      <c r="F24" s="13" t="s">
        <v>677</v>
      </c>
      <c r="G24" s="13" t="s">
        <v>677</v>
      </c>
      <c r="H24" s="13" t="s">
        <v>677</v>
      </c>
      <c r="I24" s="13" t="s">
        <v>677</v>
      </c>
      <c r="J24" s="13" t="s">
        <v>4283</v>
      </c>
    </row>
    <row r="25" spans="1:10" ht="51">
      <c r="A25" s="13" t="s">
        <v>4284</v>
      </c>
      <c r="B25" s="13" t="s">
        <v>677</v>
      </c>
      <c r="C25" s="13" t="s">
        <v>677</v>
      </c>
      <c r="D25" s="13" t="s">
        <v>677</v>
      </c>
      <c r="E25" s="13" t="s">
        <v>677</v>
      </c>
      <c r="F25" s="13" t="s">
        <v>677</v>
      </c>
      <c r="G25" s="13" t="s">
        <v>677</v>
      </c>
      <c r="H25" s="13" t="s">
        <v>677</v>
      </c>
      <c r="I25" s="13" t="s">
        <v>677</v>
      </c>
      <c r="J25" s="13" t="s">
        <v>4285</v>
      </c>
    </row>
    <row r="26" spans="1:10" ht="63.75">
      <c r="A26" s="13" t="s">
        <v>4286</v>
      </c>
      <c r="B26" s="13" t="s">
        <v>677</v>
      </c>
      <c r="C26" s="13" t="s">
        <v>677</v>
      </c>
      <c r="D26" s="13" t="s">
        <v>677</v>
      </c>
      <c r="E26" s="13" t="s">
        <v>677</v>
      </c>
      <c r="F26" s="13" t="s">
        <v>677</v>
      </c>
      <c r="G26" s="13" t="s">
        <v>677</v>
      </c>
      <c r="H26" s="13" t="s">
        <v>677</v>
      </c>
      <c r="I26" s="13" t="s">
        <v>677</v>
      </c>
      <c r="J26" s="13" t="s">
        <v>4287</v>
      </c>
    </row>
    <row r="27" spans="1:10" ht="63.75">
      <c r="A27" s="13" t="s">
        <v>4288</v>
      </c>
      <c r="B27" s="13" t="s">
        <v>677</v>
      </c>
      <c r="C27" s="13" t="s">
        <v>677</v>
      </c>
      <c r="D27" s="13" t="s">
        <v>677</v>
      </c>
      <c r="E27" s="13" t="s">
        <v>677</v>
      </c>
      <c r="F27" s="13" t="s">
        <v>679</v>
      </c>
      <c r="G27" s="13" t="s">
        <v>677</v>
      </c>
      <c r="H27" s="13" t="s">
        <v>677</v>
      </c>
      <c r="I27" s="13" t="s">
        <v>677</v>
      </c>
      <c r="J27" s="13" t="s">
        <v>4289</v>
      </c>
    </row>
    <row r="28" spans="1:10">
      <c r="A28" s="13"/>
      <c r="B28" s="13"/>
      <c r="C28" s="13"/>
      <c r="D28" s="13"/>
      <c r="E28" s="13"/>
      <c r="F28" s="13"/>
      <c r="G28" s="13"/>
      <c r="H28" s="13"/>
      <c r="I28" s="13"/>
      <c r="J28" s="13"/>
    </row>
    <row r="29" spans="1:10">
      <c r="A29" s="575" t="s">
        <v>4290</v>
      </c>
      <c r="B29" s="896"/>
      <c r="C29" s="896"/>
      <c r="D29" s="85"/>
      <c r="E29" s="85"/>
      <c r="F29" s="85"/>
      <c r="G29" s="85"/>
      <c r="H29" s="85"/>
      <c r="I29" s="85"/>
      <c r="J29" s="85"/>
    </row>
    <row r="30" spans="1:10">
      <c r="A30" s="50" t="s">
        <v>4291</v>
      </c>
      <c r="B30" s="50" t="s">
        <v>4292</v>
      </c>
      <c r="C30" s="50" t="s">
        <v>4293</v>
      </c>
      <c r="D30" s="50" t="s">
        <v>4294</v>
      </c>
      <c r="E30" s="50" t="s">
        <v>4295</v>
      </c>
      <c r="F30" s="50" t="s">
        <v>4296</v>
      </c>
      <c r="G30" s="50" t="s">
        <v>4297</v>
      </c>
      <c r="H30" s="50" t="s">
        <v>4298</v>
      </c>
      <c r="I30" s="50" t="s">
        <v>899</v>
      </c>
      <c r="J30" s="50" t="s">
        <v>959</v>
      </c>
    </row>
    <row r="31" spans="1:10" ht="76.5">
      <c r="A31" s="13" t="s">
        <v>4299</v>
      </c>
      <c r="B31" s="13" t="s">
        <v>677</v>
      </c>
      <c r="C31" s="13" t="s">
        <v>677</v>
      </c>
      <c r="D31" s="13" t="s">
        <v>677</v>
      </c>
      <c r="E31" s="13" t="s">
        <v>677</v>
      </c>
      <c r="F31" s="13" t="s">
        <v>677</v>
      </c>
      <c r="G31" s="13" t="s">
        <v>677</v>
      </c>
      <c r="H31" s="13" t="s">
        <v>677</v>
      </c>
      <c r="I31" s="13" t="s">
        <v>677</v>
      </c>
      <c r="J31" s="13" t="s">
        <v>4300</v>
      </c>
    </row>
    <row r="32" spans="1:10" ht="51">
      <c r="A32" s="13" t="s">
        <v>4301</v>
      </c>
      <c r="B32" s="13" t="s">
        <v>677</v>
      </c>
      <c r="C32" s="13" t="s">
        <v>677</v>
      </c>
      <c r="D32" s="13" t="s">
        <v>677</v>
      </c>
      <c r="E32" s="13" t="s">
        <v>677</v>
      </c>
      <c r="F32" s="13" t="s">
        <v>679</v>
      </c>
      <c r="G32" s="13" t="s">
        <v>679</v>
      </c>
      <c r="H32" s="13" t="s">
        <v>677</v>
      </c>
      <c r="I32" s="13" t="s">
        <v>677</v>
      </c>
      <c r="J32" s="13" t="s">
        <v>4302</v>
      </c>
    </row>
    <row r="33" spans="1:10" ht="51">
      <c r="A33" s="13" t="s">
        <v>4303</v>
      </c>
      <c r="B33" s="13" t="s">
        <v>677</v>
      </c>
      <c r="C33" s="13" t="s">
        <v>677</v>
      </c>
      <c r="D33" s="13" t="s">
        <v>677</v>
      </c>
      <c r="E33" s="13" t="s">
        <v>677</v>
      </c>
      <c r="F33" s="13" t="s">
        <v>677</v>
      </c>
      <c r="G33" s="13" t="s">
        <v>677</v>
      </c>
      <c r="H33" s="13" t="s">
        <v>677</v>
      </c>
      <c r="I33" s="13" t="s">
        <v>677</v>
      </c>
      <c r="J33" s="13" t="s">
        <v>4304</v>
      </c>
    </row>
    <row r="34" spans="1:10" ht="63.75">
      <c r="A34" s="13" t="s">
        <v>4305</v>
      </c>
      <c r="B34" s="13" t="s">
        <v>677</v>
      </c>
      <c r="C34" s="13" t="s">
        <v>677</v>
      </c>
      <c r="D34" s="13" t="s">
        <v>677</v>
      </c>
      <c r="E34" s="13" t="s">
        <v>677</v>
      </c>
      <c r="F34" s="13" t="s">
        <v>677</v>
      </c>
      <c r="G34" s="13" t="s">
        <v>677</v>
      </c>
      <c r="H34" s="13" t="s">
        <v>677</v>
      </c>
      <c r="I34" s="13" t="s">
        <v>677</v>
      </c>
      <c r="J34" s="13" t="s">
        <v>4306</v>
      </c>
    </row>
    <row r="35" spans="1:10">
      <c r="A35" s="13"/>
      <c r="B35" s="13"/>
      <c r="C35" s="13"/>
      <c r="D35" s="13"/>
      <c r="E35" s="13"/>
      <c r="F35" s="13"/>
      <c r="G35" s="13"/>
      <c r="H35" s="13"/>
      <c r="I35" s="13"/>
      <c r="J35" s="13"/>
    </row>
    <row r="36" spans="1:10">
      <c r="A36" s="575" t="s">
        <v>4307</v>
      </c>
      <c r="B36" s="896"/>
      <c r="C36" s="896"/>
      <c r="D36" s="85"/>
      <c r="E36" s="85"/>
      <c r="F36" s="85"/>
      <c r="G36" s="85"/>
      <c r="H36" s="85"/>
      <c r="I36" s="85"/>
      <c r="J36" s="85"/>
    </row>
    <row r="37" spans="1:10">
      <c r="A37" s="50" t="s">
        <v>4308</v>
      </c>
      <c r="B37" s="50" t="s">
        <v>4309</v>
      </c>
      <c r="C37" s="50" t="s">
        <v>4310</v>
      </c>
      <c r="D37" s="50" t="s">
        <v>4311</v>
      </c>
      <c r="E37" s="50" t="s">
        <v>4312</v>
      </c>
      <c r="F37" s="50" t="s">
        <v>4313</v>
      </c>
      <c r="G37" s="50" t="s">
        <v>4279</v>
      </c>
      <c r="H37" s="50" t="s">
        <v>4314</v>
      </c>
      <c r="I37" s="50" t="s">
        <v>899</v>
      </c>
      <c r="J37" s="50" t="s">
        <v>959</v>
      </c>
    </row>
    <row r="38" spans="1:10" ht="51">
      <c r="A38" s="13" t="s">
        <v>4315</v>
      </c>
      <c r="B38" s="13" t="s">
        <v>4316</v>
      </c>
      <c r="C38" s="13" t="s">
        <v>4317</v>
      </c>
      <c r="D38" s="13" t="s">
        <v>677</v>
      </c>
      <c r="E38" s="13" t="s">
        <v>4318</v>
      </c>
      <c r="F38" s="13" t="s">
        <v>677</v>
      </c>
      <c r="G38" s="13" t="s">
        <v>677</v>
      </c>
      <c r="H38" s="13" t="s">
        <v>677</v>
      </c>
      <c r="I38" s="13" t="s">
        <v>677</v>
      </c>
      <c r="J38" s="13" t="s">
        <v>4319</v>
      </c>
    </row>
    <row r="39" spans="1:10" ht="25.5">
      <c r="A39" s="13" t="s">
        <v>4320</v>
      </c>
      <c r="B39" s="13" t="s">
        <v>4321</v>
      </c>
      <c r="C39" s="13" t="s">
        <v>4322</v>
      </c>
      <c r="D39" s="13" t="s">
        <v>677</v>
      </c>
      <c r="E39" s="13" t="s">
        <v>4323</v>
      </c>
      <c r="F39" s="13" t="s">
        <v>677</v>
      </c>
      <c r="G39" s="13" t="s">
        <v>677</v>
      </c>
      <c r="H39" s="13" t="s">
        <v>677</v>
      </c>
      <c r="I39" s="13" t="s">
        <v>677</v>
      </c>
      <c r="J39" s="13" t="s">
        <v>4324</v>
      </c>
    </row>
    <row r="40" spans="1:10" ht="38.25">
      <c r="A40" s="13" t="s">
        <v>4325</v>
      </c>
      <c r="B40" s="13" t="s">
        <v>4321</v>
      </c>
      <c r="C40" s="13" t="s">
        <v>4326</v>
      </c>
      <c r="D40" s="13" t="s">
        <v>677</v>
      </c>
      <c r="E40" s="13" t="s">
        <v>4220</v>
      </c>
      <c r="F40" s="13" t="s">
        <v>677</v>
      </c>
      <c r="G40" s="13" t="s">
        <v>677</v>
      </c>
      <c r="H40" s="13" t="s">
        <v>677</v>
      </c>
      <c r="I40" s="13" t="s">
        <v>677</v>
      </c>
      <c r="J40" s="13" t="s">
        <v>4327</v>
      </c>
    </row>
    <row r="41" spans="1:10" ht="38.25">
      <c r="A41" s="13" t="s">
        <v>4328</v>
      </c>
      <c r="B41" s="13" t="s">
        <v>4321</v>
      </c>
      <c r="C41" s="13" t="s">
        <v>4326</v>
      </c>
      <c r="D41" s="13" t="s">
        <v>677</v>
      </c>
      <c r="E41" s="13" t="s">
        <v>4329</v>
      </c>
      <c r="F41" s="13" t="s">
        <v>677</v>
      </c>
      <c r="G41" s="13" t="s">
        <v>677</v>
      </c>
      <c r="H41" s="13" t="s">
        <v>677</v>
      </c>
      <c r="I41" s="13" t="s">
        <v>677</v>
      </c>
      <c r="J41" s="13" t="s">
        <v>4330</v>
      </c>
    </row>
    <row r="42" spans="1:10" ht="51">
      <c r="A42" s="13" t="s">
        <v>4279</v>
      </c>
      <c r="B42" s="13" t="s">
        <v>4331</v>
      </c>
      <c r="C42" s="13" t="s">
        <v>679</v>
      </c>
      <c r="D42" s="13" t="s">
        <v>4332</v>
      </c>
      <c r="E42" s="13" t="s">
        <v>679</v>
      </c>
      <c r="F42" s="13" t="s">
        <v>679</v>
      </c>
      <c r="G42" s="13" t="s">
        <v>677</v>
      </c>
      <c r="H42" s="13" t="s">
        <v>677</v>
      </c>
      <c r="I42" s="13" t="s">
        <v>677</v>
      </c>
      <c r="J42" s="13" t="s">
        <v>4333</v>
      </c>
    </row>
    <row r="43" spans="1:10">
      <c r="A43" s="13"/>
      <c r="B43" s="13"/>
      <c r="C43" s="13"/>
      <c r="D43" s="13"/>
      <c r="E43" s="13"/>
      <c r="F43" s="13"/>
      <c r="G43" s="13"/>
      <c r="H43" s="13"/>
      <c r="I43" s="13"/>
      <c r="J43" s="13"/>
    </row>
    <row r="44" spans="1:10">
      <c r="A44" s="575" t="s">
        <v>4334</v>
      </c>
      <c r="B44" s="896"/>
      <c r="C44" s="896"/>
      <c r="D44" s="85"/>
      <c r="E44" s="85"/>
      <c r="F44" s="85"/>
      <c r="G44" s="85"/>
      <c r="H44" s="85"/>
      <c r="I44" s="85"/>
      <c r="J44" s="85"/>
    </row>
    <row r="45" spans="1:10" ht="25.5">
      <c r="A45" s="50" t="s">
        <v>4291</v>
      </c>
      <c r="B45" s="50" t="s">
        <v>4335</v>
      </c>
      <c r="C45" s="50" t="s">
        <v>4336</v>
      </c>
      <c r="D45" s="50" t="s">
        <v>4337</v>
      </c>
      <c r="E45" s="50" t="s">
        <v>4274</v>
      </c>
      <c r="F45" s="50" t="s">
        <v>4338</v>
      </c>
      <c r="G45" s="50" t="s">
        <v>4339</v>
      </c>
      <c r="H45" s="50" t="s">
        <v>4340</v>
      </c>
      <c r="I45" s="50" t="s">
        <v>899</v>
      </c>
      <c r="J45" s="50" t="s">
        <v>11</v>
      </c>
    </row>
    <row r="46" spans="1:10" ht="63.75">
      <c r="A46" s="13" t="s">
        <v>4208</v>
      </c>
      <c r="B46" s="13" t="s">
        <v>677</v>
      </c>
      <c r="C46" s="13" t="s">
        <v>677</v>
      </c>
      <c r="D46" s="13" t="s">
        <v>677</v>
      </c>
      <c r="E46" s="13" t="s">
        <v>677</v>
      </c>
      <c r="F46" s="13" t="s">
        <v>677</v>
      </c>
      <c r="G46" s="13" t="s">
        <v>677</v>
      </c>
      <c r="H46" s="13" t="s">
        <v>677</v>
      </c>
      <c r="I46" s="13" t="s">
        <v>677</v>
      </c>
      <c r="J46" s="13" t="s">
        <v>4341</v>
      </c>
    </row>
    <row r="47" spans="1:10" ht="51">
      <c r="A47" s="13" t="s">
        <v>4282</v>
      </c>
      <c r="B47" s="13" t="s">
        <v>677</v>
      </c>
      <c r="C47" s="13" t="s">
        <v>677</v>
      </c>
      <c r="D47" s="13" t="s">
        <v>677</v>
      </c>
      <c r="E47" s="13" t="s">
        <v>677</v>
      </c>
      <c r="F47" s="13" t="s">
        <v>677</v>
      </c>
      <c r="G47" s="13" t="s">
        <v>679</v>
      </c>
      <c r="H47" s="13" t="s">
        <v>679</v>
      </c>
      <c r="I47" s="13" t="s">
        <v>677</v>
      </c>
      <c r="J47" s="13" t="s">
        <v>4342</v>
      </c>
    </row>
    <row r="48" spans="1:10" ht="63.75">
      <c r="A48" s="13" t="s">
        <v>4343</v>
      </c>
      <c r="B48" s="13" t="s">
        <v>677</v>
      </c>
      <c r="C48" s="13" t="s">
        <v>677</v>
      </c>
      <c r="D48" s="13" t="s">
        <v>677</v>
      </c>
      <c r="E48" s="13" t="s">
        <v>677</v>
      </c>
      <c r="F48" s="13" t="s">
        <v>677</v>
      </c>
      <c r="G48" s="13" t="s">
        <v>677</v>
      </c>
      <c r="H48" s="13" t="s">
        <v>677</v>
      </c>
      <c r="I48" s="13" t="s">
        <v>677</v>
      </c>
      <c r="J48" s="13" t="s">
        <v>4344</v>
      </c>
    </row>
    <row r="49" spans="1:10" ht="51">
      <c r="A49" s="13" t="s">
        <v>4286</v>
      </c>
      <c r="B49" s="13" t="s">
        <v>677</v>
      </c>
      <c r="C49" s="13" t="s">
        <v>677</v>
      </c>
      <c r="D49" s="13" t="s">
        <v>677</v>
      </c>
      <c r="E49" s="13" t="s">
        <v>677</v>
      </c>
      <c r="F49" s="13" t="s">
        <v>677</v>
      </c>
      <c r="G49" s="13" t="s">
        <v>677</v>
      </c>
      <c r="H49" s="13" t="s">
        <v>677</v>
      </c>
      <c r="I49" s="13" t="s">
        <v>677</v>
      </c>
      <c r="J49" s="13" t="s">
        <v>4345</v>
      </c>
    </row>
    <row r="50" spans="1:10">
      <c r="A50" s="13"/>
      <c r="B50" s="13"/>
      <c r="C50" s="13"/>
      <c r="D50" s="13"/>
      <c r="E50" s="13"/>
      <c r="F50" s="13"/>
      <c r="G50" s="13"/>
      <c r="H50" s="13"/>
      <c r="I50" s="13"/>
      <c r="J50" s="13"/>
    </row>
    <row r="51" spans="1:10">
      <c r="A51" s="575" t="s">
        <v>4346</v>
      </c>
      <c r="B51" s="896"/>
      <c r="C51" s="896"/>
      <c r="D51" s="85"/>
      <c r="E51" s="85"/>
      <c r="F51" s="85"/>
      <c r="G51" s="85"/>
      <c r="H51" s="85"/>
      <c r="I51" s="85"/>
      <c r="J51" s="85"/>
    </row>
    <row r="52" spans="1:10">
      <c r="A52" s="50" t="s">
        <v>4347</v>
      </c>
      <c r="B52" s="50" t="s">
        <v>4348</v>
      </c>
      <c r="C52" s="50" t="s">
        <v>4266</v>
      </c>
      <c r="D52" s="50" t="s">
        <v>4349</v>
      </c>
      <c r="E52" s="50" t="s">
        <v>4350</v>
      </c>
      <c r="F52" s="50" t="s">
        <v>4351</v>
      </c>
      <c r="G52" s="50" t="s">
        <v>1000</v>
      </c>
      <c r="H52" s="50" t="s">
        <v>1001</v>
      </c>
      <c r="I52" s="50" t="s">
        <v>899</v>
      </c>
      <c r="J52" s="50" t="s">
        <v>11</v>
      </c>
    </row>
    <row r="53" spans="1:10" ht="51">
      <c r="A53" s="13" t="s">
        <v>4280</v>
      </c>
      <c r="B53" s="13" t="s">
        <v>677</v>
      </c>
      <c r="C53" s="13" t="s">
        <v>677</v>
      </c>
      <c r="D53" s="13" t="s">
        <v>4352</v>
      </c>
      <c r="E53" s="13" t="s">
        <v>4353</v>
      </c>
      <c r="F53" s="13" t="s">
        <v>4354</v>
      </c>
      <c r="G53" s="13" t="s">
        <v>677</v>
      </c>
      <c r="H53" s="13" t="s">
        <v>677</v>
      </c>
      <c r="I53" s="13" t="s">
        <v>677</v>
      </c>
      <c r="J53" s="13" t="s">
        <v>4355</v>
      </c>
    </row>
    <row r="54" spans="1:10" ht="63.75">
      <c r="A54" s="13" t="s">
        <v>4356</v>
      </c>
      <c r="B54" s="13" t="s">
        <v>677</v>
      </c>
      <c r="C54" s="13" t="s">
        <v>677</v>
      </c>
      <c r="D54" s="13" t="s">
        <v>4357</v>
      </c>
      <c r="E54" s="13" t="s">
        <v>677</v>
      </c>
      <c r="F54" s="13" t="s">
        <v>4358</v>
      </c>
      <c r="G54" s="13" t="s">
        <v>677</v>
      </c>
      <c r="H54" s="13" t="s">
        <v>677</v>
      </c>
      <c r="I54" s="13" t="s">
        <v>677</v>
      </c>
      <c r="J54" s="13" t="s">
        <v>4359</v>
      </c>
    </row>
    <row r="55" spans="1:10" ht="38.25">
      <c r="A55" s="13" t="s">
        <v>4360</v>
      </c>
      <c r="B55" s="13" t="s">
        <v>677</v>
      </c>
      <c r="C55" s="13" t="s">
        <v>677</v>
      </c>
      <c r="D55" s="13" t="s">
        <v>4361</v>
      </c>
      <c r="E55" s="13" t="s">
        <v>677</v>
      </c>
      <c r="F55" s="13" t="s">
        <v>4362</v>
      </c>
      <c r="G55" s="13" t="s">
        <v>677</v>
      </c>
      <c r="H55" s="13" t="s">
        <v>677</v>
      </c>
      <c r="I55" s="13" t="s">
        <v>677</v>
      </c>
      <c r="J55" s="13" t="s">
        <v>4363</v>
      </c>
    </row>
    <row r="56" spans="1:10" ht="63.75">
      <c r="A56" s="13" t="s">
        <v>4364</v>
      </c>
      <c r="B56" s="13" t="s">
        <v>677</v>
      </c>
      <c r="C56" s="13" t="s">
        <v>677</v>
      </c>
      <c r="D56" s="13" t="s">
        <v>4365</v>
      </c>
      <c r="E56" s="13" t="s">
        <v>677</v>
      </c>
      <c r="F56" s="13" t="s">
        <v>4366</v>
      </c>
      <c r="G56" s="13" t="s">
        <v>677</v>
      </c>
      <c r="H56" s="13" t="s">
        <v>677</v>
      </c>
      <c r="I56" s="13" t="s">
        <v>677</v>
      </c>
      <c r="J56" s="13" t="s">
        <v>4367</v>
      </c>
    </row>
    <row r="57" spans="1:10">
      <c r="A57" s="13"/>
      <c r="B57" s="13"/>
      <c r="C57" s="13"/>
      <c r="D57" s="13"/>
      <c r="E57" s="13"/>
      <c r="F57" s="13"/>
      <c r="G57" s="13"/>
      <c r="H57" s="13"/>
      <c r="I57" s="13"/>
      <c r="J57" s="13"/>
    </row>
    <row r="58" spans="1:10">
      <c r="A58" s="575" t="s">
        <v>4368</v>
      </c>
      <c r="B58" s="896"/>
      <c r="C58" s="896"/>
      <c r="D58" s="85"/>
      <c r="E58" s="85"/>
      <c r="F58" s="85"/>
      <c r="G58" s="85"/>
      <c r="H58" s="85"/>
      <c r="I58" s="85"/>
      <c r="J58" s="85"/>
    </row>
    <row r="59" spans="1:10">
      <c r="A59" s="50" t="s">
        <v>4291</v>
      </c>
      <c r="B59" s="50" t="s">
        <v>941</v>
      </c>
      <c r="C59" s="50" t="s">
        <v>4369</v>
      </c>
      <c r="D59" s="50" t="s">
        <v>4370</v>
      </c>
      <c r="E59" s="50" t="s">
        <v>4371</v>
      </c>
      <c r="F59" s="50" t="s">
        <v>4372</v>
      </c>
      <c r="G59" s="50" t="s">
        <v>4373</v>
      </c>
      <c r="H59" s="50" t="s">
        <v>4374</v>
      </c>
      <c r="I59" s="50" t="s">
        <v>899</v>
      </c>
      <c r="J59" s="50" t="s">
        <v>11</v>
      </c>
    </row>
    <row r="60" spans="1:10" ht="51">
      <c r="A60" s="13" t="s">
        <v>4375</v>
      </c>
      <c r="B60" s="13" t="s">
        <v>677</v>
      </c>
      <c r="C60" s="13" t="s">
        <v>677</v>
      </c>
      <c r="D60" s="13" t="s">
        <v>677</v>
      </c>
      <c r="E60" s="13" t="s">
        <v>677</v>
      </c>
      <c r="F60" s="13" t="s">
        <v>677</v>
      </c>
      <c r="G60" s="13" t="s">
        <v>677</v>
      </c>
      <c r="H60" s="13" t="s">
        <v>677</v>
      </c>
      <c r="I60" s="13" t="s">
        <v>677</v>
      </c>
      <c r="J60" s="13" t="s">
        <v>4376</v>
      </c>
    </row>
    <row r="61" spans="1:10" ht="63.75">
      <c r="A61" s="13" t="s">
        <v>4377</v>
      </c>
      <c r="B61" s="13" t="s">
        <v>677</v>
      </c>
      <c r="C61" s="13" t="s">
        <v>677</v>
      </c>
      <c r="D61" s="13" t="s">
        <v>677</v>
      </c>
      <c r="E61" s="13" t="s">
        <v>677</v>
      </c>
      <c r="F61" s="13" t="s">
        <v>677</v>
      </c>
      <c r="G61" s="13" t="s">
        <v>677</v>
      </c>
      <c r="H61" s="13" t="s">
        <v>677</v>
      </c>
      <c r="I61" s="13" t="s">
        <v>677</v>
      </c>
      <c r="J61" s="13" t="s">
        <v>4378</v>
      </c>
    </row>
    <row r="62" spans="1:10" ht="51">
      <c r="A62" s="13" t="s">
        <v>4379</v>
      </c>
      <c r="B62" s="13" t="s">
        <v>677</v>
      </c>
      <c r="C62" s="13" t="s">
        <v>677</v>
      </c>
      <c r="D62" s="13" t="s">
        <v>677</v>
      </c>
      <c r="E62" s="13" t="s">
        <v>677</v>
      </c>
      <c r="F62" s="13" t="s">
        <v>677</v>
      </c>
      <c r="G62" s="13" t="s">
        <v>677</v>
      </c>
      <c r="H62" s="13" t="s">
        <v>677</v>
      </c>
      <c r="I62" s="13" t="s">
        <v>677</v>
      </c>
      <c r="J62" s="13" t="s">
        <v>4380</v>
      </c>
    </row>
    <row r="63" spans="1:10">
      <c r="A63" s="13"/>
      <c r="B63" s="13"/>
      <c r="C63" s="13"/>
      <c r="D63" s="13"/>
      <c r="E63" s="13"/>
      <c r="F63" s="13"/>
      <c r="G63" s="13"/>
      <c r="H63" s="13"/>
      <c r="I63" s="13"/>
      <c r="J63" s="13"/>
    </row>
    <row r="64" spans="1:10">
      <c r="A64" s="575" t="s">
        <v>1019</v>
      </c>
      <c r="B64" s="896"/>
      <c r="C64" s="896"/>
      <c r="D64" s="85"/>
      <c r="E64" s="85"/>
      <c r="F64" s="85"/>
      <c r="G64" s="85"/>
      <c r="H64" s="85"/>
      <c r="I64" s="85"/>
      <c r="J64" s="85"/>
    </row>
    <row r="65" spans="1:10">
      <c r="A65" s="50" t="s">
        <v>213</v>
      </c>
      <c r="B65" s="50" t="s">
        <v>4291</v>
      </c>
      <c r="C65" s="50" t="s">
        <v>573</v>
      </c>
      <c r="D65" s="50" t="s">
        <v>215</v>
      </c>
      <c r="E65" s="50" t="s">
        <v>257</v>
      </c>
      <c r="F65" s="50" t="s">
        <v>572</v>
      </c>
      <c r="G65" s="50" t="s">
        <v>259</v>
      </c>
      <c r="H65" s="50" t="s">
        <v>216</v>
      </c>
      <c r="I65" s="50" t="s">
        <v>77</v>
      </c>
      <c r="J65" s="50" t="s">
        <v>11</v>
      </c>
    </row>
    <row r="66" spans="1:10" ht="89.25">
      <c r="A66" s="13" t="s">
        <v>574</v>
      </c>
      <c r="B66" s="13" t="s">
        <v>575</v>
      </c>
      <c r="C66" s="13" t="s">
        <v>577</v>
      </c>
      <c r="D66" s="13" t="s">
        <v>492</v>
      </c>
      <c r="E66" s="13" t="s">
        <v>391</v>
      </c>
      <c r="F66" s="13">
        <v>9</v>
      </c>
      <c r="G66" s="13" t="s">
        <v>4381</v>
      </c>
      <c r="H66" s="13" t="s">
        <v>576</v>
      </c>
      <c r="I66" s="13" t="s">
        <v>502</v>
      </c>
      <c r="J66" s="13" t="s">
        <v>4382</v>
      </c>
    </row>
    <row r="67" spans="1:10" ht="63.75">
      <c r="A67" s="13" t="s">
        <v>4383</v>
      </c>
      <c r="B67" s="13" t="s">
        <v>575</v>
      </c>
      <c r="C67" s="13" t="s">
        <v>4384</v>
      </c>
      <c r="D67" s="13" t="s">
        <v>492</v>
      </c>
      <c r="E67" s="13" t="s">
        <v>488</v>
      </c>
      <c r="F67" s="13">
        <v>8</v>
      </c>
      <c r="G67" s="13" t="s">
        <v>4385</v>
      </c>
      <c r="H67" s="13" t="s">
        <v>584</v>
      </c>
      <c r="I67" s="13" t="s">
        <v>502</v>
      </c>
      <c r="J67" s="13" t="s">
        <v>4386</v>
      </c>
    </row>
    <row r="68" spans="1:10" ht="76.5">
      <c r="A68" s="13" t="s">
        <v>4387</v>
      </c>
      <c r="B68" s="13" t="s">
        <v>575</v>
      </c>
      <c r="C68" s="13" t="s">
        <v>4388</v>
      </c>
      <c r="D68" s="13" t="s">
        <v>391</v>
      </c>
      <c r="E68" s="13" t="s">
        <v>488</v>
      </c>
      <c r="F68" s="13">
        <v>6</v>
      </c>
      <c r="G68" s="13" t="s">
        <v>4389</v>
      </c>
      <c r="H68" s="13" t="s">
        <v>4390</v>
      </c>
      <c r="I68" s="13" t="s">
        <v>502</v>
      </c>
      <c r="J68" s="13" t="s">
        <v>4391</v>
      </c>
    </row>
    <row r="69" spans="1:10" ht="76.5">
      <c r="A69" s="13" t="s">
        <v>4392</v>
      </c>
      <c r="B69" s="13" t="s">
        <v>4393</v>
      </c>
      <c r="C69" s="13" t="s">
        <v>4394</v>
      </c>
      <c r="D69" s="13" t="s">
        <v>492</v>
      </c>
      <c r="E69" s="13" t="s">
        <v>488</v>
      </c>
      <c r="F69" s="13">
        <v>8</v>
      </c>
      <c r="G69" s="13" t="s">
        <v>4395</v>
      </c>
      <c r="H69" s="13" t="s">
        <v>595</v>
      </c>
      <c r="I69" s="13" t="s">
        <v>502</v>
      </c>
      <c r="J69" s="13" t="s">
        <v>4396</v>
      </c>
    </row>
    <row r="70" spans="1:10" ht="76.5">
      <c r="A70" s="13" t="s">
        <v>4397</v>
      </c>
      <c r="B70" s="13" t="s">
        <v>4398</v>
      </c>
      <c r="C70" s="13" t="s">
        <v>4399</v>
      </c>
      <c r="D70" s="13" t="s">
        <v>391</v>
      </c>
      <c r="E70" s="13" t="s">
        <v>488</v>
      </c>
      <c r="F70" s="13">
        <v>6</v>
      </c>
      <c r="G70" s="13" t="s">
        <v>4400</v>
      </c>
      <c r="H70" s="13" t="s">
        <v>4401</v>
      </c>
      <c r="I70" s="13" t="s">
        <v>502</v>
      </c>
      <c r="J70" s="13" t="s">
        <v>4402</v>
      </c>
    </row>
    <row r="71" spans="1:10" ht="63.75">
      <c r="A71" s="13" t="s">
        <v>4403</v>
      </c>
      <c r="B71" s="13" t="s">
        <v>4404</v>
      </c>
      <c r="C71" s="13" t="s">
        <v>4405</v>
      </c>
      <c r="D71" s="13" t="s">
        <v>391</v>
      </c>
      <c r="E71" s="13" t="s">
        <v>488</v>
      </c>
      <c r="F71" s="13">
        <v>6</v>
      </c>
      <c r="G71" s="13" t="s">
        <v>4406</v>
      </c>
      <c r="H71" s="13" t="s">
        <v>4407</v>
      </c>
      <c r="I71" s="13" t="s">
        <v>502</v>
      </c>
      <c r="J71" s="13" t="s">
        <v>4408</v>
      </c>
    </row>
    <row r="72" spans="1:10" ht="89.25">
      <c r="A72" s="13" t="s">
        <v>4409</v>
      </c>
      <c r="B72" s="13" t="s">
        <v>4410</v>
      </c>
      <c r="C72" s="13" t="s">
        <v>4411</v>
      </c>
      <c r="D72" s="13" t="s">
        <v>488</v>
      </c>
      <c r="E72" s="13" t="s">
        <v>488</v>
      </c>
      <c r="F72" s="13">
        <v>4</v>
      </c>
      <c r="G72" s="13" t="s">
        <v>4412</v>
      </c>
      <c r="H72" s="13" t="s">
        <v>4413</v>
      </c>
      <c r="I72" s="13" t="s">
        <v>502</v>
      </c>
      <c r="J72" s="13" t="s">
        <v>4414</v>
      </c>
    </row>
    <row r="73" spans="1:10" ht="76.5">
      <c r="A73" s="13" t="s">
        <v>4415</v>
      </c>
      <c r="B73" s="13" t="s">
        <v>4416</v>
      </c>
      <c r="C73" s="13" t="s">
        <v>4417</v>
      </c>
      <c r="D73" s="13" t="s">
        <v>391</v>
      </c>
      <c r="E73" s="13" t="s">
        <v>488</v>
      </c>
      <c r="F73" s="13">
        <v>6</v>
      </c>
      <c r="G73" s="13" t="s">
        <v>4418</v>
      </c>
      <c r="H73" s="13" t="s">
        <v>4419</v>
      </c>
      <c r="I73" s="13" t="s">
        <v>502</v>
      </c>
      <c r="J73" s="13" t="s">
        <v>4420</v>
      </c>
    </row>
    <row r="74" spans="1:10">
      <c r="A74" s="13"/>
      <c r="B74" s="13"/>
      <c r="C74" s="13"/>
      <c r="D74" s="13"/>
      <c r="E74" s="13"/>
      <c r="F74" s="13"/>
      <c r="G74" s="13"/>
      <c r="H74" s="13"/>
      <c r="I74" s="13"/>
      <c r="J74" s="13"/>
    </row>
    <row r="75" spans="1:10">
      <c r="A75" s="575" t="s">
        <v>1051</v>
      </c>
      <c r="B75" s="896"/>
      <c r="C75" s="896"/>
      <c r="D75" s="85"/>
      <c r="E75" s="85"/>
      <c r="F75" s="85"/>
      <c r="G75" s="85"/>
      <c r="H75" s="85"/>
      <c r="I75" s="85"/>
      <c r="J75" s="85"/>
    </row>
    <row r="76" spans="1:10">
      <c r="A76" s="50" t="s">
        <v>221</v>
      </c>
      <c r="B76" s="50" t="s">
        <v>222</v>
      </c>
      <c r="C76" s="50" t="s">
        <v>265</v>
      </c>
      <c r="D76" s="50" t="s">
        <v>77</v>
      </c>
      <c r="E76" s="50" t="s">
        <v>878</v>
      </c>
      <c r="F76" s="50" t="s">
        <v>879</v>
      </c>
      <c r="G76" s="50" t="s">
        <v>880</v>
      </c>
      <c r="H76" s="50" t="s">
        <v>494</v>
      </c>
      <c r="I76" s="50" t="s">
        <v>881</v>
      </c>
      <c r="J76" s="50" t="s">
        <v>11</v>
      </c>
    </row>
    <row r="77" spans="1:10" ht="127.5">
      <c r="A77" s="13" t="s">
        <v>4421</v>
      </c>
      <c r="B77" s="13" t="s">
        <v>4422</v>
      </c>
      <c r="C77" s="13" t="s">
        <v>579</v>
      </c>
      <c r="D77" s="13" t="s">
        <v>502</v>
      </c>
      <c r="E77" s="13"/>
      <c r="F77" s="13"/>
      <c r="G77" s="13" t="s">
        <v>4423</v>
      </c>
      <c r="H77" s="13"/>
      <c r="I77" s="13"/>
      <c r="J77" s="13"/>
    </row>
    <row r="78" spans="1:10" ht="76.5">
      <c r="A78" s="13" t="s">
        <v>4424</v>
      </c>
      <c r="B78" s="13" t="s">
        <v>4425</v>
      </c>
      <c r="C78" s="13" t="s">
        <v>4426</v>
      </c>
      <c r="D78" s="13" t="s">
        <v>502</v>
      </c>
      <c r="E78" s="13"/>
      <c r="F78" s="13"/>
      <c r="G78" s="13" t="s">
        <v>4427</v>
      </c>
      <c r="H78" s="13"/>
      <c r="I78" s="13"/>
      <c r="J78" s="13"/>
    </row>
    <row r="79" spans="1:10" ht="76.5">
      <c r="A79" s="13" t="s">
        <v>4428</v>
      </c>
      <c r="B79" s="13" t="s">
        <v>4429</v>
      </c>
      <c r="C79" s="13" t="s">
        <v>4430</v>
      </c>
      <c r="D79" s="13" t="s">
        <v>502</v>
      </c>
      <c r="E79" s="13"/>
      <c r="F79" s="13"/>
      <c r="G79" s="13" t="s">
        <v>4431</v>
      </c>
      <c r="H79" s="13"/>
      <c r="I79" s="13"/>
      <c r="J79" s="13"/>
    </row>
    <row r="80" spans="1:10" ht="76.5">
      <c r="A80" s="13" t="s">
        <v>4432</v>
      </c>
      <c r="B80" s="13" t="s">
        <v>4433</v>
      </c>
      <c r="C80" s="13" t="s">
        <v>4434</v>
      </c>
      <c r="D80" s="13" t="s">
        <v>502</v>
      </c>
      <c r="E80" s="13"/>
      <c r="F80" s="13"/>
      <c r="G80" s="13" t="s">
        <v>4435</v>
      </c>
      <c r="H80" s="13"/>
      <c r="I80" s="13"/>
      <c r="J80" s="13"/>
    </row>
    <row r="81" spans="1:10" ht="102">
      <c r="A81" s="13" t="s">
        <v>4436</v>
      </c>
      <c r="B81" s="13" t="s">
        <v>4437</v>
      </c>
      <c r="C81" s="13" t="s">
        <v>4438</v>
      </c>
      <c r="D81" s="13" t="s">
        <v>502</v>
      </c>
      <c r="E81" s="13"/>
      <c r="F81" s="13"/>
      <c r="G81" s="13" t="s">
        <v>4439</v>
      </c>
      <c r="H81" s="13"/>
      <c r="I81" s="13"/>
      <c r="J81" s="13"/>
    </row>
    <row r="82" spans="1:10" ht="102">
      <c r="A82" s="13" t="s">
        <v>4440</v>
      </c>
      <c r="B82" s="13" t="s">
        <v>4441</v>
      </c>
      <c r="C82" s="13" t="s">
        <v>4442</v>
      </c>
      <c r="D82" s="13" t="s">
        <v>502</v>
      </c>
      <c r="E82" s="13"/>
      <c r="F82" s="13"/>
      <c r="G82" s="13" t="s">
        <v>4443</v>
      </c>
      <c r="H82" s="13"/>
      <c r="I82" s="13"/>
      <c r="J82" s="13"/>
    </row>
    <row r="83" spans="1:10" ht="76.5">
      <c r="A83" s="13" t="s">
        <v>4444</v>
      </c>
      <c r="B83" s="13" t="s">
        <v>4445</v>
      </c>
      <c r="C83" s="13" t="s">
        <v>4446</v>
      </c>
      <c r="D83" s="13" t="s">
        <v>502</v>
      </c>
      <c r="E83" s="13"/>
      <c r="F83" s="13"/>
      <c r="G83" s="13" t="s">
        <v>4447</v>
      </c>
      <c r="H83" s="13"/>
      <c r="I83" s="13"/>
      <c r="J83" s="13"/>
    </row>
    <row r="84" spans="1:10" ht="102">
      <c r="A84" s="13" t="s">
        <v>4448</v>
      </c>
      <c r="B84" s="13" t="s">
        <v>4449</v>
      </c>
      <c r="C84" s="13" t="s">
        <v>4450</v>
      </c>
      <c r="D84" s="13" t="s">
        <v>502</v>
      </c>
      <c r="E84" s="13"/>
      <c r="F84" s="13"/>
      <c r="G84" s="13" t="s">
        <v>4451</v>
      </c>
      <c r="H84" s="13"/>
      <c r="I84" s="13"/>
      <c r="J84" s="13"/>
    </row>
    <row r="85" spans="1:10">
      <c r="A85" s="13"/>
      <c r="B85" s="13"/>
      <c r="C85" s="13"/>
      <c r="D85" s="13"/>
      <c r="E85" s="13"/>
      <c r="F85" s="13"/>
      <c r="G85" s="13"/>
      <c r="H85" s="13"/>
      <c r="I85" s="13"/>
      <c r="J85" s="13"/>
    </row>
    <row r="86" spans="1:10">
      <c r="A86" s="575" t="s">
        <v>1052</v>
      </c>
      <c r="B86" s="896"/>
      <c r="C86" s="896"/>
      <c r="D86" s="85"/>
      <c r="E86" s="85"/>
      <c r="F86" s="85"/>
      <c r="G86" s="85"/>
      <c r="H86" s="85"/>
      <c r="I86" s="85"/>
      <c r="J86" s="85"/>
    </row>
    <row r="87" spans="1:10">
      <c r="A87" s="50" t="s">
        <v>291</v>
      </c>
      <c r="B87" s="50" t="s">
        <v>4291</v>
      </c>
      <c r="C87" s="50" t="s">
        <v>493</v>
      </c>
      <c r="D87" s="50" t="s">
        <v>214</v>
      </c>
      <c r="E87" s="50" t="s">
        <v>263</v>
      </c>
      <c r="F87" s="50" t="s">
        <v>891</v>
      </c>
      <c r="G87" s="50" t="s">
        <v>892</v>
      </c>
      <c r="H87" s="50" t="s">
        <v>893</v>
      </c>
      <c r="I87" s="50" t="s">
        <v>77</v>
      </c>
      <c r="J87" s="50" t="s">
        <v>11</v>
      </c>
    </row>
    <row r="88" spans="1:10" ht="114.75">
      <c r="A88" s="13" t="s">
        <v>4452</v>
      </c>
      <c r="B88" s="13" t="s">
        <v>4208</v>
      </c>
      <c r="C88" s="13" t="s">
        <v>252</v>
      </c>
      <c r="D88" s="13" t="s">
        <v>4453</v>
      </c>
      <c r="E88" s="13"/>
      <c r="F88" s="13"/>
      <c r="G88" s="13"/>
      <c r="H88" s="13" t="s">
        <v>4454</v>
      </c>
      <c r="I88" s="13" t="s">
        <v>502</v>
      </c>
      <c r="J88" s="13"/>
    </row>
    <row r="89" spans="1:10" ht="89.25">
      <c r="A89" s="13" t="s">
        <v>4455</v>
      </c>
      <c r="B89" s="13" t="s">
        <v>4456</v>
      </c>
      <c r="C89" s="13" t="s">
        <v>4312</v>
      </c>
      <c r="D89" s="13" t="s">
        <v>4457</v>
      </c>
      <c r="E89" s="13"/>
      <c r="F89" s="13"/>
      <c r="G89" s="13"/>
      <c r="H89" s="13" t="s">
        <v>4458</v>
      </c>
      <c r="I89" s="13" t="s">
        <v>502</v>
      </c>
      <c r="J89" s="13"/>
    </row>
    <row r="90" spans="1:10" ht="114.75">
      <c r="A90" s="13" t="s">
        <v>4459</v>
      </c>
      <c r="B90" s="13" t="s">
        <v>4460</v>
      </c>
      <c r="C90" s="13" t="s">
        <v>4461</v>
      </c>
      <c r="D90" s="13" t="s">
        <v>4462</v>
      </c>
      <c r="E90" s="13"/>
      <c r="F90" s="13"/>
      <c r="G90" s="13"/>
      <c r="H90" s="13" t="s">
        <v>4463</v>
      </c>
      <c r="I90" s="13" t="s">
        <v>502</v>
      </c>
      <c r="J90" s="13"/>
    </row>
    <row r="91" spans="1:10" ht="102">
      <c r="A91" s="13" t="s">
        <v>4464</v>
      </c>
      <c r="B91" s="13" t="s">
        <v>4465</v>
      </c>
      <c r="C91" s="13" t="s">
        <v>4466</v>
      </c>
      <c r="D91" s="13" t="s">
        <v>4467</v>
      </c>
      <c r="E91" s="13"/>
      <c r="F91" s="13"/>
      <c r="G91" s="13"/>
      <c r="H91" s="13" t="s">
        <v>574</v>
      </c>
      <c r="I91" s="13" t="s">
        <v>502</v>
      </c>
      <c r="J91" s="13"/>
    </row>
    <row r="92" spans="1:10" ht="102">
      <c r="A92" s="13" t="s">
        <v>4468</v>
      </c>
      <c r="B92" s="13" t="s">
        <v>4286</v>
      </c>
      <c r="C92" s="13" t="s">
        <v>4469</v>
      </c>
      <c r="D92" s="13" t="s">
        <v>4470</v>
      </c>
      <c r="E92" s="13"/>
      <c r="F92" s="13"/>
      <c r="G92" s="13"/>
      <c r="H92" s="13" t="s">
        <v>4403</v>
      </c>
      <c r="I92" s="13" t="s">
        <v>502</v>
      </c>
      <c r="J92" s="13"/>
    </row>
    <row r="93" spans="1:10" ht="102">
      <c r="A93" s="13" t="s">
        <v>4471</v>
      </c>
      <c r="B93" s="13" t="s">
        <v>4472</v>
      </c>
      <c r="C93" s="13" t="s">
        <v>155</v>
      </c>
      <c r="D93" s="13" t="s">
        <v>4473</v>
      </c>
      <c r="E93" s="13"/>
      <c r="F93" s="13"/>
      <c r="G93" s="13"/>
      <c r="H93" s="13" t="s">
        <v>4415</v>
      </c>
      <c r="I93" s="13" t="s">
        <v>502</v>
      </c>
      <c r="J93" s="13"/>
    </row>
    <row r="94" spans="1:10" ht="89.25">
      <c r="A94" s="13" t="s">
        <v>4474</v>
      </c>
      <c r="B94" s="13" t="s">
        <v>4279</v>
      </c>
      <c r="C94" s="13" t="s">
        <v>4475</v>
      </c>
      <c r="D94" s="13" t="s">
        <v>4476</v>
      </c>
      <c r="E94" s="13"/>
      <c r="F94" s="13"/>
      <c r="G94" s="13"/>
      <c r="H94" s="13" t="s">
        <v>4477</v>
      </c>
      <c r="I94" s="13" t="s">
        <v>502</v>
      </c>
      <c r="J94" s="13"/>
    </row>
    <row r="95" spans="1:10" ht="89.25">
      <c r="A95" s="13" t="s">
        <v>4478</v>
      </c>
      <c r="B95" s="13" t="s">
        <v>4343</v>
      </c>
      <c r="C95" s="13" t="s">
        <v>4479</v>
      </c>
      <c r="D95" s="13" t="s">
        <v>4480</v>
      </c>
      <c r="E95" s="13"/>
      <c r="F95" s="13"/>
      <c r="G95" s="13"/>
      <c r="H95" s="13" t="s">
        <v>4481</v>
      </c>
      <c r="I95" s="13" t="s">
        <v>502</v>
      </c>
      <c r="J95" s="13"/>
    </row>
    <row r="96" spans="1:10">
      <c r="A96" s="13"/>
      <c r="B96" s="13"/>
      <c r="C96" s="13"/>
      <c r="D96" s="13"/>
      <c r="E96" s="13"/>
      <c r="F96" s="13"/>
      <c r="G96" s="13"/>
      <c r="H96" s="13"/>
      <c r="I96" s="13"/>
      <c r="J96" s="13"/>
    </row>
    <row r="97" spans="1:10">
      <c r="A97" s="575" t="s">
        <v>1079</v>
      </c>
      <c r="B97" s="896"/>
      <c r="C97" s="896"/>
      <c r="D97" s="85"/>
      <c r="E97" s="85"/>
      <c r="F97" s="85"/>
      <c r="G97" s="85"/>
      <c r="H97" s="85"/>
      <c r="I97" s="85"/>
      <c r="J97" s="85"/>
    </row>
    <row r="98" spans="1:10">
      <c r="A98" s="50" t="s">
        <v>4291</v>
      </c>
      <c r="B98" s="50" t="s">
        <v>4482</v>
      </c>
      <c r="C98" s="50" t="s">
        <v>4274</v>
      </c>
      <c r="D98" s="50" t="s">
        <v>4460</v>
      </c>
      <c r="E98" s="50" t="s">
        <v>155</v>
      </c>
      <c r="F98" s="50" t="s">
        <v>4279</v>
      </c>
      <c r="G98" s="50" t="s">
        <v>491</v>
      </c>
      <c r="H98" s="50" t="s">
        <v>897</v>
      </c>
      <c r="I98" s="50" t="s">
        <v>174</v>
      </c>
      <c r="J98" s="50" t="s">
        <v>11</v>
      </c>
    </row>
    <row r="99" spans="1:10" ht="51">
      <c r="A99" s="13" t="s">
        <v>4208</v>
      </c>
      <c r="B99" s="13">
        <v>0.5</v>
      </c>
      <c r="C99" s="13">
        <v>0.5</v>
      </c>
      <c r="D99" s="13">
        <v>0.5</v>
      </c>
      <c r="E99" s="13">
        <v>0.5</v>
      </c>
      <c r="F99" s="13">
        <v>0.5</v>
      </c>
      <c r="G99" s="13" t="s">
        <v>677</v>
      </c>
      <c r="H99" s="13">
        <v>0.5</v>
      </c>
      <c r="I99" s="13" t="s">
        <v>1201</v>
      </c>
      <c r="J99" s="13" t="s">
        <v>4483</v>
      </c>
    </row>
    <row r="100" spans="1:10" ht="38.25">
      <c r="A100" s="13" t="s">
        <v>4484</v>
      </c>
      <c r="B100" s="13">
        <v>0.5</v>
      </c>
      <c r="C100" s="13">
        <v>0.5</v>
      </c>
      <c r="D100" s="13">
        <v>0.5</v>
      </c>
      <c r="E100" s="13">
        <v>0.5</v>
      </c>
      <c r="F100" s="13">
        <v>0.5</v>
      </c>
      <c r="G100" s="13" t="s">
        <v>677</v>
      </c>
      <c r="H100" s="13">
        <v>0.5</v>
      </c>
      <c r="I100" s="13" t="s">
        <v>1201</v>
      </c>
      <c r="J100" s="13" t="s">
        <v>4485</v>
      </c>
    </row>
    <row r="101" spans="1:10" ht="38.25">
      <c r="A101" s="13" t="s">
        <v>4282</v>
      </c>
      <c r="B101" s="13">
        <v>0.5</v>
      </c>
      <c r="C101" s="13">
        <v>0.5</v>
      </c>
      <c r="D101" s="13">
        <v>0.5</v>
      </c>
      <c r="E101" s="13">
        <v>0.5</v>
      </c>
      <c r="F101" s="13">
        <v>0.5</v>
      </c>
      <c r="G101" s="13" t="s">
        <v>677</v>
      </c>
      <c r="H101" s="13">
        <v>0.5</v>
      </c>
      <c r="I101" s="13" t="s">
        <v>1201</v>
      </c>
      <c r="J101" s="13" t="s">
        <v>4486</v>
      </c>
    </row>
    <row r="102" spans="1:10" ht="51">
      <c r="A102" s="13" t="s">
        <v>4286</v>
      </c>
      <c r="B102" s="13">
        <v>0.5</v>
      </c>
      <c r="C102" s="13">
        <v>0.5</v>
      </c>
      <c r="D102" s="13">
        <v>0.5</v>
      </c>
      <c r="E102" s="13">
        <v>0.5</v>
      </c>
      <c r="F102" s="13">
        <v>0.5</v>
      </c>
      <c r="G102" s="13" t="s">
        <v>677</v>
      </c>
      <c r="H102" s="13">
        <v>0.5</v>
      </c>
      <c r="I102" s="13" t="s">
        <v>1201</v>
      </c>
      <c r="J102" s="13" t="s">
        <v>4487</v>
      </c>
    </row>
    <row r="103" spans="1:10" ht="38.25">
      <c r="A103" s="13" t="s">
        <v>4343</v>
      </c>
      <c r="B103" s="13">
        <v>0.5</v>
      </c>
      <c r="C103" s="13">
        <v>0.5</v>
      </c>
      <c r="D103" s="13">
        <v>0.5</v>
      </c>
      <c r="E103" s="13">
        <v>0.5</v>
      </c>
      <c r="F103" s="13">
        <v>0.5</v>
      </c>
      <c r="G103" s="13" t="s">
        <v>677</v>
      </c>
      <c r="H103" s="13">
        <v>0.5</v>
      </c>
      <c r="I103" s="13" t="s">
        <v>1201</v>
      </c>
      <c r="J103" s="13" t="s">
        <v>4488</v>
      </c>
    </row>
    <row r="104" spans="1:10">
      <c r="A104" s="13"/>
      <c r="B104" s="13"/>
      <c r="C104" s="13"/>
      <c r="D104" s="13"/>
      <c r="E104" s="13"/>
      <c r="F104" s="13"/>
      <c r="G104" s="13"/>
      <c r="H104" s="13"/>
      <c r="I104" s="13"/>
      <c r="J104" s="13"/>
    </row>
    <row r="105" spans="1:10">
      <c r="A105" s="575" t="s">
        <v>1085</v>
      </c>
      <c r="B105" s="896"/>
      <c r="C105" s="896"/>
      <c r="D105" s="85"/>
      <c r="E105" s="85"/>
      <c r="F105" s="85"/>
      <c r="G105" s="85"/>
      <c r="H105" s="85"/>
      <c r="I105" s="85"/>
      <c r="J105" s="85"/>
    </row>
    <row r="106" spans="1:10" ht="38.25">
      <c r="A106" s="50" t="s">
        <v>905</v>
      </c>
      <c r="B106" s="50" t="s">
        <v>857</v>
      </c>
      <c r="C106" s="50"/>
      <c r="D106" s="50"/>
      <c r="E106" s="50"/>
      <c r="F106" s="50"/>
      <c r="G106" s="50"/>
      <c r="H106" s="50"/>
      <c r="I106" s="50"/>
      <c r="J106" s="50"/>
    </row>
    <row r="107" spans="1:10">
      <c r="A107" s="13" t="s">
        <v>1086</v>
      </c>
      <c r="B107" s="594" t="s">
        <v>4489</v>
      </c>
      <c r="C107" s="896"/>
      <c r="D107" s="896"/>
      <c r="E107" s="896"/>
      <c r="F107" s="896"/>
      <c r="G107" s="896"/>
      <c r="H107" s="896"/>
      <c r="I107" s="896"/>
      <c r="J107" s="896"/>
    </row>
    <row r="108" spans="1:10">
      <c r="A108" s="13" t="s">
        <v>2194</v>
      </c>
      <c r="B108" s="594" t="s">
        <v>4490</v>
      </c>
      <c r="C108" s="896"/>
      <c r="D108" s="896"/>
      <c r="E108" s="896"/>
      <c r="F108" s="896"/>
      <c r="G108" s="896"/>
      <c r="H108" s="896"/>
      <c r="I108" s="896"/>
      <c r="J108" s="896"/>
    </row>
    <row r="109" spans="1:10">
      <c r="A109" s="13" t="s">
        <v>1088</v>
      </c>
      <c r="B109" s="594" t="s">
        <v>4491</v>
      </c>
      <c r="C109" s="896"/>
      <c r="D109" s="896"/>
      <c r="E109" s="896"/>
      <c r="F109" s="896"/>
      <c r="G109" s="896"/>
      <c r="H109" s="896"/>
      <c r="I109" s="896"/>
      <c r="J109" s="896"/>
    </row>
    <row r="110" spans="1:10">
      <c r="A110" s="13" t="s">
        <v>4492</v>
      </c>
      <c r="B110" s="594" t="s">
        <v>4493</v>
      </c>
      <c r="C110" s="896"/>
      <c r="D110" s="896"/>
      <c r="E110" s="896"/>
      <c r="F110" s="896"/>
      <c r="G110" s="896"/>
      <c r="H110" s="896"/>
      <c r="I110" s="896"/>
      <c r="J110" s="896"/>
    </row>
    <row r="111" spans="1:10" ht="25.5">
      <c r="A111" s="13" t="s">
        <v>4494</v>
      </c>
      <c r="B111" s="594" t="s">
        <v>4495</v>
      </c>
      <c r="C111" s="896"/>
      <c r="D111" s="896"/>
      <c r="E111" s="896"/>
      <c r="F111" s="896"/>
      <c r="G111" s="896"/>
      <c r="H111" s="896"/>
      <c r="I111" s="896"/>
      <c r="J111" s="896"/>
    </row>
    <row r="112" spans="1:10">
      <c r="A112" s="13" t="s">
        <v>1563</v>
      </c>
      <c r="B112" s="594" t="s">
        <v>4496</v>
      </c>
      <c r="C112" s="896"/>
      <c r="D112" s="896"/>
      <c r="E112" s="896"/>
      <c r="F112" s="896"/>
      <c r="G112" s="896"/>
      <c r="H112" s="896"/>
      <c r="I112" s="896"/>
      <c r="J112" s="896"/>
    </row>
    <row r="113" spans="1:10" ht="25.5">
      <c r="A113" s="13" t="s">
        <v>4497</v>
      </c>
      <c r="B113" s="594" t="s">
        <v>4498</v>
      </c>
      <c r="C113" s="896"/>
      <c r="D113" s="896"/>
      <c r="E113" s="896"/>
      <c r="F113" s="896"/>
      <c r="G113" s="896"/>
      <c r="H113" s="896"/>
      <c r="I113" s="896"/>
      <c r="J113" s="896"/>
    </row>
    <row r="115" spans="1:10" ht="15.75" thickBot="1"/>
    <row r="116" spans="1:10">
      <c r="A116" s="605" t="s">
        <v>5668</v>
      </c>
      <c r="B116" s="602"/>
      <c r="C116" s="602"/>
      <c r="D116" s="606"/>
      <c r="E116" s="602"/>
      <c r="F116" s="602"/>
      <c r="G116" s="606"/>
      <c r="H116" s="606"/>
      <c r="I116" s="606"/>
      <c r="J116" s="607"/>
    </row>
    <row r="117" spans="1:10">
      <c r="A117" s="321" t="s">
        <v>5610</v>
      </c>
      <c r="B117" s="322" t="s">
        <v>77</v>
      </c>
      <c r="C117" s="322" t="s">
        <v>5611</v>
      </c>
      <c r="D117" s="322" t="s">
        <v>5612</v>
      </c>
      <c r="E117" s="322" t="s">
        <v>5634</v>
      </c>
      <c r="F117" s="322" t="s">
        <v>5601</v>
      </c>
      <c r="G117" s="578" t="s">
        <v>5635</v>
      </c>
      <c r="H117" s="578"/>
      <c r="I117" s="578"/>
      <c r="J117" s="579"/>
    </row>
    <row r="118" spans="1:10" ht="25.5">
      <c r="A118" s="323" t="s">
        <v>5613</v>
      </c>
      <c r="B118" s="333" t="s">
        <v>484</v>
      </c>
      <c r="C118" s="325">
        <v>0</v>
      </c>
      <c r="D118" s="325">
        <v>0</v>
      </c>
      <c r="E118" s="192" t="s">
        <v>5674</v>
      </c>
      <c r="F118" s="325">
        <f>IF(AND(C118&lt;&gt;"",D118&lt;&gt;""),D118-C118,"")</f>
        <v>0</v>
      </c>
      <c r="G118" s="608"/>
      <c r="H118" s="608"/>
      <c r="I118" s="608"/>
      <c r="J118" s="609"/>
    </row>
    <row r="119" spans="1:10" ht="25.5">
      <c r="A119" s="326" t="s">
        <v>5614</v>
      </c>
      <c r="B119" s="333" t="s">
        <v>484</v>
      </c>
      <c r="C119" s="327">
        <v>1</v>
      </c>
      <c r="D119" s="327">
        <v>0</v>
      </c>
      <c r="E119" s="310" t="s">
        <v>5675</v>
      </c>
      <c r="F119" s="327">
        <f>IF(AND(C119&lt;&gt;"",D119&lt;&gt;""),D119-C119,"")</f>
        <v>-1</v>
      </c>
      <c r="G119" s="610"/>
      <c r="H119" s="610"/>
      <c r="I119" s="610"/>
      <c r="J119" s="611"/>
    </row>
    <row r="120" spans="1:10">
      <c r="A120" s="323" t="s">
        <v>5615</v>
      </c>
      <c r="B120" s="333" t="s">
        <v>484</v>
      </c>
      <c r="C120" s="327">
        <v>1</v>
      </c>
      <c r="D120" s="327">
        <v>0</v>
      </c>
      <c r="E120" s="310" t="s">
        <v>5675</v>
      </c>
      <c r="F120" s="325">
        <f>IF(AND(C120&lt;&gt;"",D120&lt;&gt;""),D120-C120,"")</f>
        <v>-1</v>
      </c>
      <c r="G120" s="328"/>
      <c r="H120" s="227"/>
      <c r="I120" s="227"/>
      <c r="J120" s="329"/>
    </row>
    <row r="121" spans="1:10">
      <c r="A121" s="326" t="s">
        <v>5616</v>
      </c>
      <c r="B121" s="333" t="s">
        <v>484</v>
      </c>
      <c r="C121" s="327">
        <v>1</v>
      </c>
      <c r="D121" s="327">
        <v>0</v>
      </c>
      <c r="E121" s="310" t="s">
        <v>5675</v>
      </c>
      <c r="F121" s="327">
        <f>IF(AND(C121&lt;&gt;"",D121&lt;&gt;""),D121-C121,"")</f>
        <v>-1</v>
      </c>
      <c r="G121" s="610"/>
      <c r="H121" s="610"/>
      <c r="I121" s="610"/>
      <c r="J121" s="611"/>
    </row>
    <row r="122" spans="1:10">
      <c r="A122" s="323" t="s">
        <v>5168</v>
      </c>
      <c r="B122" s="333" t="s">
        <v>484</v>
      </c>
      <c r="C122" s="327">
        <v>1</v>
      </c>
      <c r="D122" s="327">
        <v>0</v>
      </c>
      <c r="E122" s="310" t="s">
        <v>5675</v>
      </c>
      <c r="F122" s="325">
        <f>IF(AND(C122&lt;&gt;"",D122&lt;&gt;""),D122-C122,"")</f>
        <v>-1</v>
      </c>
      <c r="G122" s="328"/>
      <c r="H122" s="227"/>
      <c r="I122" s="227"/>
      <c r="J122" s="329"/>
    </row>
    <row r="123" spans="1:10" ht="15.75">
      <c r="A123" s="585" t="s">
        <v>5636</v>
      </c>
      <c r="B123" s="586"/>
      <c r="C123" s="330">
        <f>IFERROR(AVERAGE(C118:C122),"")</f>
        <v>0.8</v>
      </c>
      <c r="D123" s="330">
        <f>IFERROR(AVERAGE(D118:D122),"")</f>
        <v>0</v>
      </c>
      <c r="E123" s="589" t="s">
        <v>5637</v>
      </c>
      <c r="F123" s="589"/>
      <c r="G123" s="589"/>
      <c r="H123" s="589"/>
      <c r="I123" s="589"/>
      <c r="J123" s="590"/>
    </row>
    <row r="124" spans="1:10">
      <c r="A124" s="331"/>
      <c r="B124" s="316"/>
      <c r="C124" s="316"/>
      <c r="D124" s="316"/>
      <c r="E124" s="316"/>
      <c r="F124" s="316"/>
      <c r="G124" s="316"/>
      <c r="H124" s="227"/>
      <c r="I124" s="227"/>
      <c r="J124" s="329"/>
    </row>
    <row r="125" spans="1:10">
      <c r="A125" s="574" t="s">
        <v>5669</v>
      </c>
      <c r="B125" s="582"/>
      <c r="C125" s="582"/>
      <c r="D125" s="575"/>
      <c r="E125" s="582"/>
      <c r="F125" s="582"/>
      <c r="G125" s="575"/>
      <c r="H125" s="575"/>
      <c r="I125" s="575"/>
      <c r="J125" s="576"/>
    </row>
    <row r="126" spans="1:10">
      <c r="A126" s="321" t="s">
        <v>4946</v>
      </c>
      <c r="B126" s="322" t="s">
        <v>77</v>
      </c>
      <c r="C126" s="322" t="s">
        <v>5676</v>
      </c>
      <c r="D126" s="322" t="s">
        <v>482</v>
      </c>
      <c r="E126" s="322" t="s">
        <v>572</v>
      </c>
      <c r="F126" s="322" t="s">
        <v>5639</v>
      </c>
      <c r="G126" s="578" t="s">
        <v>5640</v>
      </c>
      <c r="H126" s="578"/>
      <c r="I126" s="578"/>
      <c r="J126" s="579"/>
    </row>
    <row r="127" spans="1:10" ht="25.5">
      <c r="A127" s="326" t="s">
        <v>5602</v>
      </c>
      <c r="B127" s="333" t="s">
        <v>484</v>
      </c>
      <c r="C127" s="332" t="s">
        <v>679</v>
      </c>
      <c r="D127" s="324" t="s">
        <v>679</v>
      </c>
      <c r="E127" s="332">
        <f>IF(D127="Yes",1,0)</f>
        <v>0</v>
      </c>
      <c r="F127" s="580"/>
      <c r="G127" s="580"/>
      <c r="H127" s="580"/>
      <c r="I127" s="580"/>
      <c r="J127" s="581"/>
    </row>
    <row r="128" spans="1:10">
      <c r="A128" s="323" t="s">
        <v>995</v>
      </c>
      <c r="B128" s="333" t="s">
        <v>484</v>
      </c>
      <c r="C128" s="332" t="s">
        <v>679</v>
      </c>
      <c r="D128" s="324" t="s">
        <v>679</v>
      </c>
      <c r="E128" s="324">
        <f t="shared" ref="E128:E134" si="0">IF(D128="Yes",1,0)</f>
        <v>0</v>
      </c>
      <c r="F128" s="580"/>
      <c r="G128" s="580"/>
      <c r="H128" s="580"/>
      <c r="I128" s="580"/>
      <c r="J128" s="581"/>
    </row>
    <row r="129" spans="1:10">
      <c r="A129" s="326" t="s">
        <v>5603</v>
      </c>
      <c r="B129" s="333" t="s">
        <v>484</v>
      </c>
      <c r="C129" s="332" t="s">
        <v>679</v>
      </c>
      <c r="D129" s="324" t="s">
        <v>679</v>
      </c>
      <c r="E129" s="332">
        <f t="shared" si="0"/>
        <v>0</v>
      </c>
      <c r="F129" s="580"/>
      <c r="G129" s="580"/>
      <c r="H129" s="580"/>
      <c r="I129" s="580"/>
      <c r="J129" s="581"/>
    </row>
    <row r="130" spans="1:10">
      <c r="A130" s="323" t="s">
        <v>5617</v>
      </c>
      <c r="B130" s="333" t="s">
        <v>484</v>
      </c>
      <c r="C130" s="332" t="s">
        <v>679</v>
      </c>
      <c r="D130" s="324" t="s">
        <v>679</v>
      </c>
      <c r="E130" s="324">
        <f t="shared" si="0"/>
        <v>0</v>
      </c>
      <c r="F130" s="580"/>
      <c r="G130" s="580"/>
      <c r="H130" s="580"/>
      <c r="I130" s="580"/>
      <c r="J130" s="581"/>
    </row>
    <row r="131" spans="1:10" ht="38.25">
      <c r="A131" s="326" t="s">
        <v>5618</v>
      </c>
      <c r="B131" s="333" t="s">
        <v>484</v>
      </c>
      <c r="C131" s="332" t="s">
        <v>679</v>
      </c>
      <c r="D131" s="324" t="s">
        <v>679</v>
      </c>
      <c r="E131" s="332">
        <f t="shared" si="0"/>
        <v>0</v>
      </c>
      <c r="F131" s="580"/>
      <c r="G131" s="580"/>
      <c r="H131" s="580"/>
      <c r="I131" s="580"/>
      <c r="J131" s="581"/>
    </row>
    <row r="132" spans="1:10" ht="25.5">
      <c r="A132" s="323" t="s">
        <v>5619</v>
      </c>
      <c r="B132" s="333" t="s">
        <v>484</v>
      </c>
      <c r="C132" s="332" t="s">
        <v>679</v>
      </c>
      <c r="D132" s="324" t="s">
        <v>679</v>
      </c>
      <c r="E132" s="324">
        <f t="shared" si="0"/>
        <v>0</v>
      </c>
      <c r="F132" s="580"/>
      <c r="G132" s="580"/>
      <c r="H132" s="580"/>
      <c r="I132" s="580"/>
      <c r="J132" s="581"/>
    </row>
    <row r="133" spans="1:10">
      <c r="A133" s="326" t="s">
        <v>5604</v>
      </c>
      <c r="B133" s="333" t="s">
        <v>484</v>
      </c>
      <c r="C133" s="332" t="s">
        <v>679</v>
      </c>
      <c r="D133" s="324" t="s">
        <v>679</v>
      </c>
      <c r="E133" s="332">
        <f t="shared" si="0"/>
        <v>0</v>
      </c>
      <c r="F133" s="580"/>
      <c r="G133" s="580"/>
      <c r="H133" s="580"/>
      <c r="I133" s="580"/>
      <c r="J133" s="581"/>
    </row>
    <row r="134" spans="1:10" ht="25.5">
      <c r="A134" s="323" t="s">
        <v>5605</v>
      </c>
      <c r="B134" s="333" t="s">
        <v>484</v>
      </c>
      <c r="C134" s="332" t="s">
        <v>679</v>
      </c>
      <c r="D134" s="324" t="s">
        <v>679</v>
      </c>
      <c r="E134" s="324">
        <f t="shared" si="0"/>
        <v>0</v>
      </c>
      <c r="F134" s="580"/>
      <c r="G134" s="580"/>
      <c r="H134" s="580"/>
      <c r="I134" s="580"/>
      <c r="J134" s="581"/>
    </row>
    <row r="135" spans="1:10" ht="15.75">
      <c r="A135" s="585" t="s">
        <v>5641</v>
      </c>
      <c r="B135" s="586"/>
      <c r="C135" s="587" t="str">
        <f>IFERROR(SUM(E127:E134)/COUNTIF(C127:C134,"Yes"),"")</f>
        <v/>
      </c>
      <c r="D135" s="588"/>
      <c r="E135" s="589" t="s">
        <v>5642</v>
      </c>
      <c r="F135" s="589"/>
      <c r="G135" s="589"/>
      <c r="H135" s="589"/>
      <c r="I135" s="589"/>
      <c r="J135" s="590"/>
    </row>
    <row r="136" spans="1:10">
      <c r="A136" s="331"/>
      <c r="B136" s="316"/>
      <c r="C136" s="316"/>
      <c r="D136" s="316"/>
      <c r="E136" s="316"/>
      <c r="F136" s="316"/>
      <c r="G136" s="316"/>
      <c r="H136" s="227"/>
      <c r="I136" s="227"/>
      <c r="J136" s="329"/>
    </row>
    <row r="137" spans="1:10">
      <c r="A137" s="574" t="s">
        <v>5670</v>
      </c>
      <c r="B137" s="582"/>
      <c r="C137" s="582"/>
      <c r="D137" s="575"/>
      <c r="E137" s="582"/>
      <c r="F137" s="582"/>
      <c r="G137" s="575"/>
      <c r="H137" s="575"/>
      <c r="I137" s="575"/>
      <c r="J137" s="576"/>
    </row>
    <row r="138" spans="1:10">
      <c r="A138" s="321" t="s">
        <v>5643</v>
      </c>
      <c r="B138" s="322" t="s">
        <v>77</v>
      </c>
      <c r="C138" s="322" t="s">
        <v>5620</v>
      </c>
      <c r="D138" s="322" t="s">
        <v>5621</v>
      </c>
      <c r="E138" s="322" t="s">
        <v>5622</v>
      </c>
      <c r="F138" s="322" t="s">
        <v>5644</v>
      </c>
      <c r="G138" s="578" t="s">
        <v>5645</v>
      </c>
      <c r="H138" s="578"/>
      <c r="I138" s="578"/>
      <c r="J138" s="579"/>
    </row>
    <row r="139" spans="1:10" ht="25.5">
      <c r="A139" s="326" t="s">
        <v>5623</v>
      </c>
      <c r="B139" s="332" t="s">
        <v>484</v>
      </c>
      <c r="C139" s="332" t="s">
        <v>1096</v>
      </c>
      <c r="D139" s="332" t="s">
        <v>1096</v>
      </c>
      <c r="E139" s="332" t="s">
        <v>1096</v>
      </c>
      <c r="F139" s="332" t="s">
        <v>348</v>
      </c>
      <c r="G139" s="583"/>
      <c r="H139" s="583"/>
      <c r="I139" s="583"/>
      <c r="J139" s="584"/>
    </row>
    <row r="140" spans="1:10">
      <c r="A140" s="323" t="s">
        <v>5624</v>
      </c>
      <c r="B140" s="332" t="s">
        <v>484</v>
      </c>
      <c r="C140" s="332" t="s">
        <v>1096</v>
      </c>
      <c r="D140" s="332" t="s">
        <v>1096</v>
      </c>
      <c r="E140" s="332" t="s">
        <v>1096</v>
      </c>
      <c r="F140" s="332" t="s">
        <v>348</v>
      </c>
      <c r="G140" s="583"/>
      <c r="H140" s="583"/>
      <c r="I140" s="583"/>
      <c r="J140" s="584"/>
    </row>
    <row r="141" spans="1:10">
      <c r="A141" s="326" t="s">
        <v>5646</v>
      </c>
      <c r="B141" s="332" t="s">
        <v>484</v>
      </c>
      <c r="C141" s="332" t="s">
        <v>1096</v>
      </c>
      <c r="D141" s="332" t="s">
        <v>1096</v>
      </c>
      <c r="E141" s="332" t="s">
        <v>1096</v>
      </c>
      <c r="F141" s="332" t="s">
        <v>348</v>
      </c>
      <c r="G141" s="583"/>
      <c r="H141" s="583"/>
      <c r="I141" s="583"/>
      <c r="J141" s="584"/>
    </row>
    <row r="142" spans="1:10">
      <c r="A142" s="323" t="s">
        <v>5625</v>
      </c>
      <c r="B142" s="332" t="s">
        <v>484</v>
      </c>
      <c r="C142" s="332" t="s">
        <v>1096</v>
      </c>
      <c r="D142" s="332" t="s">
        <v>1096</v>
      </c>
      <c r="E142" s="332" t="s">
        <v>1096</v>
      </c>
      <c r="F142" s="332" t="s">
        <v>348</v>
      </c>
      <c r="G142" s="583"/>
      <c r="H142" s="583"/>
      <c r="I142" s="583"/>
      <c r="J142" s="584"/>
    </row>
    <row r="143" spans="1:10" ht="25.5">
      <c r="A143" s="326" t="s">
        <v>5626</v>
      </c>
      <c r="B143" s="332" t="s">
        <v>484</v>
      </c>
      <c r="C143" s="332" t="s">
        <v>1096</v>
      </c>
      <c r="D143" s="332" t="s">
        <v>1096</v>
      </c>
      <c r="E143" s="332" t="s">
        <v>1096</v>
      </c>
      <c r="F143" s="332" t="s">
        <v>348</v>
      </c>
      <c r="G143" s="583"/>
      <c r="H143" s="583"/>
      <c r="I143" s="583"/>
      <c r="J143" s="584"/>
    </row>
    <row r="144" spans="1:10" ht="15.75">
      <c r="A144" s="585" t="s">
        <v>5677</v>
      </c>
      <c r="B144" s="586"/>
      <c r="C144" s="587">
        <f>IFERROR(COUNTIF(E139:E143,"Yes")/COUNTA(A139:A143),"")</f>
        <v>0</v>
      </c>
      <c r="D144" s="588"/>
      <c r="E144" s="589" t="s">
        <v>5648</v>
      </c>
      <c r="F144" s="589"/>
      <c r="G144" s="589"/>
      <c r="H144" s="589"/>
      <c r="I144" s="589"/>
      <c r="J144" s="590"/>
    </row>
    <row r="145" spans="1:10">
      <c r="A145" s="331"/>
      <c r="B145" s="316"/>
      <c r="C145" s="316"/>
      <c r="D145" s="316"/>
      <c r="E145" s="316"/>
      <c r="F145" s="316"/>
      <c r="G145" s="599"/>
      <c r="H145" s="599"/>
      <c r="I145" s="599"/>
      <c r="J145" s="600"/>
    </row>
    <row r="146" spans="1:10">
      <c r="A146" s="574" t="s">
        <v>5671</v>
      </c>
      <c r="B146" s="582"/>
      <c r="C146" s="582"/>
      <c r="D146" s="575"/>
      <c r="E146" s="582"/>
      <c r="F146" s="582"/>
      <c r="G146" s="575"/>
      <c r="H146" s="575"/>
      <c r="I146" s="575"/>
      <c r="J146" s="576"/>
    </row>
    <row r="147" spans="1:10">
      <c r="A147" s="322" t="s">
        <v>5606</v>
      </c>
      <c r="B147" s="322" t="s">
        <v>77</v>
      </c>
      <c r="C147" s="322" t="s">
        <v>5627</v>
      </c>
      <c r="D147" s="322" t="s">
        <v>5628</v>
      </c>
      <c r="E147" s="322" t="s">
        <v>5629</v>
      </c>
      <c r="F147" s="322" t="s">
        <v>5630</v>
      </c>
      <c r="G147" s="578" t="s">
        <v>5678</v>
      </c>
      <c r="H147" s="578"/>
      <c r="I147" s="578"/>
      <c r="J147" s="578"/>
    </row>
    <row r="148" spans="1:10">
      <c r="A148" s="328" t="s">
        <v>153</v>
      </c>
      <c r="B148" s="324" t="s">
        <v>484</v>
      </c>
      <c r="C148" s="324"/>
      <c r="D148" s="324"/>
      <c r="E148" s="324"/>
      <c r="F148" s="325" t="str">
        <f>IFERROR(D148/C148,"")</f>
        <v/>
      </c>
      <c r="G148" s="572"/>
      <c r="H148" s="572"/>
      <c r="I148" s="572"/>
      <c r="J148" s="572"/>
    </row>
    <row r="149" spans="1:10">
      <c r="A149" s="335" t="s">
        <v>155</v>
      </c>
      <c r="B149" s="332" t="s">
        <v>484</v>
      </c>
      <c r="C149" s="332"/>
      <c r="D149" s="332"/>
      <c r="E149" s="332"/>
      <c r="F149" s="327" t="str">
        <f>IFERROR(D149/C149,"")</f>
        <v/>
      </c>
      <c r="G149" s="572"/>
      <c r="H149" s="572"/>
      <c r="I149" s="572"/>
      <c r="J149" s="572"/>
    </row>
    <row r="150" spans="1:10">
      <c r="A150" s="328" t="s">
        <v>4821</v>
      </c>
      <c r="B150" s="324" t="s">
        <v>484</v>
      </c>
      <c r="C150" s="324"/>
      <c r="D150" s="324"/>
      <c r="E150" s="324"/>
      <c r="F150" s="325" t="str">
        <f>IFERROR(D150/C150,"")</f>
        <v/>
      </c>
      <c r="G150" s="572"/>
      <c r="H150" s="572"/>
      <c r="I150" s="572"/>
      <c r="J150" s="572"/>
    </row>
    <row r="151" spans="1:10">
      <c r="A151" s="335" t="s">
        <v>957</v>
      </c>
      <c r="B151" s="332" t="s">
        <v>484</v>
      </c>
      <c r="C151" s="332"/>
      <c r="D151" s="332"/>
      <c r="E151" s="332"/>
      <c r="F151" s="327" t="str">
        <f>IFERROR(D151/C151,"")</f>
        <v/>
      </c>
      <c r="G151" s="572"/>
      <c r="H151" s="572"/>
      <c r="I151" s="572"/>
      <c r="J151" s="572"/>
    </row>
    <row r="152" spans="1:10">
      <c r="A152" s="597" t="s">
        <v>5649</v>
      </c>
      <c r="B152" s="597"/>
      <c r="C152" s="597"/>
      <c r="D152" s="597"/>
      <c r="E152" s="589" t="s">
        <v>5650</v>
      </c>
      <c r="F152" s="589"/>
      <c r="G152" s="589"/>
      <c r="H152" s="589"/>
      <c r="I152" s="589"/>
      <c r="J152" s="589"/>
    </row>
    <row r="153" spans="1:10">
      <c r="A153" s="597"/>
      <c r="B153" s="597"/>
      <c r="C153" s="597"/>
      <c r="D153" s="597"/>
      <c r="E153" s="589"/>
      <c r="F153" s="589"/>
      <c r="G153" s="589"/>
      <c r="H153" s="589"/>
      <c r="I153" s="589"/>
      <c r="J153" s="589"/>
    </row>
    <row r="154" spans="1:10">
      <c r="A154" s="575" t="s">
        <v>5672</v>
      </c>
      <c r="B154" s="575"/>
      <c r="C154" s="575"/>
      <c r="D154" s="575"/>
      <c r="E154" s="575"/>
      <c r="F154" s="575"/>
      <c r="G154" s="575"/>
      <c r="H154" s="575"/>
      <c r="I154" s="575"/>
      <c r="J154" s="575"/>
    </row>
    <row r="155" spans="1:10">
      <c r="A155" s="322" t="s">
        <v>4946</v>
      </c>
      <c r="B155" s="322" t="s">
        <v>77</v>
      </c>
      <c r="C155" s="322" t="s">
        <v>5638</v>
      </c>
      <c r="D155" s="322" t="s">
        <v>482</v>
      </c>
      <c r="E155" s="322" t="s">
        <v>572</v>
      </c>
      <c r="F155" s="322" t="s">
        <v>944</v>
      </c>
      <c r="G155" s="578" t="s">
        <v>5640</v>
      </c>
      <c r="H155" s="578"/>
      <c r="I155" s="578"/>
      <c r="J155" s="578"/>
    </row>
    <row r="156" spans="1:10" ht="25.5">
      <c r="A156" s="328" t="s">
        <v>5607</v>
      </c>
      <c r="B156" s="324" t="s">
        <v>484</v>
      </c>
      <c r="C156" s="324" t="s">
        <v>392</v>
      </c>
      <c r="D156" s="324" t="s">
        <v>1096</v>
      </c>
      <c r="E156" s="324">
        <f t="shared" ref="E156:E161" si="1">IF(D156="Yes",1,0)</f>
        <v>0</v>
      </c>
      <c r="F156" s="324"/>
      <c r="G156" s="572"/>
      <c r="H156" s="572"/>
      <c r="I156" s="572"/>
      <c r="J156" s="572"/>
    </row>
    <row r="157" spans="1:10">
      <c r="A157" s="335" t="s">
        <v>5608</v>
      </c>
      <c r="B157" s="324" t="s">
        <v>484</v>
      </c>
      <c r="C157" s="332" t="s">
        <v>392</v>
      </c>
      <c r="D157" s="324" t="s">
        <v>1096</v>
      </c>
      <c r="E157" s="332">
        <f t="shared" si="1"/>
        <v>0</v>
      </c>
      <c r="F157" s="332"/>
      <c r="G157" s="572"/>
      <c r="H157" s="572"/>
      <c r="I157" s="572"/>
      <c r="J157" s="572"/>
    </row>
    <row r="158" spans="1:10" ht="25.5">
      <c r="A158" s="328" t="s">
        <v>5609</v>
      </c>
      <c r="B158" s="324" t="s">
        <v>484</v>
      </c>
      <c r="C158" s="324" t="s">
        <v>392</v>
      </c>
      <c r="D158" s="324" t="s">
        <v>1096</v>
      </c>
      <c r="E158" s="324">
        <f t="shared" si="1"/>
        <v>0</v>
      </c>
      <c r="F158" s="324"/>
      <c r="G158" s="572"/>
      <c r="H158" s="572"/>
      <c r="I158" s="572"/>
      <c r="J158" s="572"/>
    </row>
    <row r="159" spans="1:10">
      <c r="A159" s="335" t="s">
        <v>5631</v>
      </c>
      <c r="B159" s="324" t="s">
        <v>484</v>
      </c>
      <c r="C159" s="332" t="s">
        <v>392</v>
      </c>
      <c r="D159" s="324" t="s">
        <v>1096</v>
      </c>
      <c r="E159" s="332">
        <f t="shared" si="1"/>
        <v>0</v>
      </c>
      <c r="F159" s="332"/>
      <c r="G159" s="572"/>
      <c r="H159" s="572"/>
      <c r="I159" s="572"/>
      <c r="J159" s="572"/>
    </row>
    <row r="160" spans="1:10" ht="25.5">
      <c r="A160" s="328" t="s">
        <v>5632</v>
      </c>
      <c r="B160" s="324" t="s">
        <v>484</v>
      </c>
      <c r="C160" s="324" t="s">
        <v>392</v>
      </c>
      <c r="D160" s="324" t="s">
        <v>1096</v>
      </c>
      <c r="E160" s="324">
        <f t="shared" si="1"/>
        <v>0</v>
      </c>
      <c r="F160" s="324"/>
      <c r="G160" s="572"/>
      <c r="H160" s="572"/>
      <c r="I160" s="572"/>
      <c r="J160" s="572"/>
    </row>
    <row r="161" spans="1:10" ht="25.5">
      <c r="A161" s="335" t="s">
        <v>5633</v>
      </c>
      <c r="B161" s="324" t="s">
        <v>484</v>
      </c>
      <c r="C161" s="332" t="s">
        <v>392</v>
      </c>
      <c r="D161" s="332" t="s">
        <v>1096</v>
      </c>
      <c r="E161" s="332">
        <f t="shared" si="1"/>
        <v>0</v>
      </c>
      <c r="F161" s="332"/>
      <c r="G161" s="572"/>
      <c r="H161" s="572"/>
      <c r="I161" s="572"/>
      <c r="J161" s="572"/>
    </row>
    <row r="162" spans="1:10" ht="15.75">
      <c r="A162" s="930" t="s">
        <v>5651</v>
      </c>
      <c r="B162" s="586"/>
      <c r="C162" s="587">
        <f>IFERROR(SUM(E156:E161)/COUNTIF(C156:C161,"Yes"),"")</f>
        <v>0</v>
      </c>
      <c r="D162" s="588"/>
      <c r="E162" s="589" t="s">
        <v>5652</v>
      </c>
      <c r="F162" s="589"/>
      <c r="G162" s="589"/>
      <c r="H162" s="589"/>
      <c r="I162" s="589"/>
      <c r="J162" s="589"/>
    </row>
    <row r="163" spans="1:10">
      <c r="A163" s="192"/>
      <c r="B163" s="192"/>
      <c r="C163" s="192"/>
      <c r="D163" s="192"/>
      <c r="E163" s="192"/>
      <c r="F163" s="192"/>
      <c r="G163" s="192"/>
      <c r="H163" s="192"/>
      <c r="I163" s="192"/>
      <c r="J163" s="192"/>
    </row>
    <row r="164" spans="1:10">
      <c r="A164" s="575" t="s">
        <v>5673</v>
      </c>
      <c r="B164" s="582"/>
      <c r="C164" s="582"/>
      <c r="D164" s="317"/>
      <c r="E164" s="317"/>
      <c r="F164" s="317"/>
      <c r="G164" s="317"/>
      <c r="H164" s="317"/>
      <c r="I164" s="317"/>
      <c r="J164" s="317"/>
    </row>
    <row r="165" spans="1:10" ht="38.25">
      <c r="A165" s="318" t="s">
        <v>905</v>
      </c>
      <c r="B165" s="318" t="s">
        <v>830</v>
      </c>
      <c r="C165" s="318"/>
      <c r="D165" s="318"/>
      <c r="E165" s="318"/>
      <c r="F165" s="318"/>
      <c r="G165" s="318"/>
      <c r="H165" s="318"/>
      <c r="I165" s="318"/>
      <c r="J165" s="318"/>
    </row>
    <row r="166" spans="1:10">
      <c r="A166" s="315" t="s">
        <v>1086</v>
      </c>
      <c r="B166" s="594" t="s">
        <v>3292</v>
      </c>
      <c r="C166" s="582"/>
      <c r="D166" s="582"/>
      <c r="E166" s="582"/>
      <c r="F166" s="582"/>
      <c r="G166" s="582"/>
      <c r="H166" s="582"/>
      <c r="I166" s="582"/>
      <c r="J166" s="582"/>
    </row>
    <row r="167" spans="1:10" ht="25.5">
      <c r="A167" s="315" t="s">
        <v>2090</v>
      </c>
      <c r="B167" s="594" t="s">
        <v>3293</v>
      </c>
      <c r="C167" s="582"/>
      <c r="D167" s="582"/>
      <c r="E167" s="582"/>
      <c r="F167" s="582"/>
      <c r="G167" s="582"/>
      <c r="H167" s="582"/>
      <c r="I167" s="582"/>
      <c r="J167" s="582"/>
    </row>
    <row r="168" spans="1:10">
      <c r="A168" s="315" t="s">
        <v>1089</v>
      </c>
      <c r="B168" s="594" t="s">
        <v>3294</v>
      </c>
      <c r="C168" s="582"/>
      <c r="D168" s="582"/>
      <c r="E168" s="582"/>
      <c r="F168" s="582"/>
      <c r="G168" s="582"/>
      <c r="H168" s="582"/>
      <c r="I168" s="582"/>
      <c r="J168" s="582"/>
    </row>
    <row r="169" spans="1:10">
      <c r="A169" s="315" t="s">
        <v>1090</v>
      </c>
      <c r="B169" s="594" t="s">
        <v>3295</v>
      </c>
      <c r="C169" s="582"/>
      <c r="D169" s="582"/>
      <c r="E169" s="582"/>
      <c r="F169" s="582"/>
      <c r="G169" s="582"/>
      <c r="H169" s="582"/>
      <c r="I169" s="582"/>
      <c r="J169" s="582"/>
    </row>
    <row r="170" spans="1:10">
      <c r="A170" s="315" t="s">
        <v>1088</v>
      </c>
      <c r="B170" s="594" t="s">
        <v>3296</v>
      </c>
      <c r="C170" s="582"/>
      <c r="D170" s="582"/>
      <c r="E170" s="582"/>
      <c r="F170" s="582"/>
      <c r="G170" s="582"/>
      <c r="H170" s="582"/>
      <c r="I170" s="582"/>
      <c r="J170" s="582"/>
    </row>
    <row r="171" spans="1:10" ht="25.5">
      <c r="A171" s="315" t="s">
        <v>3297</v>
      </c>
      <c r="B171" s="594" t="s">
        <v>3298</v>
      </c>
      <c r="C171" s="582"/>
      <c r="D171" s="582"/>
      <c r="E171" s="582"/>
      <c r="F171" s="582"/>
      <c r="G171" s="582"/>
      <c r="H171" s="582"/>
      <c r="I171" s="582"/>
      <c r="J171" s="582"/>
    </row>
    <row r="172" spans="1:10">
      <c r="A172" s="315" t="s">
        <v>1563</v>
      </c>
      <c r="B172" s="594" t="s">
        <v>1776</v>
      </c>
      <c r="C172" s="582"/>
      <c r="D172" s="582"/>
      <c r="E172" s="582"/>
      <c r="F172" s="582"/>
      <c r="G172" s="582"/>
      <c r="H172" s="582"/>
      <c r="I172" s="582"/>
      <c r="J172" s="582"/>
    </row>
    <row r="173" spans="1:10">
      <c r="A173" s="227"/>
      <c r="B173" s="227"/>
      <c r="C173" s="227"/>
      <c r="D173" s="227"/>
      <c r="E173" s="227"/>
      <c r="F173" s="227"/>
      <c r="G173" s="227"/>
      <c r="H173" s="227"/>
      <c r="I173" s="227"/>
      <c r="J173" s="227"/>
    </row>
    <row r="174" spans="1:10" ht="18">
      <c r="A174" s="598" t="s">
        <v>5562</v>
      </c>
      <c r="B174" s="598"/>
      <c r="C174" s="598"/>
      <c r="D174" s="598"/>
      <c r="E174" s="598"/>
      <c r="F174" s="598"/>
      <c r="G174" s="598"/>
      <c r="H174" s="598"/>
      <c r="I174" s="227"/>
      <c r="J174" s="227"/>
    </row>
    <row r="175" spans="1:10">
      <c r="A175" s="272" t="s">
        <v>2</v>
      </c>
      <c r="B175" s="591" t="s">
        <v>5563</v>
      </c>
      <c r="C175" s="591"/>
      <c r="D175" s="591"/>
      <c r="E175" s="591"/>
      <c r="F175" s="591"/>
      <c r="G175" s="591"/>
      <c r="H175" s="591"/>
      <c r="I175" s="227"/>
      <c r="J175" s="227"/>
    </row>
    <row r="176" spans="1:10">
      <c r="A176" s="272" t="s">
        <v>5564</v>
      </c>
      <c r="B176" s="591" t="s">
        <v>5565</v>
      </c>
      <c r="C176" s="591"/>
      <c r="D176" s="591"/>
      <c r="E176" s="591"/>
      <c r="F176" s="591"/>
      <c r="G176" s="591"/>
      <c r="H176" s="591"/>
      <c r="I176" s="227"/>
      <c r="J176" s="227"/>
    </row>
    <row r="177" spans="1:10">
      <c r="A177" s="192"/>
      <c r="B177" s="192"/>
      <c r="C177" s="192"/>
      <c r="D177" s="192"/>
      <c r="E177" s="192"/>
      <c r="F177" s="192"/>
      <c r="G177" s="192"/>
      <c r="H177" s="192"/>
      <c r="I177" s="227"/>
      <c r="J177" s="227"/>
    </row>
    <row r="178" spans="1:10">
      <c r="A178" s="319" t="s">
        <v>4946</v>
      </c>
      <c r="B178" s="319" t="s">
        <v>77</v>
      </c>
      <c r="C178" s="319" t="s">
        <v>5566</v>
      </c>
      <c r="D178" s="319" t="s">
        <v>263</v>
      </c>
      <c r="E178" s="319" t="s">
        <v>216</v>
      </c>
      <c r="F178" s="319" t="s">
        <v>5567</v>
      </c>
      <c r="G178" s="319" t="s">
        <v>5568</v>
      </c>
      <c r="H178" s="319" t="s">
        <v>5569</v>
      </c>
      <c r="I178" s="227"/>
      <c r="J178" s="227"/>
    </row>
    <row r="179" spans="1:10" ht="25.5">
      <c r="A179" s="273" t="s">
        <v>5570</v>
      </c>
      <c r="B179" s="274" t="s">
        <v>1096</v>
      </c>
      <c r="C179" s="273"/>
      <c r="D179" s="273"/>
      <c r="E179" s="273"/>
      <c r="F179" s="273"/>
      <c r="G179" s="275" t="str">
        <f t="shared" ref="G179:G186" si="2">IF(OR(B179="Yes",B179="N/A"),"🟢","🟡")</f>
        <v>🟡</v>
      </c>
      <c r="H179" s="273"/>
      <c r="I179" s="227"/>
      <c r="J179" s="227"/>
    </row>
    <row r="180" spans="1:10">
      <c r="A180" s="273" t="s">
        <v>5571</v>
      </c>
      <c r="B180" s="274" t="s">
        <v>1096</v>
      </c>
      <c r="C180" s="273"/>
      <c r="D180" s="273"/>
      <c r="E180" s="273"/>
      <c r="F180" s="273"/>
      <c r="G180" s="275" t="str">
        <f t="shared" si="2"/>
        <v>🟡</v>
      </c>
      <c r="H180" s="273"/>
      <c r="I180" s="227"/>
      <c r="J180" s="227"/>
    </row>
    <row r="181" spans="1:10">
      <c r="A181" s="273" t="s">
        <v>5572</v>
      </c>
      <c r="B181" s="274" t="s">
        <v>1096</v>
      </c>
      <c r="C181" s="273"/>
      <c r="D181" s="273"/>
      <c r="E181" s="273"/>
      <c r="F181" s="273"/>
      <c r="G181" s="275" t="str">
        <f t="shared" si="2"/>
        <v>🟡</v>
      </c>
      <c r="H181" s="273"/>
      <c r="I181" s="227"/>
      <c r="J181" s="227"/>
    </row>
    <row r="182" spans="1:10">
      <c r="A182" s="273" t="s">
        <v>5168</v>
      </c>
      <c r="B182" s="274" t="s">
        <v>1096</v>
      </c>
      <c r="C182" s="273"/>
      <c r="D182" s="273"/>
      <c r="E182" s="273"/>
      <c r="F182" s="273"/>
      <c r="G182" s="275" t="str">
        <f t="shared" si="2"/>
        <v>🟡</v>
      </c>
      <c r="H182" s="273"/>
      <c r="I182" s="227"/>
      <c r="J182" s="227"/>
    </row>
    <row r="183" spans="1:10">
      <c r="A183" s="273" t="s">
        <v>5573</v>
      </c>
      <c r="B183" s="274" t="s">
        <v>1096</v>
      </c>
      <c r="C183" s="273"/>
      <c r="D183" s="273"/>
      <c r="E183" s="273"/>
      <c r="F183" s="273"/>
      <c r="G183" s="275" t="str">
        <f t="shared" si="2"/>
        <v>🟡</v>
      </c>
      <c r="H183" s="273"/>
      <c r="I183" s="227"/>
      <c r="J183" s="227"/>
    </row>
    <row r="184" spans="1:10">
      <c r="A184" s="273" t="s">
        <v>5574</v>
      </c>
      <c r="B184" s="274" t="s">
        <v>1096</v>
      </c>
      <c r="C184" s="273"/>
      <c r="D184" s="273"/>
      <c r="E184" s="273"/>
      <c r="F184" s="273"/>
      <c r="G184" s="275" t="str">
        <f t="shared" si="2"/>
        <v>🟡</v>
      </c>
      <c r="H184" s="273"/>
      <c r="I184" s="227"/>
      <c r="J184" s="227"/>
    </row>
    <row r="185" spans="1:10">
      <c r="A185" s="273" t="s">
        <v>178</v>
      </c>
      <c r="B185" s="274" t="s">
        <v>1096</v>
      </c>
      <c r="C185" s="273"/>
      <c r="D185" s="273"/>
      <c r="E185" s="273"/>
      <c r="F185" s="273"/>
      <c r="G185" s="275" t="str">
        <f t="shared" si="2"/>
        <v>🟡</v>
      </c>
      <c r="H185" s="273"/>
      <c r="I185" s="227"/>
      <c r="J185" s="227"/>
    </row>
    <row r="186" spans="1:10" ht="25.5">
      <c r="A186" s="273" t="s">
        <v>5575</v>
      </c>
      <c r="B186" s="274" t="s">
        <v>1096</v>
      </c>
      <c r="C186" s="273"/>
      <c r="D186" s="273"/>
      <c r="E186" s="273"/>
      <c r="F186" s="273"/>
      <c r="G186" s="275" t="str">
        <f t="shared" si="2"/>
        <v>🟡</v>
      </c>
      <c r="H186" s="273"/>
      <c r="I186" s="227"/>
      <c r="J186" s="227"/>
    </row>
    <row r="187" spans="1:10">
      <c r="A187" s="320" t="s">
        <v>4946</v>
      </c>
      <c r="B187" s="320" t="s">
        <v>5583</v>
      </c>
      <c r="C187" s="192"/>
      <c r="D187" s="192"/>
      <c r="E187" s="320" t="s">
        <v>5584</v>
      </c>
      <c r="F187" s="192"/>
      <c r="G187" s="192"/>
      <c r="H187" s="192"/>
      <c r="I187" s="227"/>
      <c r="J187" s="227"/>
    </row>
    <row r="188" spans="1:10" ht="42" customHeight="1">
      <c r="A188" s="287" t="s">
        <v>5570</v>
      </c>
      <c r="B188" s="577" t="s">
        <v>5585</v>
      </c>
      <c r="C188" s="577"/>
      <c r="D188" s="577"/>
      <c r="E188" s="577" t="s">
        <v>5586</v>
      </c>
      <c r="F188" s="577"/>
      <c r="G188" s="577"/>
      <c r="H188" s="192"/>
      <c r="I188" s="227"/>
      <c r="J188" s="227"/>
    </row>
    <row r="189" spans="1:10" ht="42" customHeight="1">
      <c r="A189" s="287" t="s">
        <v>5571</v>
      </c>
      <c r="B189" s="577" t="s">
        <v>5587</v>
      </c>
      <c r="C189" s="577"/>
      <c r="D189" s="577"/>
      <c r="E189" s="577" t="s">
        <v>5588</v>
      </c>
      <c r="F189" s="577"/>
      <c r="G189" s="577"/>
      <c r="H189" s="192"/>
      <c r="I189" s="227"/>
      <c r="J189" s="227"/>
    </row>
    <row r="190" spans="1:10" ht="42" customHeight="1">
      <c r="A190" s="287" t="s">
        <v>5572</v>
      </c>
      <c r="B190" s="577" t="s">
        <v>5589</v>
      </c>
      <c r="C190" s="577"/>
      <c r="D190" s="577"/>
      <c r="E190" s="577" t="s">
        <v>5590</v>
      </c>
      <c r="F190" s="577"/>
      <c r="G190" s="577"/>
      <c r="H190" s="192"/>
      <c r="I190" s="227"/>
      <c r="J190" s="227"/>
    </row>
    <row r="191" spans="1:10" ht="42" customHeight="1">
      <c r="A191" s="287" t="s">
        <v>5168</v>
      </c>
      <c r="B191" s="577" t="s">
        <v>5591</v>
      </c>
      <c r="C191" s="577"/>
      <c r="D191" s="577"/>
      <c r="E191" s="577" t="s">
        <v>5592</v>
      </c>
      <c r="F191" s="577"/>
      <c r="G191" s="577"/>
      <c r="H191" s="192"/>
      <c r="I191" s="227"/>
      <c r="J191" s="227"/>
    </row>
    <row r="192" spans="1:10" ht="42" customHeight="1">
      <c r="A192" s="287" t="s">
        <v>5573</v>
      </c>
      <c r="B192" s="577" t="s">
        <v>5593</v>
      </c>
      <c r="C192" s="577"/>
      <c r="D192" s="577"/>
      <c r="E192" s="577" t="s">
        <v>5594</v>
      </c>
      <c r="F192" s="577"/>
      <c r="G192" s="577"/>
      <c r="H192" s="192"/>
      <c r="I192" s="227"/>
      <c r="J192" s="227"/>
    </row>
    <row r="193" spans="1:10" ht="42" customHeight="1">
      <c r="A193" s="287" t="s">
        <v>5574</v>
      </c>
      <c r="B193" s="577" t="s">
        <v>5595</v>
      </c>
      <c r="C193" s="577"/>
      <c r="D193" s="577"/>
      <c r="E193" s="577" t="s">
        <v>5596</v>
      </c>
      <c r="F193" s="577"/>
      <c r="G193" s="577"/>
      <c r="H193" s="192"/>
      <c r="I193" s="227"/>
      <c r="J193" s="227"/>
    </row>
    <row r="194" spans="1:10" ht="42" customHeight="1">
      <c r="A194" s="287" t="s">
        <v>178</v>
      </c>
      <c r="B194" s="577" t="s">
        <v>5597</v>
      </c>
      <c r="C194" s="577"/>
      <c r="D194" s="577"/>
      <c r="E194" s="577" t="s">
        <v>5598</v>
      </c>
      <c r="F194" s="577"/>
      <c r="G194" s="577"/>
      <c r="H194" s="192"/>
      <c r="I194" s="227"/>
      <c r="J194" s="227"/>
    </row>
    <row r="195" spans="1:10" ht="42" customHeight="1">
      <c r="A195" s="287" t="s">
        <v>5575</v>
      </c>
      <c r="B195" s="577" t="s">
        <v>5599</v>
      </c>
      <c r="C195" s="577"/>
      <c r="D195" s="577"/>
      <c r="E195" s="577" t="s">
        <v>5600</v>
      </c>
      <c r="F195" s="577"/>
      <c r="G195" s="577"/>
      <c r="H195" s="192"/>
      <c r="I195" s="227"/>
      <c r="J195" s="227"/>
    </row>
    <row r="196" spans="1:10">
      <c r="A196" s="272" t="s">
        <v>5576</v>
      </c>
      <c r="B196" s="276" t="str">
        <f>IF(COUNTIF(B179:B186,"No")=0,"🟢 PILOT COMPLETE / ACCEPTANCE READY","🟡 NOT COMPLETE — ACCEPTANCE GATES OPEN")</f>
        <v>🟡 NOT COMPLETE — ACCEPTANCE GATES OPEN</v>
      </c>
      <c r="C196" s="276"/>
      <c r="D196" s="276"/>
      <c r="E196" s="276"/>
      <c r="F196" s="276"/>
      <c r="G196" s="276"/>
      <c r="H196" s="276"/>
    </row>
    <row r="197" spans="1:10">
      <c r="A197" s="272" t="s">
        <v>5577</v>
      </c>
      <c r="B197" s="276">
        <f>COUNTIF(B179:B186,"No")</f>
        <v>8</v>
      </c>
      <c r="C197" s="276"/>
      <c r="D197" s="276"/>
      <c r="E197" s="276"/>
      <c r="F197" s="276"/>
      <c r="G197" s="276"/>
      <c r="H197" s="276"/>
    </row>
    <row r="198" spans="1:10">
      <c r="A198" s="272" t="s">
        <v>5578</v>
      </c>
      <c r="B198" s="276" t="str">
        <f>COUNTIF(B179:B186,"Yes")&amp;" / 8 Complete"</f>
        <v>0 / 8 Complete</v>
      </c>
      <c r="C198" s="276"/>
      <c r="D198" s="276"/>
      <c r="E198" s="276"/>
      <c r="F198" s="276"/>
      <c r="G198" s="276"/>
      <c r="H198" s="276"/>
    </row>
    <row r="199" spans="1:10" ht="90">
      <c r="A199" s="277" t="s">
        <v>5579</v>
      </c>
      <c r="B199" s="278" t="s">
        <v>5580</v>
      </c>
      <c r="C199" s="278"/>
      <c r="D199" s="278"/>
      <c r="E199" s="278"/>
      <c r="F199" s="278"/>
      <c r="G199" s="278"/>
      <c r="H199" s="278"/>
    </row>
    <row r="200" spans="1:10">
      <c r="A200" s="277"/>
      <c r="B200" s="278"/>
      <c r="C200" s="278"/>
      <c r="D200" s="278"/>
      <c r="E200" s="278"/>
      <c r="F200" s="278"/>
      <c r="G200" s="278"/>
      <c r="H200" s="278"/>
    </row>
    <row r="201" spans="1:10" ht="64.5">
      <c r="A201" s="277" t="s">
        <v>5581</v>
      </c>
      <c r="B201" s="278" t="s">
        <v>5582</v>
      </c>
      <c r="C201" s="278"/>
      <c r="D201" s="278"/>
      <c r="E201" s="278"/>
      <c r="F201" s="278"/>
      <c r="G201" s="278"/>
      <c r="H201" s="278"/>
    </row>
    <row r="202" spans="1:10">
      <c r="A202" s="575" t="s">
        <v>5694</v>
      </c>
      <c r="B202" s="575"/>
      <c r="C202" s="575"/>
      <c r="D202" s="575"/>
      <c r="E202" s="575"/>
      <c r="F202" s="575"/>
      <c r="G202" s="575"/>
      <c r="H202" s="575"/>
      <c r="I202" s="575"/>
      <c r="J202" s="575"/>
    </row>
    <row r="203" spans="1:10">
      <c r="A203" s="336" t="s">
        <v>5679</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575" t="s">
        <v>5695</v>
      </c>
      <c r="B213" s="575"/>
      <c r="C213" s="575"/>
      <c r="D213" s="575"/>
      <c r="E213" s="575"/>
      <c r="F213" s="575"/>
      <c r="G213" s="575"/>
      <c r="H213" s="575"/>
      <c r="I213" s="575"/>
      <c r="J213" s="575"/>
    </row>
    <row r="214" spans="1:10">
      <c r="A214" s="192"/>
      <c r="B214" s="192"/>
      <c r="C214" s="192"/>
      <c r="D214" s="192"/>
      <c r="E214" s="192"/>
      <c r="F214" s="192"/>
      <c r="G214" s="192"/>
      <c r="H214" s="192"/>
      <c r="I214" s="192"/>
      <c r="J214" s="192"/>
    </row>
    <row r="215" spans="1:10">
      <c r="A215" s="192" t="s">
        <v>5683</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5684</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5685</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575" t="s">
        <v>5696</v>
      </c>
      <c r="B223" s="575"/>
      <c r="C223" s="575"/>
      <c r="D223" s="575"/>
      <c r="E223" s="575"/>
      <c r="F223" s="575"/>
      <c r="G223" s="575"/>
      <c r="H223" s="575"/>
      <c r="I223" s="575"/>
      <c r="J223" s="575"/>
    </row>
    <row r="224" spans="1:10">
      <c r="A224" s="192"/>
      <c r="B224" s="192"/>
      <c r="C224" s="192"/>
      <c r="D224" s="192"/>
      <c r="E224" s="192"/>
      <c r="F224" s="192"/>
      <c r="G224" s="192"/>
      <c r="H224" s="192"/>
      <c r="I224" s="192"/>
      <c r="J224" s="192"/>
    </row>
    <row r="225" spans="1:10">
      <c r="A225" s="192" t="s">
        <v>5686</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5687</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5688</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5689</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575" t="s">
        <v>5697</v>
      </c>
      <c r="B235" s="575"/>
      <c r="C235" s="575"/>
      <c r="D235" s="575"/>
      <c r="E235" s="575"/>
      <c r="F235" s="575"/>
      <c r="G235" s="575"/>
      <c r="H235" s="575"/>
      <c r="I235" s="575"/>
      <c r="J235" s="575"/>
    </row>
    <row r="236" spans="1:10">
      <c r="A236" s="192"/>
      <c r="B236" s="192"/>
      <c r="C236" s="192"/>
      <c r="D236" s="192"/>
      <c r="E236" s="192"/>
      <c r="F236" s="192"/>
      <c r="G236" s="192"/>
      <c r="H236" s="192"/>
      <c r="I236" s="192"/>
      <c r="J236" s="192"/>
    </row>
    <row r="237" spans="1:10">
      <c r="A237" s="192" t="s">
        <v>5690</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t="s">
        <v>5691</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5692</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5693</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337"/>
      <c r="B247" s="337"/>
      <c r="C247" s="337"/>
      <c r="D247" s="337"/>
      <c r="E247" s="337"/>
      <c r="F247" s="337"/>
      <c r="G247" s="337"/>
      <c r="H247" s="337"/>
      <c r="I247" s="337"/>
      <c r="J247" s="337"/>
    </row>
    <row r="248" spans="1:10">
      <c r="A248" s="337"/>
      <c r="B248" s="337"/>
      <c r="C248" s="337"/>
      <c r="D248" s="337"/>
      <c r="E248" s="337"/>
      <c r="F248" s="337"/>
      <c r="G248" s="337"/>
      <c r="H248" s="337"/>
      <c r="I248" s="337"/>
      <c r="J248" s="337"/>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192"/>
      <c r="B256" s="192"/>
      <c r="C256" s="192"/>
      <c r="D256" s="192"/>
      <c r="E256" s="192"/>
      <c r="F256" s="192"/>
      <c r="G256" s="192"/>
      <c r="H256" s="192"/>
      <c r="I256" s="192"/>
      <c r="J256" s="192"/>
    </row>
    <row r="257" spans="1:10">
      <c r="A257" s="316"/>
      <c r="B257" s="316"/>
      <c r="C257" s="316"/>
      <c r="D257" s="316"/>
      <c r="E257" s="316"/>
      <c r="F257" s="316"/>
      <c r="G257" s="599"/>
      <c r="H257" s="599"/>
      <c r="I257" s="599"/>
      <c r="J257" s="599"/>
    </row>
  </sheetData>
  <mergeCells count="121">
    <mergeCell ref="A235:C235"/>
    <mergeCell ref="D235:F235"/>
    <mergeCell ref="G235:J235"/>
    <mergeCell ref="G257:J257"/>
    <mergeCell ref="A213:C213"/>
    <mergeCell ref="D213:F213"/>
    <mergeCell ref="G213:J213"/>
    <mergeCell ref="A223:C223"/>
    <mergeCell ref="D223:F223"/>
    <mergeCell ref="G223:J223"/>
    <mergeCell ref="B195:D195"/>
    <mergeCell ref="E195:G195"/>
    <mergeCell ref="A202:C202"/>
    <mergeCell ref="D202:F202"/>
    <mergeCell ref="G202:J202"/>
    <mergeCell ref="B192:D192"/>
    <mergeCell ref="E192:G192"/>
    <mergeCell ref="B193:D193"/>
    <mergeCell ref="E193:G193"/>
    <mergeCell ref="B194:D194"/>
    <mergeCell ref="E194:G194"/>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67:J167"/>
    <mergeCell ref="B168:J168"/>
    <mergeCell ref="B169:J169"/>
    <mergeCell ref="B170:J170"/>
    <mergeCell ref="B171:J171"/>
    <mergeCell ref="A162:B162"/>
    <mergeCell ref="C162:D162"/>
    <mergeCell ref="E162:J162"/>
    <mergeCell ref="A164:C164"/>
    <mergeCell ref="B166:J166"/>
    <mergeCell ref="G157:J157"/>
    <mergeCell ref="G158:J158"/>
    <mergeCell ref="G159:J159"/>
    <mergeCell ref="G160:J160"/>
    <mergeCell ref="G161:J161"/>
    <mergeCell ref="A154:C154"/>
    <mergeCell ref="D154:F154"/>
    <mergeCell ref="G154:J154"/>
    <mergeCell ref="G155:J155"/>
    <mergeCell ref="G156:J156"/>
    <mergeCell ref="G148:J148"/>
    <mergeCell ref="G149:J149"/>
    <mergeCell ref="G150:J150"/>
    <mergeCell ref="G151:J151"/>
    <mergeCell ref="A152:D153"/>
    <mergeCell ref="E152:J153"/>
    <mergeCell ref="G145:J145"/>
    <mergeCell ref="A146:C146"/>
    <mergeCell ref="D146:F146"/>
    <mergeCell ref="G146:J146"/>
    <mergeCell ref="G147:J147"/>
    <mergeCell ref="G140:J140"/>
    <mergeCell ref="G141:J141"/>
    <mergeCell ref="G142:J142"/>
    <mergeCell ref="G143:J143"/>
    <mergeCell ref="A144:B144"/>
    <mergeCell ref="C144:D144"/>
    <mergeCell ref="E144:J144"/>
    <mergeCell ref="A137:C137"/>
    <mergeCell ref="D137:F137"/>
    <mergeCell ref="G137:J137"/>
    <mergeCell ref="G138:J138"/>
    <mergeCell ref="G139:J139"/>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19:J119"/>
    <mergeCell ref="G121:J121"/>
    <mergeCell ref="A123:B123"/>
    <mergeCell ref="E123:J123"/>
    <mergeCell ref="A125:C125"/>
    <mergeCell ref="D125:F125"/>
    <mergeCell ref="G125:J125"/>
    <mergeCell ref="A116:C116"/>
    <mergeCell ref="D116:F116"/>
    <mergeCell ref="G116:J116"/>
    <mergeCell ref="G117:J117"/>
    <mergeCell ref="G118:J118"/>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s>
  <conditionalFormatting sqref="B118:B122">
    <cfRule type="expression" dxfId="67" priority="21">
      <formula>B118="Complete"</formula>
    </cfRule>
    <cfRule type="expression" dxfId="66" priority="22">
      <formula>B118="In Progress"</formula>
    </cfRule>
    <cfRule type="expression" dxfId="65" priority="23">
      <formula>B118="At Risk"</formula>
    </cfRule>
    <cfRule type="expression" dxfId="64" priority="24">
      <formula>B118="Blocked"</formula>
    </cfRule>
    <cfRule type="expression" dxfId="63" priority="25">
      <formula>B118="Not Started"</formula>
    </cfRule>
  </conditionalFormatting>
  <conditionalFormatting sqref="B127:B134">
    <cfRule type="expression" dxfId="62" priority="1">
      <formula>B127="Complete"</formula>
    </cfRule>
    <cfRule type="expression" dxfId="61" priority="2">
      <formula>B127="In Progress"</formula>
    </cfRule>
    <cfRule type="expression" dxfId="60" priority="3">
      <formula>B127="At Risk"</formula>
    </cfRule>
    <cfRule type="expression" dxfId="59" priority="4">
      <formula>B127="Blocked"</formula>
    </cfRule>
    <cfRule type="expression" dxfId="58" priority="5">
      <formula>B127="Not Started"</formula>
    </cfRule>
  </conditionalFormatting>
  <conditionalFormatting sqref="B139:B143">
    <cfRule type="expression" dxfId="57" priority="30">
      <formula>B139="Not Started"</formula>
    </cfRule>
    <cfRule type="expression" dxfId="56" priority="29">
      <formula>B139="Blocked"</formula>
    </cfRule>
    <cfRule type="expression" dxfId="55" priority="28">
      <formula>B139="At Risk"</formula>
    </cfRule>
    <cfRule type="expression" dxfId="54" priority="27">
      <formula>B139="In Progress"</formula>
    </cfRule>
    <cfRule type="expression" dxfId="53" priority="26">
      <formula>B139="Complete"</formula>
    </cfRule>
  </conditionalFormatting>
  <conditionalFormatting sqref="B148:B151">
    <cfRule type="expression" dxfId="52" priority="6">
      <formula>B148="Complete"</formula>
    </cfRule>
    <cfRule type="expression" dxfId="51" priority="7">
      <formula>B148="In Progress"</formula>
    </cfRule>
    <cfRule type="expression" dxfId="50" priority="8">
      <formula>B148="At Risk"</formula>
    </cfRule>
    <cfRule type="expression" dxfId="49" priority="9">
      <formula>B148="Blocked"</formula>
    </cfRule>
    <cfRule type="expression" dxfId="48" priority="10">
      <formula>B148="Not Started"</formula>
    </cfRule>
  </conditionalFormatting>
  <conditionalFormatting sqref="B156:B161">
    <cfRule type="expression" dxfId="47" priority="11">
      <formula>B156="Complete"</formula>
    </cfRule>
    <cfRule type="expression" dxfId="46" priority="12">
      <formula>B156="In Progress"</formula>
    </cfRule>
    <cfRule type="expression" dxfId="45" priority="13">
      <formula>B156="At Risk"</formula>
    </cfRule>
    <cfRule type="expression" dxfId="44" priority="14">
      <formula>B156="Blocked"</formula>
    </cfRule>
    <cfRule type="expression" dxfId="43" priority="15">
      <formula>B156="Not Started"</formula>
    </cfRule>
  </conditionalFormatting>
  <conditionalFormatting sqref="B179:B186">
    <cfRule type="expression" dxfId="42" priority="82">
      <formula>B179="Yes"</formula>
    </cfRule>
    <cfRule type="expression" dxfId="41" priority="83">
      <formula>B179="N/A"</formula>
    </cfRule>
    <cfRule type="expression" dxfId="40" priority="84">
      <formula>B179="No"</formula>
    </cfRule>
  </conditionalFormatting>
  <conditionalFormatting sqref="B196:H196">
    <cfRule type="expression" dxfId="39" priority="86">
      <formula>COUNTIF($B$6:$B$13,"No")&gt;0</formula>
    </cfRule>
    <cfRule type="expression" dxfId="38" priority="85">
      <formula>COUNTIF($B$6:$B$13,"No")=0</formula>
    </cfRule>
  </conditionalFormatting>
  <conditionalFormatting sqref="C123:D123">
    <cfRule type="dataBar" priority="37">
      <dataBar>
        <cfvo type="num" val="0"/>
        <cfvo type="num" val="1"/>
        <color rgb="FF5B9BD5"/>
      </dataBar>
    </cfRule>
  </conditionalFormatting>
  <conditionalFormatting sqref="C127:D134">
    <cfRule type="expression" dxfId="37" priority="32">
      <formula>C127="No"</formula>
    </cfRule>
    <cfRule type="expression" dxfId="36" priority="31">
      <formula>C127="Yes"</formula>
    </cfRule>
    <cfRule type="expression" dxfId="35"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4" priority="17">
      <formula>C156="No"</formula>
    </cfRule>
    <cfRule type="expression" dxfId="33" priority="16">
      <formula>C156="Yes"</formula>
    </cfRule>
    <cfRule type="expression" dxfId="32"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1" priority="87">
      <formula>E5="Pass"</formula>
    </cfRule>
    <cfRule type="expression" dxfId="30" priority="88">
      <formula>E5="Verify"</formula>
    </cfRule>
    <cfRule type="expression" dxfId="29" priority="89">
      <formula>E5="Fail"</formula>
    </cfRule>
    <cfRule type="expression" dxfId="28" priority="90">
      <formula>E5="Not Started"</formula>
    </cfRule>
  </conditionalFormatting>
  <conditionalFormatting sqref="F3">
    <cfRule type="expression" dxfId="27" priority="91">
      <formula>F3="Yes"</formula>
    </cfRule>
    <cfRule type="expression" dxfId="26" priority="92">
      <formula>F3="No"</formula>
    </cfRule>
  </conditionalFormatting>
  <conditionalFormatting sqref="F139:F143">
    <cfRule type="expression" dxfId="25" priority="35">
      <formula>F139="Fail"</formula>
    </cfRule>
    <cfRule type="expression" dxfId="24" priority="36">
      <formula>F139="Pending"</formula>
    </cfRule>
    <cfRule type="expression" dxfId="23" priority="34">
      <formula>F139="Pass"</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Lookup_Lists!$A$36:$A$42</xm:f>
          </x14:formula1>
          <xm:sqref>B118:B122 B127:B134 B156:B161</xm:sqref>
        </x14:dataValidation>
        <x14:dataValidation type="list" allowBlank="1" showInputMessage="1" showErrorMessage="1" xr:uid="{9B0AC7C6-1EC3-4AEC-BE98-8EA7914E3E3B}">
          <x14:formula1>
            <xm:f>Lookup_Lists!$L$37:$L$39</xm:f>
          </x14:formula1>
          <xm:sqref>C139:E143 J2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topLeftCell="A41" zoomScale="70" zoomScaleNormal="70" workbookViewId="0">
      <selection activeCell="E216" sqref="E216:E225"/>
    </sheetView>
  </sheetViews>
  <sheetFormatPr defaultColWidth="8.7109375" defaultRowHeight="15"/>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7109375" style="8" customWidth="1"/>
    <col min="14" max="16384" width="8.7109375" style="8"/>
  </cols>
  <sheetData>
    <row r="1" spans="1:11" ht="15.75">
      <c r="A1" s="936" t="s">
        <v>4499</v>
      </c>
      <c r="B1" s="896"/>
      <c r="C1" s="896"/>
      <c r="D1" s="896"/>
      <c r="E1" s="896"/>
      <c r="F1" s="896"/>
      <c r="G1" s="896"/>
      <c r="H1" s="896"/>
      <c r="I1" s="896"/>
      <c r="J1" s="137"/>
      <c r="K1" s="137"/>
    </row>
    <row r="2" spans="1:11">
      <c r="A2" s="60" t="s">
        <v>4500</v>
      </c>
      <c r="B2" s="117" t="s">
        <v>4501</v>
      </c>
      <c r="C2" s="60" t="s">
        <v>4502</v>
      </c>
      <c r="D2" s="138">
        <v>46199.541807800917</v>
      </c>
      <c r="E2" s="60" t="s">
        <v>4503</v>
      </c>
      <c r="F2" s="117">
        <v>15</v>
      </c>
      <c r="G2" s="60" t="s">
        <v>4504</v>
      </c>
      <c r="H2" s="118" t="s">
        <v>4505</v>
      </c>
      <c r="I2" s="60"/>
      <c r="J2" s="119"/>
    </row>
    <row r="3" spans="1:11" ht="51">
      <c r="A3" s="60" t="s">
        <v>4506</v>
      </c>
      <c r="B3" s="120" t="s">
        <v>860</v>
      </c>
      <c r="C3" s="121" t="s">
        <v>184</v>
      </c>
      <c r="D3" s="122" t="s">
        <v>4507</v>
      </c>
      <c r="E3" s="60" t="s">
        <v>4508</v>
      </c>
      <c r="F3" s="122" t="s">
        <v>4509</v>
      </c>
      <c r="G3" s="60" t="s">
        <v>4510</v>
      </c>
      <c r="H3" s="122">
        <v>2363</v>
      </c>
      <c r="I3" s="60"/>
      <c r="J3" s="122"/>
    </row>
    <row r="4" spans="1:11" ht="51">
      <c r="A4" s="60" t="s">
        <v>2</v>
      </c>
      <c r="B4" s="122" t="s">
        <v>4511</v>
      </c>
      <c r="C4" s="60"/>
      <c r="D4" s="122"/>
      <c r="E4" s="60"/>
      <c r="F4" s="122"/>
      <c r="G4" s="60"/>
      <c r="H4" s="123"/>
      <c r="I4" s="124"/>
      <c r="J4" s="124"/>
    </row>
    <row r="5" spans="1:11">
      <c r="A5" s="60"/>
      <c r="B5" s="122"/>
      <c r="C5" s="60"/>
      <c r="D5" s="125"/>
      <c r="E5" s="60"/>
      <c r="F5" s="122"/>
      <c r="G5" s="60"/>
      <c r="H5" s="122"/>
      <c r="I5" s="60"/>
      <c r="J5" s="122"/>
    </row>
    <row r="6" spans="1:11">
      <c r="A6" s="50" t="s">
        <v>4512</v>
      </c>
      <c r="B6" s="50" t="s">
        <v>4513</v>
      </c>
      <c r="C6" s="50" t="s">
        <v>4514</v>
      </c>
      <c r="D6" s="50" t="s">
        <v>4515</v>
      </c>
      <c r="E6" s="50" t="s">
        <v>4516</v>
      </c>
      <c r="F6" s="50"/>
      <c r="G6" s="50"/>
      <c r="H6" s="50"/>
      <c r="I6" s="50"/>
      <c r="J6" s="50"/>
      <c r="K6" s="50"/>
    </row>
    <row r="7" spans="1:11">
      <c r="A7" s="129"/>
      <c r="B7" s="129" t="s">
        <v>4517</v>
      </c>
      <c r="C7" s="129">
        <v>8</v>
      </c>
      <c r="D7" s="129">
        <v>29</v>
      </c>
      <c r="E7" s="129">
        <v>22</v>
      </c>
      <c r="F7" s="129"/>
      <c r="G7" s="129"/>
      <c r="H7" s="129"/>
      <c r="I7" s="129"/>
      <c r="J7" s="129"/>
      <c r="K7" s="129"/>
    </row>
    <row r="8" spans="1:11">
      <c r="A8" s="129"/>
      <c r="B8" s="129" t="s">
        <v>4518</v>
      </c>
      <c r="C8" s="129">
        <v>32</v>
      </c>
      <c r="D8" s="129">
        <v>70</v>
      </c>
      <c r="E8" s="129">
        <v>39</v>
      </c>
      <c r="F8" s="129"/>
      <c r="G8" s="129"/>
      <c r="H8" s="129"/>
      <c r="I8" s="129"/>
      <c r="J8" s="129"/>
      <c r="K8" s="129"/>
    </row>
    <row r="9" spans="1:11">
      <c r="A9" s="129"/>
      <c r="B9" s="129" t="s">
        <v>4519</v>
      </c>
      <c r="C9" s="129">
        <v>73</v>
      </c>
      <c r="D9" s="129">
        <v>90</v>
      </c>
      <c r="E9" s="129">
        <v>18</v>
      </c>
      <c r="F9" s="129"/>
      <c r="G9" s="129"/>
      <c r="H9" s="129"/>
      <c r="I9" s="129"/>
      <c r="J9" s="129"/>
      <c r="K9" s="129"/>
    </row>
    <row r="10" spans="1:11">
      <c r="A10" s="129"/>
      <c r="B10" s="129" t="s">
        <v>4520</v>
      </c>
      <c r="C10" s="129">
        <v>93</v>
      </c>
      <c r="D10" s="129">
        <v>107</v>
      </c>
      <c r="E10" s="129">
        <v>15</v>
      </c>
      <c r="F10" s="129"/>
      <c r="G10" s="129"/>
      <c r="H10" s="129"/>
      <c r="I10" s="129"/>
      <c r="J10" s="129"/>
      <c r="K10" s="129"/>
    </row>
    <row r="11" spans="1:11">
      <c r="A11" s="129"/>
      <c r="B11" s="129" t="s">
        <v>4521</v>
      </c>
      <c r="C11" s="129">
        <v>110</v>
      </c>
      <c r="D11" s="129">
        <v>120</v>
      </c>
      <c r="E11" s="129">
        <v>11</v>
      </c>
      <c r="F11" s="129"/>
      <c r="G11" s="129"/>
      <c r="H11" s="129"/>
      <c r="I11" s="129"/>
      <c r="J11" s="129"/>
      <c r="K11" s="129"/>
    </row>
    <row r="12" spans="1:11">
      <c r="A12" s="129"/>
      <c r="B12" s="129" t="s">
        <v>485</v>
      </c>
      <c r="C12" s="129">
        <v>123</v>
      </c>
      <c r="D12" s="129">
        <v>133</v>
      </c>
      <c r="E12" s="129">
        <v>11</v>
      </c>
      <c r="F12" s="129"/>
      <c r="G12" s="129"/>
      <c r="H12" s="129"/>
      <c r="I12" s="129"/>
      <c r="J12" s="129"/>
      <c r="K12" s="129"/>
    </row>
    <row r="13" spans="1:11">
      <c r="A13" s="129"/>
      <c r="B13" s="129" t="s">
        <v>4522</v>
      </c>
      <c r="C13" s="129">
        <v>136</v>
      </c>
      <c r="D13" s="129">
        <v>144</v>
      </c>
      <c r="E13" s="129">
        <v>9</v>
      </c>
      <c r="F13" s="129"/>
      <c r="G13" s="129"/>
      <c r="H13" s="129"/>
      <c r="I13" s="129"/>
      <c r="J13" s="129"/>
      <c r="K13" s="129"/>
    </row>
    <row r="14" spans="1:11">
      <c r="A14" s="129"/>
      <c r="B14" s="129" t="s">
        <v>4523</v>
      </c>
      <c r="C14" s="129">
        <v>147</v>
      </c>
      <c r="D14" s="129">
        <v>158</v>
      </c>
      <c r="E14" s="129">
        <v>12</v>
      </c>
      <c r="F14" s="129"/>
      <c r="G14" s="129"/>
      <c r="H14" s="129"/>
      <c r="I14" s="129"/>
      <c r="J14" s="129"/>
      <c r="K14" s="129"/>
    </row>
    <row r="15" spans="1:11">
      <c r="A15" s="129"/>
      <c r="B15" s="129" t="s">
        <v>4524</v>
      </c>
      <c r="C15" s="129">
        <v>161</v>
      </c>
      <c r="D15" s="129">
        <v>173</v>
      </c>
      <c r="E15" s="129">
        <v>13</v>
      </c>
      <c r="F15" s="129"/>
      <c r="G15" s="129"/>
      <c r="H15" s="129"/>
      <c r="I15" s="129"/>
      <c r="J15" s="129"/>
      <c r="K15" s="129"/>
    </row>
    <row r="16" spans="1:11">
      <c r="A16" s="129"/>
      <c r="B16" s="129" t="s">
        <v>556</v>
      </c>
      <c r="C16" s="129">
        <v>176</v>
      </c>
      <c r="D16" s="129">
        <v>183</v>
      </c>
      <c r="E16" s="129">
        <v>8</v>
      </c>
      <c r="F16" s="129"/>
      <c r="G16" s="129"/>
      <c r="H16" s="129"/>
      <c r="I16" s="129"/>
      <c r="J16" s="129"/>
      <c r="K16" s="129"/>
    </row>
    <row r="17" spans="1:11">
      <c r="A17" s="129"/>
      <c r="B17" s="129" t="s">
        <v>4525</v>
      </c>
      <c r="C17" s="129">
        <v>186</v>
      </c>
      <c r="D17" s="129">
        <v>195</v>
      </c>
      <c r="E17" s="129">
        <v>10</v>
      </c>
      <c r="F17" s="129"/>
      <c r="G17" s="129"/>
      <c r="H17" s="129"/>
      <c r="I17" s="129"/>
      <c r="J17" s="129"/>
      <c r="K17" s="129"/>
    </row>
    <row r="18" spans="1:11">
      <c r="A18" s="129"/>
      <c r="B18" s="129" t="s">
        <v>4526</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4527</v>
      </c>
      <c r="C20" s="129">
        <v>228</v>
      </c>
      <c r="D20" s="129">
        <v>240</v>
      </c>
      <c r="E20" s="129">
        <v>13</v>
      </c>
      <c r="F20" s="129"/>
      <c r="G20" s="129"/>
      <c r="H20" s="129"/>
      <c r="I20" s="129"/>
      <c r="J20" s="129"/>
      <c r="K20" s="129"/>
    </row>
    <row r="21" spans="1:11">
      <c r="A21" s="129"/>
      <c r="B21" s="129" t="s">
        <v>4528</v>
      </c>
      <c r="C21" s="129">
        <v>243</v>
      </c>
      <c r="D21" s="129">
        <v>253</v>
      </c>
      <c r="E21" s="129">
        <v>11</v>
      </c>
      <c r="F21" s="129"/>
      <c r="G21" s="129"/>
      <c r="H21" s="129"/>
      <c r="I21" s="129"/>
      <c r="J21" s="129"/>
      <c r="K21" s="129"/>
    </row>
    <row r="22" spans="1:11" ht="25.5">
      <c r="A22" s="129" t="s">
        <v>4517</v>
      </c>
      <c r="B22" s="129" t="s">
        <v>4529</v>
      </c>
      <c r="C22" s="129">
        <v>3</v>
      </c>
      <c r="D22" s="129" t="s">
        <v>4530</v>
      </c>
      <c r="E22" s="129" t="s">
        <v>677</v>
      </c>
      <c r="F22" s="129" t="s">
        <v>4531</v>
      </c>
      <c r="G22" s="129" t="s">
        <v>4532</v>
      </c>
      <c r="H22" s="129" t="s">
        <v>4533</v>
      </c>
      <c r="I22" s="129" t="s">
        <v>485</v>
      </c>
      <c r="J22" s="129" t="s">
        <v>4534</v>
      </c>
      <c r="K22" s="129" t="s">
        <v>4535</v>
      </c>
    </row>
    <row r="23" spans="1:11" ht="25.5">
      <c r="A23" s="129" t="s">
        <v>4517</v>
      </c>
      <c r="B23" s="129" t="s">
        <v>4536</v>
      </c>
      <c r="C23" s="129">
        <v>5</v>
      </c>
      <c r="D23" s="129" t="s">
        <v>4537</v>
      </c>
      <c r="E23" s="129" t="s">
        <v>677</v>
      </c>
      <c r="F23" s="129" t="s">
        <v>4113</v>
      </c>
      <c r="G23" s="129" t="s">
        <v>4538</v>
      </c>
      <c r="H23" s="129" t="s">
        <v>4539</v>
      </c>
      <c r="I23" s="129" t="s">
        <v>4540</v>
      </c>
      <c r="J23" s="129" t="s">
        <v>4541</v>
      </c>
      <c r="K23" s="129" t="s">
        <v>4542</v>
      </c>
    </row>
    <row r="24" spans="1:11" ht="25.5">
      <c r="A24" s="129" t="s">
        <v>4517</v>
      </c>
      <c r="B24" s="129" t="s">
        <v>4543</v>
      </c>
      <c r="C24" s="129">
        <v>5</v>
      </c>
      <c r="D24" s="129" t="s">
        <v>4544</v>
      </c>
      <c r="E24" s="129" t="s">
        <v>677</v>
      </c>
      <c r="F24" s="129" t="s">
        <v>4108</v>
      </c>
      <c r="G24" s="129" t="s">
        <v>4545</v>
      </c>
      <c r="H24" s="129" t="s">
        <v>4546</v>
      </c>
      <c r="I24" s="129" t="s">
        <v>4547</v>
      </c>
      <c r="J24" s="129" t="s">
        <v>4548</v>
      </c>
      <c r="K24" s="129" t="s">
        <v>4542</v>
      </c>
    </row>
    <row r="25" spans="1:11" ht="25.5">
      <c r="A25" s="129" t="s">
        <v>4517</v>
      </c>
      <c r="B25" s="129" t="s">
        <v>4549</v>
      </c>
      <c r="C25" s="129">
        <v>6</v>
      </c>
      <c r="D25" s="129" t="s">
        <v>4550</v>
      </c>
      <c r="E25" s="129" t="s">
        <v>677</v>
      </c>
      <c r="F25" s="129" t="s">
        <v>2808</v>
      </c>
      <c r="G25" s="129" t="s">
        <v>4551</v>
      </c>
      <c r="H25" s="129" t="s">
        <v>4552</v>
      </c>
      <c r="I25" s="129" t="s">
        <v>4553</v>
      </c>
      <c r="J25" s="129" t="s">
        <v>4554</v>
      </c>
      <c r="K25" s="129" t="s">
        <v>4555</v>
      </c>
    </row>
    <row r="26" spans="1:11" ht="25.5">
      <c r="A26" s="129" t="s">
        <v>4517</v>
      </c>
      <c r="B26" s="129" t="s">
        <v>4556</v>
      </c>
      <c r="C26" s="129">
        <v>6</v>
      </c>
      <c r="D26" s="129" t="s">
        <v>4557</v>
      </c>
      <c r="E26" s="129" t="s">
        <v>677</v>
      </c>
      <c r="F26" s="129" t="s">
        <v>584</v>
      </c>
      <c r="G26" s="129" t="s">
        <v>4558</v>
      </c>
      <c r="H26" s="129" t="s">
        <v>4559</v>
      </c>
      <c r="I26" s="129" t="s">
        <v>4524</v>
      </c>
      <c r="J26" s="129" t="s">
        <v>4560</v>
      </c>
      <c r="K26" s="129" t="s">
        <v>4555</v>
      </c>
    </row>
    <row r="27" spans="1:11" ht="25.5">
      <c r="A27" s="129" t="s">
        <v>4517</v>
      </c>
      <c r="B27" s="129" t="s">
        <v>4561</v>
      </c>
      <c r="C27" s="129">
        <v>6</v>
      </c>
      <c r="D27" s="129" t="s">
        <v>4562</v>
      </c>
      <c r="E27" s="129" t="s">
        <v>677</v>
      </c>
      <c r="F27" s="129" t="s">
        <v>2834</v>
      </c>
      <c r="G27" s="129" t="s">
        <v>4563</v>
      </c>
      <c r="H27" s="129" t="s">
        <v>4564</v>
      </c>
      <c r="I27" s="129" t="s">
        <v>4565</v>
      </c>
      <c r="J27" s="129" t="s">
        <v>4566</v>
      </c>
      <c r="K27" s="129" t="s">
        <v>4555</v>
      </c>
    </row>
    <row r="28" spans="1:11" ht="25.5">
      <c r="A28" s="129" t="s">
        <v>4517</v>
      </c>
      <c r="B28" s="129" t="s">
        <v>4567</v>
      </c>
      <c r="C28" s="129"/>
      <c r="D28" s="129" t="s">
        <v>4568</v>
      </c>
      <c r="E28" s="129" t="s">
        <v>677</v>
      </c>
      <c r="F28" s="129" t="s">
        <v>4569</v>
      </c>
      <c r="G28" s="129" t="s">
        <v>4570</v>
      </c>
      <c r="H28" s="129" t="s">
        <v>4571</v>
      </c>
      <c r="I28" s="129" t="s">
        <v>4525</v>
      </c>
      <c r="J28" s="129" t="s">
        <v>4572</v>
      </c>
      <c r="K28" s="129" t="s">
        <v>4573</v>
      </c>
    </row>
    <row r="29" spans="1:11" ht="38.25">
      <c r="A29" s="129" t="s">
        <v>4517</v>
      </c>
      <c r="B29" s="129" t="s">
        <v>4574</v>
      </c>
      <c r="C29" s="129">
        <v>9</v>
      </c>
      <c r="D29" s="129" t="s">
        <v>4575</v>
      </c>
      <c r="E29" s="129" t="s">
        <v>4576</v>
      </c>
      <c r="F29" s="129" t="s">
        <v>4577</v>
      </c>
      <c r="G29" s="129" t="s">
        <v>4578</v>
      </c>
      <c r="H29" s="129" t="s">
        <v>4579</v>
      </c>
      <c r="I29" s="129" t="s">
        <v>4580</v>
      </c>
      <c r="J29" s="129" t="s">
        <v>4581</v>
      </c>
      <c r="K29" s="129" t="s">
        <v>4582</v>
      </c>
    </row>
    <row r="32" spans="1:11" ht="15.75">
      <c r="A32" s="935" t="s">
        <v>4583</v>
      </c>
      <c r="B32" s="896"/>
      <c r="C32" s="896"/>
      <c r="D32" s="137"/>
      <c r="E32" s="137"/>
      <c r="F32" s="137"/>
      <c r="G32" s="137"/>
      <c r="H32" s="137"/>
      <c r="I32" s="137"/>
      <c r="J32" s="137"/>
      <c r="K32" s="137"/>
    </row>
    <row r="33" spans="1:11" ht="38.25">
      <c r="A33" s="50" t="s">
        <v>4518</v>
      </c>
      <c r="B33" s="50" t="s">
        <v>4584</v>
      </c>
      <c r="C33" s="50"/>
      <c r="D33" s="50"/>
      <c r="E33" s="50"/>
      <c r="F33" s="50"/>
      <c r="G33" s="50"/>
      <c r="H33" s="50"/>
      <c r="I33" s="50"/>
      <c r="J33" s="50"/>
      <c r="K33" s="50"/>
    </row>
    <row r="34" spans="1:11">
      <c r="A34" s="129" t="s">
        <v>4518</v>
      </c>
      <c r="B34" s="129" t="s">
        <v>338</v>
      </c>
      <c r="C34" s="129" t="s">
        <v>286</v>
      </c>
      <c r="D34" s="129" t="s">
        <v>4585</v>
      </c>
      <c r="E34" s="129" t="s">
        <v>263</v>
      </c>
      <c r="F34" s="129" t="s">
        <v>4586</v>
      </c>
      <c r="G34" s="129" t="s">
        <v>4587</v>
      </c>
      <c r="H34" s="129" t="s">
        <v>77</v>
      </c>
      <c r="I34" s="129" t="s">
        <v>4588</v>
      </c>
      <c r="J34" s="129" t="s">
        <v>4589</v>
      </c>
      <c r="K34" s="129" t="s">
        <v>4590</v>
      </c>
    </row>
    <row r="35" spans="1:11" ht="51">
      <c r="A35" s="129" t="s">
        <v>4518</v>
      </c>
      <c r="B35" s="129" t="s">
        <v>4591</v>
      </c>
      <c r="C35" s="129" t="s">
        <v>4592</v>
      </c>
      <c r="D35" s="129"/>
      <c r="E35" s="129"/>
      <c r="F35" s="129"/>
      <c r="G35" s="129" t="s">
        <v>488</v>
      </c>
      <c r="H35" s="129" t="s">
        <v>677</v>
      </c>
      <c r="I35" s="129" t="s">
        <v>4593</v>
      </c>
      <c r="J35" s="129" t="s">
        <v>4594</v>
      </c>
      <c r="K35" s="129" t="s">
        <v>4595</v>
      </c>
    </row>
    <row r="36" spans="1:11" ht="51">
      <c r="A36" s="129" t="s">
        <v>4518</v>
      </c>
      <c r="B36" s="129" t="s">
        <v>4591</v>
      </c>
      <c r="C36" s="129" t="s">
        <v>4596</v>
      </c>
      <c r="D36" s="129" t="s">
        <v>4597</v>
      </c>
      <c r="E36" s="129"/>
      <c r="F36" s="129"/>
      <c r="G36" s="129" t="s">
        <v>488</v>
      </c>
      <c r="H36" s="129" t="s">
        <v>677</v>
      </c>
      <c r="I36" s="129" t="s">
        <v>4593</v>
      </c>
      <c r="J36" s="129" t="s">
        <v>4594</v>
      </c>
      <c r="K36" s="129" t="s">
        <v>4595</v>
      </c>
    </row>
    <row r="37" spans="1:11" ht="51">
      <c r="A37" s="129" t="s">
        <v>4518</v>
      </c>
      <c r="B37" s="129" t="s">
        <v>4591</v>
      </c>
      <c r="C37" s="129" t="s">
        <v>4598</v>
      </c>
      <c r="D37" s="129" t="s">
        <v>4599</v>
      </c>
      <c r="E37" s="129"/>
      <c r="F37" s="129"/>
      <c r="G37" s="129" t="s">
        <v>488</v>
      </c>
      <c r="H37" s="129" t="s">
        <v>677</v>
      </c>
      <c r="I37" s="129" t="s">
        <v>4593</v>
      </c>
      <c r="J37" s="129" t="s">
        <v>4594</v>
      </c>
      <c r="K37" s="129" t="s">
        <v>4595</v>
      </c>
    </row>
    <row r="38" spans="1:11" ht="51">
      <c r="A38" s="129" t="s">
        <v>4518</v>
      </c>
      <c r="B38" s="129" t="s">
        <v>4591</v>
      </c>
      <c r="C38" s="129" t="s">
        <v>4600</v>
      </c>
      <c r="D38" s="129" t="s">
        <v>4601</v>
      </c>
      <c r="E38" s="129"/>
      <c r="F38" s="129"/>
      <c r="G38" s="129" t="s">
        <v>488</v>
      </c>
      <c r="H38" s="129" t="s">
        <v>677</v>
      </c>
      <c r="I38" s="129" t="s">
        <v>4593</v>
      </c>
      <c r="J38" s="129" t="s">
        <v>4594</v>
      </c>
      <c r="K38" s="129" t="s">
        <v>4595</v>
      </c>
    </row>
    <row r="39" spans="1:11" ht="51">
      <c r="A39" s="129" t="s">
        <v>4518</v>
      </c>
      <c r="B39" s="129" t="s">
        <v>4591</v>
      </c>
      <c r="C39" s="129" t="s">
        <v>4602</v>
      </c>
      <c r="D39" s="129" t="s">
        <v>4603</v>
      </c>
      <c r="E39" s="129"/>
      <c r="F39" s="129"/>
      <c r="G39" s="129" t="s">
        <v>488</v>
      </c>
      <c r="H39" s="129" t="s">
        <v>677</v>
      </c>
      <c r="I39" s="129" t="s">
        <v>4593</v>
      </c>
      <c r="J39" s="129" t="s">
        <v>4594</v>
      </c>
      <c r="K39" s="129" t="s">
        <v>4595</v>
      </c>
    </row>
    <row r="40" spans="1:11" ht="51">
      <c r="A40" s="129" t="s">
        <v>4518</v>
      </c>
      <c r="B40" s="129" t="s">
        <v>4604</v>
      </c>
      <c r="C40" s="129" t="s">
        <v>4605</v>
      </c>
      <c r="D40" s="129" t="s">
        <v>4606</v>
      </c>
      <c r="E40" s="129" t="s">
        <v>4607</v>
      </c>
      <c r="F40" s="129">
        <v>29</v>
      </c>
      <c r="G40" s="129" t="s">
        <v>391</v>
      </c>
      <c r="H40" s="129" t="s">
        <v>677</v>
      </c>
      <c r="I40" s="129" t="s">
        <v>4593</v>
      </c>
      <c r="J40" s="129" t="s">
        <v>4594</v>
      </c>
      <c r="K40" s="129" t="s">
        <v>4535</v>
      </c>
    </row>
    <row r="41" spans="1:11" ht="51">
      <c r="A41" s="129" t="s">
        <v>4518</v>
      </c>
      <c r="B41" s="129" t="s">
        <v>4608</v>
      </c>
      <c r="C41" s="129" t="s">
        <v>4609</v>
      </c>
      <c r="D41" s="129" t="s">
        <v>4606</v>
      </c>
      <c r="E41" s="129"/>
      <c r="F41" s="129"/>
      <c r="G41" s="129" t="s">
        <v>391</v>
      </c>
      <c r="H41" s="129" t="s">
        <v>677</v>
      </c>
      <c r="I41" s="129" t="s">
        <v>4593</v>
      </c>
      <c r="J41" s="129" t="s">
        <v>4594</v>
      </c>
      <c r="K41" s="129" t="s">
        <v>4535</v>
      </c>
    </row>
    <row r="42" spans="1:11" ht="51">
      <c r="A42" s="129" t="s">
        <v>4518</v>
      </c>
      <c r="B42" s="129" t="s">
        <v>4610</v>
      </c>
      <c r="C42" s="129" t="s">
        <v>4611</v>
      </c>
      <c r="D42" s="129" t="s">
        <v>4606</v>
      </c>
      <c r="E42" s="129"/>
      <c r="F42" s="129"/>
      <c r="G42" s="129" t="s">
        <v>391</v>
      </c>
      <c r="H42" s="129" t="s">
        <v>677</v>
      </c>
      <c r="I42" s="129" t="s">
        <v>4593</v>
      </c>
      <c r="J42" s="129" t="s">
        <v>4594</v>
      </c>
      <c r="K42" s="129" t="s">
        <v>4535</v>
      </c>
    </row>
    <row r="43" spans="1:11" ht="51">
      <c r="A43" s="129" t="s">
        <v>4518</v>
      </c>
      <c r="B43" s="129" t="s">
        <v>4612</v>
      </c>
      <c r="C43" s="129" t="s">
        <v>4613</v>
      </c>
      <c r="D43" s="129" t="s">
        <v>4606</v>
      </c>
      <c r="E43" s="129" t="s">
        <v>4614</v>
      </c>
      <c r="F43" s="129"/>
      <c r="G43" s="129" t="s">
        <v>391</v>
      </c>
      <c r="H43" s="129" t="s">
        <v>677</v>
      </c>
      <c r="I43" s="129" t="s">
        <v>4593</v>
      </c>
      <c r="J43" s="129" t="s">
        <v>4594</v>
      </c>
      <c r="K43" s="129" t="s">
        <v>4535</v>
      </c>
    </row>
    <row r="44" spans="1:11" ht="51">
      <c r="A44" s="129" t="s">
        <v>4518</v>
      </c>
      <c r="B44" s="129" t="s">
        <v>4615</v>
      </c>
      <c r="C44" s="129" t="s">
        <v>4616</v>
      </c>
      <c r="D44" s="129" t="s">
        <v>4606</v>
      </c>
      <c r="E44" s="129" t="s">
        <v>4617</v>
      </c>
      <c r="F44" s="129"/>
      <c r="G44" s="129" t="s">
        <v>391</v>
      </c>
      <c r="H44" s="129" t="s">
        <v>677</v>
      </c>
      <c r="I44" s="129" t="s">
        <v>4593</v>
      </c>
      <c r="J44" s="129" t="s">
        <v>4594</v>
      </c>
      <c r="K44" s="129" t="s">
        <v>4535</v>
      </c>
    </row>
    <row r="45" spans="1:11" ht="51">
      <c r="A45" s="129" t="s">
        <v>4518</v>
      </c>
      <c r="B45" s="129" t="s">
        <v>4618</v>
      </c>
      <c r="C45" s="129" t="s">
        <v>4619</v>
      </c>
      <c r="D45" s="129" t="s">
        <v>4606</v>
      </c>
      <c r="E45" s="129" t="s">
        <v>4620</v>
      </c>
      <c r="F45" s="129"/>
      <c r="G45" s="129" t="s">
        <v>391</v>
      </c>
      <c r="H45" s="129" t="s">
        <v>677</v>
      </c>
      <c r="I45" s="129" t="s">
        <v>4593</v>
      </c>
      <c r="J45" s="129" t="s">
        <v>4594</v>
      </c>
      <c r="K45" s="129" t="s">
        <v>4535</v>
      </c>
    </row>
    <row r="46" spans="1:11" ht="51">
      <c r="A46" s="129" t="s">
        <v>4518</v>
      </c>
      <c r="B46" s="129" t="s">
        <v>4621</v>
      </c>
      <c r="C46" s="129" t="s">
        <v>4622</v>
      </c>
      <c r="D46" s="129" t="s">
        <v>4606</v>
      </c>
      <c r="E46" s="129"/>
      <c r="F46" s="129"/>
      <c r="G46" s="129" t="s">
        <v>391</v>
      </c>
      <c r="H46" s="129" t="s">
        <v>677</v>
      </c>
      <c r="I46" s="129" t="s">
        <v>4593</v>
      </c>
      <c r="J46" s="129" t="s">
        <v>4594</v>
      </c>
      <c r="K46" s="129" t="s">
        <v>4535</v>
      </c>
    </row>
    <row r="47" spans="1:11" ht="51">
      <c r="A47" s="129" t="s">
        <v>4518</v>
      </c>
      <c r="B47" s="129" t="s">
        <v>4623</v>
      </c>
      <c r="C47" s="129" t="s">
        <v>4624</v>
      </c>
      <c r="D47" s="129" t="s">
        <v>4606</v>
      </c>
      <c r="E47" s="129"/>
      <c r="F47" s="129"/>
      <c r="G47" s="129" t="s">
        <v>391</v>
      </c>
      <c r="H47" s="129" t="s">
        <v>677</v>
      </c>
      <c r="I47" s="129" t="s">
        <v>4593</v>
      </c>
      <c r="J47" s="129" t="s">
        <v>4594</v>
      </c>
      <c r="K47" s="129" t="s">
        <v>4535</v>
      </c>
    </row>
    <row r="48" spans="1:11" ht="51">
      <c r="A48" s="129" t="s">
        <v>4518</v>
      </c>
      <c r="B48" s="129" t="s">
        <v>4625</v>
      </c>
      <c r="C48" s="129" t="s">
        <v>4626</v>
      </c>
      <c r="D48" s="129" t="s">
        <v>4606</v>
      </c>
      <c r="E48" s="129" t="s">
        <v>4627</v>
      </c>
      <c r="F48" s="129">
        <v>3</v>
      </c>
      <c r="G48" s="129" t="s">
        <v>391</v>
      </c>
      <c r="H48" s="129" t="s">
        <v>677</v>
      </c>
      <c r="I48" s="129" t="s">
        <v>4593</v>
      </c>
      <c r="J48" s="129" t="s">
        <v>4594</v>
      </c>
      <c r="K48" s="129" t="s">
        <v>4535</v>
      </c>
    </row>
    <row r="49" spans="1:11" ht="51">
      <c r="A49" s="129" t="s">
        <v>4518</v>
      </c>
      <c r="B49" s="129" t="s">
        <v>4628</v>
      </c>
      <c r="C49" s="129" t="s">
        <v>4629</v>
      </c>
      <c r="D49" s="129" t="s">
        <v>4606</v>
      </c>
      <c r="E49" s="129" t="s">
        <v>4630</v>
      </c>
      <c r="F49" s="129">
        <v>3</v>
      </c>
      <c r="G49" s="129" t="s">
        <v>391</v>
      </c>
      <c r="H49" s="129" t="s">
        <v>677</v>
      </c>
      <c r="I49" s="129" t="s">
        <v>4593</v>
      </c>
      <c r="J49" s="129" t="s">
        <v>4594</v>
      </c>
      <c r="K49" s="129" t="s">
        <v>4535</v>
      </c>
    </row>
    <row r="50" spans="1:11" ht="51">
      <c r="A50" s="129" t="s">
        <v>4518</v>
      </c>
      <c r="B50" s="129" t="s">
        <v>4631</v>
      </c>
      <c r="C50" s="129" t="s">
        <v>4632</v>
      </c>
      <c r="D50" s="129" t="s">
        <v>4606</v>
      </c>
      <c r="E50" s="129"/>
      <c r="F50" s="129"/>
      <c r="G50" s="129" t="s">
        <v>391</v>
      </c>
      <c r="H50" s="129" t="s">
        <v>677</v>
      </c>
      <c r="I50" s="129" t="s">
        <v>4593</v>
      </c>
      <c r="J50" s="129" t="s">
        <v>4594</v>
      </c>
      <c r="K50" s="129" t="s">
        <v>4535</v>
      </c>
    </row>
    <row r="51" spans="1:11" ht="51">
      <c r="A51" s="129" t="s">
        <v>4518</v>
      </c>
      <c r="B51" s="129" t="s">
        <v>4633</v>
      </c>
      <c r="C51" s="129" t="s">
        <v>4634</v>
      </c>
      <c r="D51" s="129" t="s">
        <v>4606</v>
      </c>
      <c r="E51" s="129" t="s">
        <v>4635</v>
      </c>
      <c r="F51" s="129">
        <v>3</v>
      </c>
      <c r="G51" s="129" t="s">
        <v>391</v>
      </c>
      <c r="H51" s="129" t="s">
        <v>677</v>
      </c>
      <c r="I51" s="129" t="s">
        <v>4593</v>
      </c>
      <c r="J51" s="129" t="s">
        <v>4594</v>
      </c>
      <c r="K51" s="129" t="s">
        <v>4535</v>
      </c>
    </row>
    <row r="52" spans="1:11" ht="51">
      <c r="A52" s="129" t="s">
        <v>4518</v>
      </c>
      <c r="B52" s="129" t="s">
        <v>4636</v>
      </c>
      <c r="C52" s="129" t="s">
        <v>4637</v>
      </c>
      <c r="D52" s="129" t="s">
        <v>4606</v>
      </c>
      <c r="E52" s="129" t="s">
        <v>4607</v>
      </c>
      <c r="F52" s="129">
        <v>3</v>
      </c>
      <c r="G52" s="129" t="s">
        <v>391</v>
      </c>
      <c r="H52" s="129" t="s">
        <v>677</v>
      </c>
      <c r="I52" s="129" t="s">
        <v>4593</v>
      </c>
      <c r="J52" s="129" t="s">
        <v>4594</v>
      </c>
      <c r="K52" s="129" t="s">
        <v>4535</v>
      </c>
    </row>
    <row r="53" spans="1:11" ht="51">
      <c r="A53" s="129" t="s">
        <v>4518</v>
      </c>
      <c r="B53" s="129" t="s">
        <v>4638</v>
      </c>
      <c r="C53" s="129" t="s">
        <v>4639</v>
      </c>
      <c r="D53" s="129" t="s">
        <v>4606</v>
      </c>
      <c r="E53" s="129"/>
      <c r="F53" s="129"/>
      <c r="G53" s="129" t="s">
        <v>391</v>
      </c>
      <c r="H53" s="129" t="s">
        <v>677</v>
      </c>
      <c r="I53" s="129" t="s">
        <v>4593</v>
      </c>
      <c r="J53" s="129" t="s">
        <v>4594</v>
      </c>
      <c r="K53" s="129" t="s">
        <v>4535</v>
      </c>
    </row>
    <row r="54" spans="1:11" ht="51">
      <c r="A54" s="129" t="s">
        <v>4518</v>
      </c>
      <c r="B54" s="129" t="s">
        <v>4640</v>
      </c>
      <c r="C54" s="129" t="s">
        <v>4641</v>
      </c>
      <c r="D54" s="129" t="s">
        <v>4606</v>
      </c>
      <c r="E54" s="129" t="s">
        <v>4642</v>
      </c>
      <c r="F54" s="129"/>
      <c r="G54" s="129" t="s">
        <v>391</v>
      </c>
      <c r="H54" s="129" t="s">
        <v>677</v>
      </c>
      <c r="I54" s="129" t="s">
        <v>4593</v>
      </c>
      <c r="J54" s="129" t="s">
        <v>4594</v>
      </c>
      <c r="K54" s="129" t="s">
        <v>4535</v>
      </c>
    </row>
    <row r="55" spans="1:11" ht="51">
      <c r="A55" s="129" t="s">
        <v>4518</v>
      </c>
      <c r="B55" s="129" t="s">
        <v>4643</v>
      </c>
      <c r="C55" s="129" t="s">
        <v>4644</v>
      </c>
      <c r="D55" s="129" t="s">
        <v>4606</v>
      </c>
      <c r="E55" s="129" t="s">
        <v>4645</v>
      </c>
      <c r="F55" s="129">
        <v>3</v>
      </c>
      <c r="G55" s="129" t="s">
        <v>391</v>
      </c>
      <c r="H55" s="129" t="s">
        <v>677</v>
      </c>
      <c r="I55" s="129" t="s">
        <v>4593</v>
      </c>
      <c r="J55" s="129" t="s">
        <v>4594</v>
      </c>
      <c r="K55" s="129" t="s">
        <v>4535</v>
      </c>
    </row>
    <row r="56" spans="1:11" ht="51">
      <c r="A56" s="129" t="s">
        <v>4518</v>
      </c>
      <c r="B56" s="129" t="s">
        <v>4646</v>
      </c>
      <c r="C56" s="129" t="s">
        <v>4647</v>
      </c>
      <c r="D56" s="129" t="s">
        <v>4648</v>
      </c>
      <c r="E56" s="129" t="s">
        <v>4649</v>
      </c>
      <c r="F56" s="129">
        <v>5</v>
      </c>
      <c r="G56" s="129" t="s">
        <v>391</v>
      </c>
      <c r="H56" s="129" t="s">
        <v>677</v>
      </c>
      <c r="I56" s="129" t="s">
        <v>4593</v>
      </c>
      <c r="J56" s="129" t="s">
        <v>4594</v>
      </c>
      <c r="K56" s="129" t="s">
        <v>4542</v>
      </c>
    </row>
    <row r="57" spans="1:11" ht="51">
      <c r="A57" s="129" t="s">
        <v>4518</v>
      </c>
      <c r="B57" s="129" t="s">
        <v>4650</v>
      </c>
      <c r="C57" s="129" t="s">
        <v>4651</v>
      </c>
      <c r="D57" s="129" t="s">
        <v>4652</v>
      </c>
      <c r="E57" s="129" t="s">
        <v>4653</v>
      </c>
      <c r="F57" s="129"/>
      <c r="G57" s="129" t="s">
        <v>391</v>
      </c>
      <c r="H57" s="129" t="s">
        <v>677</v>
      </c>
      <c r="I57" s="129" t="s">
        <v>4593</v>
      </c>
      <c r="J57" s="129" t="s">
        <v>4594</v>
      </c>
      <c r="K57" s="129" t="s">
        <v>4542</v>
      </c>
    </row>
    <row r="58" spans="1:11" ht="51">
      <c r="A58" s="129" t="s">
        <v>4518</v>
      </c>
      <c r="B58" s="129" t="s">
        <v>4654</v>
      </c>
      <c r="C58" s="129" t="s">
        <v>4655</v>
      </c>
      <c r="D58" s="129" t="s">
        <v>4601</v>
      </c>
      <c r="E58" s="129" t="s">
        <v>4656</v>
      </c>
      <c r="F58" s="129"/>
      <c r="G58" s="129" t="s">
        <v>391</v>
      </c>
      <c r="H58" s="129" t="s">
        <v>677</v>
      </c>
      <c r="I58" s="129" t="s">
        <v>4593</v>
      </c>
      <c r="J58" s="129" t="s">
        <v>4594</v>
      </c>
      <c r="K58" s="129" t="s">
        <v>4555</v>
      </c>
    </row>
    <row r="59" spans="1:11" ht="51">
      <c r="A59" s="129" t="s">
        <v>4518</v>
      </c>
      <c r="B59" s="129" t="s">
        <v>4657</v>
      </c>
      <c r="C59" s="129" t="s">
        <v>4658</v>
      </c>
      <c r="D59" s="129" t="s">
        <v>4659</v>
      </c>
      <c r="E59" s="129" t="s">
        <v>4660</v>
      </c>
      <c r="F59" s="129">
        <v>6</v>
      </c>
      <c r="G59" s="129" t="s">
        <v>391</v>
      </c>
      <c r="H59" s="129" t="s">
        <v>677</v>
      </c>
      <c r="I59" s="129" t="s">
        <v>4593</v>
      </c>
      <c r="J59" s="129" t="s">
        <v>4594</v>
      </c>
      <c r="K59" s="129" t="s">
        <v>4555</v>
      </c>
    </row>
    <row r="60" spans="1:11" ht="51">
      <c r="A60" s="129" t="s">
        <v>4518</v>
      </c>
      <c r="B60" s="129" t="s">
        <v>4661</v>
      </c>
      <c r="C60" s="129" t="s">
        <v>4662</v>
      </c>
      <c r="D60" s="129" t="s">
        <v>4659</v>
      </c>
      <c r="E60" s="129" t="s">
        <v>4660</v>
      </c>
      <c r="F60" s="129">
        <v>6</v>
      </c>
      <c r="G60" s="129" t="s">
        <v>391</v>
      </c>
      <c r="H60" s="129" t="s">
        <v>677</v>
      </c>
      <c r="I60" s="129" t="s">
        <v>4593</v>
      </c>
      <c r="J60" s="129" t="s">
        <v>4594</v>
      </c>
      <c r="K60" s="129" t="s">
        <v>4555</v>
      </c>
    </row>
    <row r="61" spans="1:11" ht="51">
      <c r="A61" s="129" t="s">
        <v>4518</v>
      </c>
      <c r="B61" s="129" t="s">
        <v>4663</v>
      </c>
      <c r="C61" s="129" t="s">
        <v>4664</v>
      </c>
      <c r="D61" s="129" t="s">
        <v>4659</v>
      </c>
      <c r="E61" s="129" t="s">
        <v>4660</v>
      </c>
      <c r="F61" s="129">
        <v>6</v>
      </c>
      <c r="G61" s="129" t="s">
        <v>391</v>
      </c>
      <c r="H61" s="129" t="s">
        <v>677</v>
      </c>
      <c r="I61" s="129" t="s">
        <v>4593</v>
      </c>
      <c r="J61" s="129" t="s">
        <v>4594</v>
      </c>
      <c r="K61" s="129" t="s">
        <v>4555</v>
      </c>
    </row>
    <row r="62" spans="1:11" ht="51">
      <c r="A62" s="129" t="s">
        <v>4518</v>
      </c>
      <c r="B62" s="129" t="s">
        <v>4665</v>
      </c>
      <c r="C62" s="129" t="s">
        <v>4666</v>
      </c>
      <c r="D62" s="129" t="s">
        <v>4659</v>
      </c>
      <c r="E62" s="129" t="s">
        <v>4660</v>
      </c>
      <c r="F62" s="129">
        <v>6</v>
      </c>
      <c r="G62" s="129" t="s">
        <v>391</v>
      </c>
      <c r="H62" s="129" t="s">
        <v>677</v>
      </c>
      <c r="I62" s="129" t="s">
        <v>4593</v>
      </c>
      <c r="J62" s="129" t="s">
        <v>4594</v>
      </c>
      <c r="K62" s="129" t="s">
        <v>4555</v>
      </c>
    </row>
    <row r="63" spans="1:11" ht="51">
      <c r="A63" s="129" t="s">
        <v>4518</v>
      </c>
      <c r="B63" s="129" t="s">
        <v>4667</v>
      </c>
      <c r="C63" s="129" t="s">
        <v>4668</v>
      </c>
      <c r="D63" s="129" t="s">
        <v>4659</v>
      </c>
      <c r="E63" s="129" t="s">
        <v>4660</v>
      </c>
      <c r="F63" s="129">
        <v>6</v>
      </c>
      <c r="G63" s="129" t="s">
        <v>391</v>
      </c>
      <c r="H63" s="129" t="s">
        <v>677</v>
      </c>
      <c r="I63" s="129" t="s">
        <v>4593</v>
      </c>
      <c r="J63" s="129" t="s">
        <v>4594</v>
      </c>
      <c r="K63" s="129" t="s">
        <v>4555</v>
      </c>
    </row>
    <row r="64" spans="1:11" ht="51">
      <c r="A64" s="129" t="s">
        <v>4518</v>
      </c>
      <c r="B64" s="129" t="s">
        <v>4669</v>
      </c>
      <c r="C64" s="129" t="s">
        <v>4670</v>
      </c>
      <c r="D64" s="129" t="s">
        <v>4659</v>
      </c>
      <c r="E64" s="129" t="s">
        <v>4660</v>
      </c>
      <c r="F64" s="129">
        <v>6</v>
      </c>
      <c r="G64" s="129" t="s">
        <v>391</v>
      </c>
      <c r="H64" s="129" t="s">
        <v>677</v>
      </c>
      <c r="I64" s="129" t="s">
        <v>4593</v>
      </c>
      <c r="J64" s="129" t="s">
        <v>4594</v>
      </c>
      <c r="K64" s="129" t="s">
        <v>4555</v>
      </c>
    </row>
    <row r="65" spans="1:11" ht="51">
      <c r="A65" s="129" t="s">
        <v>4518</v>
      </c>
      <c r="B65" s="129" t="s">
        <v>4671</v>
      </c>
      <c r="C65" s="129" t="s">
        <v>4672</v>
      </c>
      <c r="D65" s="129" t="s">
        <v>4603</v>
      </c>
      <c r="E65" s="129"/>
      <c r="F65" s="129"/>
      <c r="G65" s="129" t="s">
        <v>391</v>
      </c>
      <c r="H65" s="129" t="s">
        <v>677</v>
      </c>
      <c r="I65" s="129" t="s">
        <v>4593</v>
      </c>
      <c r="J65" s="129" t="s">
        <v>4594</v>
      </c>
      <c r="K65" s="129" t="s">
        <v>4555</v>
      </c>
    </row>
    <row r="66" spans="1:11" ht="51">
      <c r="A66" s="129" t="s">
        <v>4518</v>
      </c>
      <c r="B66" s="129" t="s">
        <v>4673</v>
      </c>
      <c r="C66" s="129" t="s">
        <v>4674</v>
      </c>
      <c r="D66" s="129" t="s">
        <v>4603</v>
      </c>
      <c r="E66" s="129" t="s">
        <v>4675</v>
      </c>
      <c r="F66" s="129">
        <v>6</v>
      </c>
      <c r="G66" s="129" t="s">
        <v>391</v>
      </c>
      <c r="H66" s="129" t="s">
        <v>677</v>
      </c>
      <c r="I66" s="129" t="s">
        <v>4593</v>
      </c>
      <c r="J66" s="129" t="s">
        <v>4594</v>
      </c>
      <c r="K66" s="129" t="s">
        <v>4555</v>
      </c>
    </row>
    <row r="67" spans="1:11" ht="51">
      <c r="A67" s="129" t="s">
        <v>4518</v>
      </c>
      <c r="B67" s="129" t="s">
        <v>4676</v>
      </c>
      <c r="C67" s="129" t="s">
        <v>4677</v>
      </c>
      <c r="D67" s="129" t="s">
        <v>4603</v>
      </c>
      <c r="E67" s="129"/>
      <c r="F67" s="129"/>
      <c r="G67" s="129" t="s">
        <v>391</v>
      </c>
      <c r="H67" s="129" t="s">
        <v>677</v>
      </c>
      <c r="I67" s="129" t="s">
        <v>4593</v>
      </c>
      <c r="J67" s="129" t="s">
        <v>4594</v>
      </c>
      <c r="K67" s="129" t="s">
        <v>4573</v>
      </c>
    </row>
    <row r="68" spans="1:11" ht="51">
      <c r="A68" s="129" t="s">
        <v>4518</v>
      </c>
      <c r="B68" s="129" t="s">
        <v>4678</v>
      </c>
      <c r="C68" s="129" t="s">
        <v>4679</v>
      </c>
      <c r="D68" s="129" t="s">
        <v>4680</v>
      </c>
      <c r="E68" s="129"/>
      <c r="F68" s="129"/>
      <c r="G68" s="129" t="s">
        <v>391</v>
      </c>
      <c r="H68" s="129" t="s">
        <v>677</v>
      </c>
      <c r="I68" s="129" t="s">
        <v>4593</v>
      </c>
      <c r="J68" s="129" t="s">
        <v>4594</v>
      </c>
      <c r="K68" s="129" t="s">
        <v>4573</v>
      </c>
    </row>
    <row r="69" spans="1:11" ht="51">
      <c r="A69" s="129" t="s">
        <v>4518</v>
      </c>
      <c r="B69" s="129" t="s">
        <v>4681</v>
      </c>
      <c r="C69" s="129" t="s">
        <v>4682</v>
      </c>
      <c r="D69" s="129" t="s">
        <v>4683</v>
      </c>
      <c r="E69" s="129"/>
      <c r="F69" s="129"/>
      <c r="G69" s="129" t="s">
        <v>391</v>
      </c>
      <c r="H69" s="129" t="s">
        <v>677</v>
      </c>
      <c r="I69" s="129" t="s">
        <v>4593</v>
      </c>
      <c r="J69" s="129" t="s">
        <v>4594</v>
      </c>
      <c r="K69" s="129" t="s">
        <v>4573</v>
      </c>
    </row>
    <row r="70" spans="1:11" ht="51">
      <c r="A70" s="129" t="s">
        <v>4518</v>
      </c>
      <c r="B70" s="129" t="s">
        <v>4684</v>
      </c>
      <c r="C70" s="129" t="s">
        <v>4685</v>
      </c>
      <c r="D70" s="129" t="s">
        <v>4686</v>
      </c>
      <c r="E70" s="129"/>
      <c r="F70" s="129">
        <v>3</v>
      </c>
      <c r="G70" s="129" t="s">
        <v>391</v>
      </c>
      <c r="H70" s="129" t="s">
        <v>677</v>
      </c>
      <c r="I70" s="129" t="s">
        <v>4593</v>
      </c>
      <c r="J70" s="129" t="s">
        <v>4594</v>
      </c>
      <c r="K70" s="129" t="s">
        <v>4573</v>
      </c>
    </row>
    <row r="73" spans="1:11" ht="15.75">
      <c r="A73" s="935" t="s">
        <v>4687</v>
      </c>
      <c r="B73" s="896"/>
      <c r="C73" s="896"/>
      <c r="D73" s="137"/>
      <c r="E73" s="137"/>
      <c r="F73" s="137"/>
      <c r="G73" s="137"/>
      <c r="H73" s="137"/>
      <c r="I73" s="137"/>
      <c r="J73" s="137"/>
      <c r="K73" s="137"/>
    </row>
    <row r="74" spans="1:11" ht="38.25">
      <c r="A74" s="50" t="s">
        <v>4519</v>
      </c>
      <c r="B74" s="50" t="s">
        <v>4688</v>
      </c>
      <c r="C74" s="50"/>
      <c r="D74" s="50"/>
      <c r="E74" s="50"/>
      <c r="F74" s="50"/>
      <c r="G74" s="50"/>
      <c r="H74" s="50"/>
      <c r="I74" s="50"/>
      <c r="J74" s="50"/>
      <c r="K74" s="50"/>
    </row>
    <row r="75" spans="1:11">
      <c r="A75" s="129" t="s">
        <v>4519</v>
      </c>
      <c r="B75" s="129" t="s">
        <v>4689</v>
      </c>
      <c r="C75" s="129" t="s">
        <v>4690</v>
      </c>
      <c r="D75" s="129" t="s">
        <v>4691</v>
      </c>
      <c r="E75" s="129" t="s">
        <v>4692</v>
      </c>
      <c r="F75" s="129" t="s">
        <v>907</v>
      </c>
      <c r="G75" s="129" t="s">
        <v>77</v>
      </c>
      <c r="H75" s="129" t="s">
        <v>4693</v>
      </c>
      <c r="I75" s="129" t="s">
        <v>4694</v>
      </c>
      <c r="J75" s="129" t="s">
        <v>4695</v>
      </c>
      <c r="K75" s="129" t="s">
        <v>4590</v>
      </c>
    </row>
    <row r="76" spans="1:11" ht="25.5">
      <c r="A76" s="129" t="s">
        <v>4519</v>
      </c>
      <c r="B76" s="129" t="s">
        <v>4604</v>
      </c>
      <c r="C76" s="129" t="s">
        <v>4605</v>
      </c>
      <c r="D76" s="129" t="s">
        <v>4696</v>
      </c>
      <c r="E76" s="129" t="s">
        <v>4697</v>
      </c>
      <c r="F76" s="129" t="s">
        <v>4698</v>
      </c>
      <c r="G76" s="129" t="s">
        <v>677</v>
      </c>
      <c r="H76" s="129" t="s">
        <v>4699</v>
      </c>
      <c r="I76" s="129" t="s">
        <v>4700</v>
      </c>
      <c r="J76" s="129" t="s">
        <v>575</v>
      </c>
      <c r="K76" s="129" t="s">
        <v>4535</v>
      </c>
    </row>
    <row r="77" spans="1:11" ht="25.5">
      <c r="A77" s="129" t="s">
        <v>4519</v>
      </c>
      <c r="B77" s="129" t="s">
        <v>4608</v>
      </c>
      <c r="C77" s="129" t="s">
        <v>4701</v>
      </c>
      <c r="D77" s="129" t="s">
        <v>4702</v>
      </c>
      <c r="E77" s="129" t="s">
        <v>4703</v>
      </c>
      <c r="F77" s="129" t="s">
        <v>584</v>
      </c>
      <c r="G77" s="129" t="s">
        <v>677</v>
      </c>
      <c r="H77" s="129" t="s">
        <v>4704</v>
      </c>
      <c r="I77" s="129" t="s">
        <v>4705</v>
      </c>
      <c r="J77" s="129" t="s">
        <v>4706</v>
      </c>
      <c r="K77" s="129" t="s">
        <v>4535</v>
      </c>
    </row>
    <row r="78" spans="1:11">
      <c r="A78" s="129" t="s">
        <v>4519</v>
      </c>
      <c r="B78" s="129" t="s">
        <v>4610</v>
      </c>
      <c r="C78" s="129" t="s">
        <v>4707</v>
      </c>
      <c r="D78" s="129" t="s">
        <v>4708</v>
      </c>
      <c r="E78" s="129" t="s">
        <v>4709</v>
      </c>
      <c r="F78" s="129" t="s">
        <v>4710</v>
      </c>
      <c r="G78" s="129" t="s">
        <v>677</v>
      </c>
      <c r="H78" s="129" t="s">
        <v>4711</v>
      </c>
      <c r="I78" s="129" t="s">
        <v>4712</v>
      </c>
      <c r="J78" s="129" t="s">
        <v>575</v>
      </c>
      <c r="K78" s="129" t="s">
        <v>4535</v>
      </c>
    </row>
    <row r="79" spans="1:11">
      <c r="A79" s="129" t="s">
        <v>4519</v>
      </c>
      <c r="B79" s="129" t="s">
        <v>4612</v>
      </c>
      <c r="C79" s="129" t="s">
        <v>4713</v>
      </c>
      <c r="D79" s="129" t="s">
        <v>4714</v>
      </c>
      <c r="E79" s="129" t="s">
        <v>4715</v>
      </c>
      <c r="F79" s="129" t="s">
        <v>4716</v>
      </c>
      <c r="G79" s="129" t="s">
        <v>677</v>
      </c>
      <c r="H79" s="129" t="s">
        <v>4717</v>
      </c>
      <c r="I79" s="129" t="s">
        <v>4718</v>
      </c>
      <c r="J79" s="129" t="s">
        <v>4719</v>
      </c>
      <c r="K79" s="129" t="s">
        <v>4535</v>
      </c>
    </row>
    <row r="80" spans="1:11" ht="25.5">
      <c r="A80" s="129" t="s">
        <v>4519</v>
      </c>
      <c r="B80" s="129" t="s">
        <v>4615</v>
      </c>
      <c r="C80" s="129" t="s">
        <v>4720</v>
      </c>
      <c r="D80" s="129" t="s">
        <v>4721</v>
      </c>
      <c r="E80" s="129" t="s">
        <v>4722</v>
      </c>
      <c r="F80" s="129" t="s">
        <v>4723</v>
      </c>
      <c r="G80" s="129" t="s">
        <v>677</v>
      </c>
      <c r="H80" s="129" t="s">
        <v>4724</v>
      </c>
      <c r="I80" s="129" t="s">
        <v>4725</v>
      </c>
      <c r="J80" s="129" t="s">
        <v>4726</v>
      </c>
      <c r="K80" s="129" t="s">
        <v>4535</v>
      </c>
    </row>
    <row r="81" spans="1:11">
      <c r="A81" s="129" t="s">
        <v>4519</v>
      </c>
      <c r="B81" s="129" t="s">
        <v>4618</v>
      </c>
      <c r="C81" s="129" t="s">
        <v>4727</v>
      </c>
      <c r="D81" s="129" t="s">
        <v>4728</v>
      </c>
      <c r="E81" s="129" t="s">
        <v>4729</v>
      </c>
      <c r="F81" s="129" t="s">
        <v>4730</v>
      </c>
      <c r="G81" s="129" t="s">
        <v>677</v>
      </c>
      <c r="H81" s="129" t="s">
        <v>4731</v>
      </c>
      <c r="I81" s="129" t="s">
        <v>4732</v>
      </c>
      <c r="J81" s="129" t="s">
        <v>4733</v>
      </c>
      <c r="K81" s="129" t="s">
        <v>4535</v>
      </c>
    </row>
    <row r="82" spans="1:11">
      <c r="A82" s="129" t="s">
        <v>4519</v>
      </c>
      <c r="B82" s="129" t="s">
        <v>4621</v>
      </c>
      <c r="C82" s="129" t="s">
        <v>4734</v>
      </c>
      <c r="D82" s="129" t="s">
        <v>4735</v>
      </c>
      <c r="E82" s="129" t="s">
        <v>4736</v>
      </c>
      <c r="F82" s="129" t="s">
        <v>4737</v>
      </c>
      <c r="G82" s="129" t="s">
        <v>677</v>
      </c>
      <c r="H82" s="129" t="s">
        <v>4738</v>
      </c>
      <c r="I82" s="129" t="s">
        <v>4739</v>
      </c>
      <c r="J82" s="129" t="s">
        <v>4740</v>
      </c>
      <c r="K82" s="129" t="s">
        <v>4535</v>
      </c>
    </row>
    <row r="83" spans="1:11">
      <c r="A83" s="129" t="s">
        <v>4519</v>
      </c>
      <c r="B83" s="129" t="s">
        <v>4623</v>
      </c>
      <c r="C83" s="129" t="s">
        <v>4741</v>
      </c>
      <c r="D83" s="129" t="s">
        <v>4742</v>
      </c>
      <c r="E83" s="129" t="s">
        <v>4743</v>
      </c>
      <c r="F83" s="129" t="s">
        <v>4413</v>
      </c>
      <c r="G83" s="129" t="s">
        <v>677</v>
      </c>
      <c r="H83" s="129" t="s">
        <v>4744</v>
      </c>
      <c r="I83" s="129" t="s">
        <v>4745</v>
      </c>
      <c r="J83" s="129" t="s">
        <v>4746</v>
      </c>
      <c r="K83" s="129" t="s">
        <v>4535</v>
      </c>
    </row>
    <row r="84" spans="1:11" ht="25.5">
      <c r="A84" s="129" t="s">
        <v>4519</v>
      </c>
      <c r="B84" s="129" t="s">
        <v>4625</v>
      </c>
      <c r="C84" s="129" t="s">
        <v>4747</v>
      </c>
      <c r="D84" s="129" t="s">
        <v>4748</v>
      </c>
      <c r="E84" s="129" t="s">
        <v>4749</v>
      </c>
      <c r="F84" s="129" t="s">
        <v>4750</v>
      </c>
      <c r="G84" s="129" t="s">
        <v>677</v>
      </c>
      <c r="H84" s="129" t="s">
        <v>4751</v>
      </c>
      <c r="I84" s="129" t="s">
        <v>4752</v>
      </c>
      <c r="J84" s="129" t="s">
        <v>575</v>
      </c>
      <c r="K84" s="129" t="s">
        <v>4535</v>
      </c>
    </row>
    <row r="85" spans="1:11" ht="25.5">
      <c r="A85" s="129" t="s">
        <v>4519</v>
      </c>
      <c r="B85" s="129" t="s">
        <v>4628</v>
      </c>
      <c r="C85" s="129" t="s">
        <v>4753</v>
      </c>
      <c r="D85" s="129" t="s">
        <v>4754</v>
      </c>
      <c r="E85" s="129" t="s">
        <v>4709</v>
      </c>
      <c r="F85" s="129" t="s">
        <v>4755</v>
      </c>
      <c r="G85" s="129" t="s">
        <v>677</v>
      </c>
      <c r="H85" s="129" t="s">
        <v>4756</v>
      </c>
      <c r="I85" s="129" t="s">
        <v>4757</v>
      </c>
      <c r="J85" s="129" t="s">
        <v>575</v>
      </c>
      <c r="K85" s="129" t="s">
        <v>4535</v>
      </c>
    </row>
    <row r="86" spans="1:11">
      <c r="A86" s="129" t="s">
        <v>4519</v>
      </c>
      <c r="B86" s="129" t="s">
        <v>4633</v>
      </c>
      <c r="C86" s="129" t="s">
        <v>4634</v>
      </c>
      <c r="D86" s="129" t="s">
        <v>4758</v>
      </c>
      <c r="E86" s="129" t="s">
        <v>4759</v>
      </c>
      <c r="F86" s="129" t="s">
        <v>4760</v>
      </c>
      <c r="G86" s="129" t="s">
        <v>677</v>
      </c>
      <c r="H86" s="129" t="s">
        <v>4761</v>
      </c>
      <c r="I86" s="129" t="s">
        <v>4762</v>
      </c>
      <c r="J86" s="129" t="s">
        <v>575</v>
      </c>
      <c r="K86" s="129" t="s">
        <v>4535</v>
      </c>
    </row>
    <row r="87" spans="1:11">
      <c r="A87" s="129" t="s">
        <v>4519</v>
      </c>
      <c r="B87" s="129" t="s">
        <v>4636</v>
      </c>
      <c r="C87" s="129" t="s">
        <v>4637</v>
      </c>
      <c r="D87" s="129" t="s">
        <v>4763</v>
      </c>
      <c r="E87" s="129" t="s">
        <v>4764</v>
      </c>
      <c r="F87" s="129" t="s">
        <v>4765</v>
      </c>
      <c r="G87" s="129" t="s">
        <v>677</v>
      </c>
      <c r="H87" s="129" t="s">
        <v>4766</v>
      </c>
      <c r="I87" s="129" t="s">
        <v>4767</v>
      </c>
      <c r="J87" s="129" t="s">
        <v>575</v>
      </c>
      <c r="K87" s="129" t="s">
        <v>4535</v>
      </c>
    </row>
    <row r="88" spans="1:11">
      <c r="A88" s="129" t="s">
        <v>4519</v>
      </c>
      <c r="B88" s="129" t="s">
        <v>4638</v>
      </c>
      <c r="C88" s="129" t="s">
        <v>4639</v>
      </c>
      <c r="D88" s="129" t="s">
        <v>4768</v>
      </c>
      <c r="E88" s="129" t="s">
        <v>4769</v>
      </c>
      <c r="F88" s="129" t="s">
        <v>4770</v>
      </c>
      <c r="G88" s="129" t="s">
        <v>677</v>
      </c>
      <c r="H88" s="129" t="s">
        <v>4771</v>
      </c>
      <c r="I88" s="129" t="s">
        <v>4772</v>
      </c>
      <c r="J88" s="129" t="s">
        <v>4773</v>
      </c>
      <c r="K88" s="129" t="s">
        <v>4535</v>
      </c>
    </row>
    <row r="89" spans="1:11">
      <c r="A89" s="129" t="s">
        <v>4519</v>
      </c>
      <c r="B89" s="129" t="s">
        <v>4640</v>
      </c>
      <c r="C89" s="129" t="s">
        <v>4641</v>
      </c>
      <c r="D89" s="129" t="s">
        <v>4774</v>
      </c>
      <c r="E89" s="129" t="s">
        <v>4775</v>
      </c>
      <c r="F89" s="129" t="s">
        <v>4776</v>
      </c>
      <c r="G89" s="129" t="s">
        <v>677</v>
      </c>
      <c r="H89" s="129" t="s">
        <v>4777</v>
      </c>
      <c r="I89" s="129" t="s">
        <v>4778</v>
      </c>
      <c r="J89" s="129" t="s">
        <v>4779</v>
      </c>
      <c r="K89" s="129" t="s">
        <v>4535</v>
      </c>
    </row>
    <row r="90" spans="1:11" ht="25.5">
      <c r="A90" s="129" t="s">
        <v>4519</v>
      </c>
      <c r="B90" s="129" t="s">
        <v>4643</v>
      </c>
      <c r="C90" s="129" t="s">
        <v>4644</v>
      </c>
      <c r="D90" s="129" t="s">
        <v>4780</v>
      </c>
      <c r="E90" s="129" t="s">
        <v>4781</v>
      </c>
      <c r="F90" s="129" t="s">
        <v>4531</v>
      </c>
      <c r="G90" s="129" t="s">
        <v>677</v>
      </c>
      <c r="H90" s="129" t="s">
        <v>4782</v>
      </c>
      <c r="I90" s="129" t="s">
        <v>4783</v>
      </c>
      <c r="J90" s="129" t="s">
        <v>4784</v>
      </c>
      <c r="K90" s="129" t="s">
        <v>4535</v>
      </c>
    </row>
    <row r="93" spans="1:11" ht="15.75">
      <c r="A93" s="935" t="s">
        <v>4785</v>
      </c>
      <c r="B93" s="896"/>
      <c r="C93" s="896"/>
      <c r="D93" s="137"/>
      <c r="E93" s="137"/>
      <c r="F93" s="137"/>
      <c r="G93" s="137"/>
      <c r="H93" s="137"/>
      <c r="I93" s="137"/>
      <c r="J93" s="137"/>
      <c r="K93" s="137"/>
    </row>
    <row r="94" spans="1:11" ht="38.25">
      <c r="A94" s="50" t="s">
        <v>4520</v>
      </c>
      <c r="B94" s="50" t="s">
        <v>4786</v>
      </c>
      <c r="C94" s="50"/>
      <c r="D94" s="50"/>
      <c r="E94" s="50"/>
      <c r="F94" s="50"/>
      <c r="G94" s="50"/>
      <c r="H94" s="50"/>
      <c r="I94" s="50"/>
      <c r="J94" s="50"/>
      <c r="K94" s="50"/>
    </row>
    <row r="95" spans="1:11">
      <c r="A95" s="129" t="s">
        <v>4520</v>
      </c>
      <c r="B95" s="129" t="s">
        <v>4787</v>
      </c>
      <c r="C95" s="129" t="s">
        <v>4788</v>
      </c>
      <c r="D95" s="129" t="s">
        <v>284</v>
      </c>
      <c r="E95" s="129" t="s">
        <v>4789</v>
      </c>
      <c r="F95" s="129" t="s">
        <v>216</v>
      </c>
      <c r="G95" s="129" t="s">
        <v>77</v>
      </c>
      <c r="H95" s="129" t="s">
        <v>4790</v>
      </c>
      <c r="I95" s="129" t="s">
        <v>573</v>
      </c>
      <c r="J95" s="129" t="s">
        <v>224</v>
      </c>
      <c r="K95" s="129" t="s">
        <v>4590</v>
      </c>
    </row>
    <row r="96" spans="1:11" ht="25.5">
      <c r="A96" s="129" t="s">
        <v>4520</v>
      </c>
      <c r="B96" s="129" t="s">
        <v>4628</v>
      </c>
      <c r="C96" s="129" t="s">
        <v>4791</v>
      </c>
      <c r="D96" s="129" t="s">
        <v>4792</v>
      </c>
      <c r="E96" s="129" t="s">
        <v>4793</v>
      </c>
      <c r="F96" s="129" t="s">
        <v>4710</v>
      </c>
      <c r="G96" s="129" t="s">
        <v>677</v>
      </c>
      <c r="H96" s="129" t="s">
        <v>4794</v>
      </c>
      <c r="I96" s="129" t="s">
        <v>4795</v>
      </c>
      <c r="J96" s="129" t="s">
        <v>391</v>
      </c>
      <c r="K96" s="129" t="s">
        <v>4535</v>
      </c>
    </row>
    <row r="97" spans="1:11">
      <c r="A97" s="129" t="s">
        <v>4520</v>
      </c>
      <c r="B97" s="129" t="s">
        <v>4633</v>
      </c>
      <c r="C97" s="129" t="s">
        <v>4796</v>
      </c>
      <c r="D97" s="129" t="s">
        <v>4797</v>
      </c>
      <c r="E97" s="129" t="s">
        <v>4798</v>
      </c>
      <c r="F97" s="129" t="s">
        <v>4760</v>
      </c>
      <c r="G97" s="129" t="s">
        <v>677</v>
      </c>
      <c r="H97" s="129" t="s">
        <v>4799</v>
      </c>
      <c r="I97" s="129" t="s">
        <v>4800</v>
      </c>
      <c r="J97" s="129" t="s">
        <v>492</v>
      </c>
      <c r="K97" s="129" t="s">
        <v>4535</v>
      </c>
    </row>
    <row r="98" spans="1:11" ht="25.5">
      <c r="A98" s="129" t="s">
        <v>4520</v>
      </c>
      <c r="B98" s="129" t="s">
        <v>4801</v>
      </c>
      <c r="C98" s="129" t="s">
        <v>4802</v>
      </c>
      <c r="D98" s="129" t="s">
        <v>4803</v>
      </c>
      <c r="E98" s="129" t="s">
        <v>4729</v>
      </c>
      <c r="F98" s="129" t="s">
        <v>4804</v>
      </c>
      <c r="G98" s="129" t="s">
        <v>677</v>
      </c>
      <c r="H98" s="129" t="s">
        <v>4805</v>
      </c>
      <c r="I98" s="129" t="s">
        <v>4806</v>
      </c>
      <c r="J98" s="129" t="s">
        <v>492</v>
      </c>
      <c r="K98" s="129" t="s">
        <v>4535</v>
      </c>
    </row>
    <row r="99" spans="1:11">
      <c r="A99" s="129" t="s">
        <v>4520</v>
      </c>
      <c r="B99" s="129" t="s">
        <v>4807</v>
      </c>
      <c r="C99" s="129" t="s">
        <v>4808</v>
      </c>
      <c r="D99" s="129" t="s">
        <v>4809</v>
      </c>
      <c r="E99" s="129" t="s">
        <v>4810</v>
      </c>
      <c r="F99" s="129" t="s">
        <v>622</v>
      </c>
      <c r="G99" s="129" t="s">
        <v>677</v>
      </c>
      <c r="H99" s="129" t="s">
        <v>4811</v>
      </c>
      <c r="I99" s="129" t="s">
        <v>4812</v>
      </c>
      <c r="J99" s="129" t="s">
        <v>492</v>
      </c>
      <c r="K99" s="129" t="s">
        <v>4813</v>
      </c>
    </row>
    <row r="100" spans="1:11">
      <c r="A100" s="129" t="s">
        <v>4520</v>
      </c>
      <c r="B100" s="129" t="s">
        <v>4646</v>
      </c>
      <c r="C100" s="129" t="s">
        <v>4814</v>
      </c>
      <c r="D100" s="129" t="s">
        <v>4815</v>
      </c>
      <c r="E100" s="129" t="s">
        <v>4816</v>
      </c>
      <c r="F100" s="129" t="s">
        <v>4817</v>
      </c>
      <c r="G100" s="129" t="s">
        <v>677</v>
      </c>
      <c r="H100" s="129" t="s">
        <v>4818</v>
      </c>
      <c r="I100" s="129" t="s">
        <v>4819</v>
      </c>
      <c r="J100" s="129" t="s">
        <v>492</v>
      </c>
      <c r="K100" s="129" t="s">
        <v>4542</v>
      </c>
    </row>
    <row r="101" spans="1:11" ht="25.5">
      <c r="A101" s="129" t="s">
        <v>4520</v>
      </c>
      <c r="B101" s="129" t="s">
        <v>4650</v>
      </c>
      <c r="C101" s="129" t="s">
        <v>4651</v>
      </c>
      <c r="D101" s="129" t="s">
        <v>148</v>
      </c>
      <c r="E101" s="129" t="s">
        <v>4820</v>
      </c>
      <c r="F101" s="129" t="s">
        <v>4821</v>
      </c>
      <c r="G101" s="129" t="s">
        <v>677</v>
      </c>
      <c r="H101" s="129" t="s">
        <v>4822</v>
      </c>
      <c r="I101" s="129" t="s">
        <v>4545</v>
      </c>
      <c r="J101" s="129" t="s">
        <v>492</v>
      </c>
      <c r="K101" s="129" t="s">
        <v>4542</v>
      </c>
    </row>
    <row r="102" spans="1:11">
      <c r="A102" s="129" t="s">
        <v>4520</v>
      </c>
      <c r="B102" s="129" t="s">
        <v>4654</v>
      </c>
      <c r="C102" s="129" t="s">
        <v>4823</v>
      </c>
      <c r="D102" s="129" t="s">
        <v>153</v>
      </c>
      <c r="E102" s="129" t="s">
        <v>4820</v>
      </c>
      <c r="F102" s="129" t="s">
        <v>153</v>
      </c>
      <c r="G102" s="129" t="s">
        <v>677</v>
      </c>
      <c r="H102" s="129" t="s">
        <v>4824</v>
      </c>
      <c r="I102" s="129" t="s">
        <v>4825</v>
      </c>
      <c r="J102" s="129" t="s">
        <v>492</v>
      </c>
      <c r="K102" s="129" t="s">
        <v>4555</v>
      </c>
    </row>
    <row r="103" spans="1:11">
      <c r="A103" s="129" t="s">
        <v>4520</v>
      </c>
      <c r="B103" s="129" t="s">
        <v>4663</v>
      </c>
      <c r="C103" s="129" t="s">
        <v>4664</v>
      </c>
      <c r="D103" s="129" t="s">
        <v>4826</v>
      </c>
      <c r="E103" s="129" t="s">
        <v>4827</v>
      </c>
      <c r="F103" s="129" t="s">
        <v>155</v>
      </c>
      <c r="G103" s="129" t="s">
        <v>677</v>
      </c>
      <c r="H103" s="129" t="s">
        <v>4828</v>
      </c>
      <c r="I103" s="129" t="s">
        <v>4829</v>
      </c>
      <c r="J103" s="129" t="s">
        <v>492</v>
      </c>
      <c r="K103" s="129" t="s">
        <v>4555</v>
      </c>
    </row>
    <row r="104" spans="1:11">
      <c r="A104" s="129" t="s">
        <v>4520</v>
      </c>
      <c r="B104" s="129" t="s">
        <v>4667</v>
      </c>
      <c r="C104" s="129" t="s">
        <v>4830</v>
      </c>
      <c r="D104" s="129" t="s">
        <v>4826</v>
      </c>
      <c r="E104" s="129" t="s">
        <v>4831</v>
      </c>
      <c r="F104" s="129" t="s">
        <v>584</v>
      </c>
      <c r="G104" s="129" t="s">
        <v>677</v>
      </c>
      <c r="H104" s="129" t="s">
        <v>4832</v>
      </c>
      <c r="I104" s="129" t="s">
        <v>4833</v>
      </c>
      <c r="J104" s="129" t="s">
        <v>492</v>
      </c>
      <c r="K104" s="129" t="s">
        <v>4555</v>
      </c>
    </row>
    <row r="105" spans="1:11" ht="25.5">
      <c r="A105" s="129" t="s">
        <v>4520</v>
      </c>
      <c r="B105" s="129" t="s">
        <v>4671</v>
      </c>
      <c r="C105" s="129" t="s">
        <v>4834</v>
      </c>
      <c r="D105" s="129" t="s">
        <v>556</v>
      </c>
      <c r="E105" s="129" t="s">
        <v>4835</v>
      </c>
      <c r="F105" s="129" t="s">
        <v>556</v>
      </c>
      <c r="G105" s="129" t="s">
        <v>677</v>
      </c>
      <c r="H105" s="129" t="s">
        <v>4836</v>
      </c>
      <c r="I105" s="129" t="s">
        <v>4837</v>
      </c>
      <c r="J105" s="129" t="s">
        <v>391</v>
      </c>
      <c r="K105" s="129" t="s">
        <v>4555</v>
      </c>
    </row>
    <row r="106" spans="1:11">
      <c r="A106" s="129" t="s">
        <v>4520</v>
      </c>
      <c r="B106" s="129" t="s">
        <v>4673</v>
      </c>
      <c r="C106" s="129" t="s">
        <v>4674</v>
      </c>
      <c r="D106" s="129" t="s">
        <v>556</v>
      </c>
      <c r="E106" s="129" t="s">
        <v>4838</v>
      </c>
      <c r="F106" s="129" t="s">
        <v>2834</v>
      </c>
      <c r="G106" s="129" t="s">
        <v>677</v>
      </c>
      <c r="H106" s="129" t="s">
        <v>4839</v>
      </c>
      <c r="I106" s="129" t="s">
        <v>4840</v>
      </c>
      <c r="J106" s="129" t="s">
        <v>391</v>
      </c>
      <c r="K106" s="129" t="s">
        <v>4555</v>
      </c>
    </row>
    <row r="107" spans="1:11">
      <c r="A107" s="129" t="s">
        <v>4520</v>
      </c>
      <c r="B107" s="129" t="s">
        <v>4684</v>
      </c>
      <c r="C107" s="129" t="s">
        <v>4841</v>
      </c>
      <c r="D107" s="129" t="s">
        <v>4842</v>
      </c>
      <c r="E107" s="129" t="s">
        <v>4843</v>
      </c>
      <c r="F107" s="129" t="s">
        <v>4844</v>
      </c>
      <c r="G107" s="129" t="s">
        <v>677</v>
      </c>
      <c r="H107" s="129" t="s">
        <v>4845</v>
      </c>
      <c r="I107" s="129" t="s">
        <v>4846</v>
      </c>
      <c r="J107" s="129" t="s">
        <v>391</v>
      </c>
      <c r="K107" s="129" t="s">
        <v>4573</v>
      </c>
    </row>
    <row r="110" spans="1:11" ht="15.75">
      <c r="A110" s="935" t="s">
        <v>4847</v>
      </c>
      <c r="B110" s="896"/>
      <c r="C110" s="896"/>
      <c r="D110" s="137"/>
      <c r="E110" s="137"/>
      <c r="F110" s="137"/>
      <c r="G110" s="137"/>
      <c r="H110" s="137"/>
      <c r="I110" s="137"/>
      <c r="J110" s="137"/>
      <c r="K110" s="137"/>
    </row>
    <row r="111" spans="1:11" ht="25.5">
      <c r="A111" s="50" t="s">
        <v>4521</v>
      </c>
      <c r="B111" s="50" t="s">
        <v>4848</v>
      </c>
      <c r="C111" s="50"/>
      <c r="D111" s="50"/>
      <c r="E111" s="50"/>
      <c r="F111" s="50"/>
      <c r="G111" s="50"/>
      <c r="H111" s="50"/>
      <c r="I111" s="50"/>
      <c r="J111" s="50"/>
      <c r="K111" s="50"/>
    </row>
    <row r="112" spans="1:11">
      <c r="A112" s="129" t="s">
        <v>4521</v>
      </c>
      <c r="B112" s="129" t="s">
        <v>4787</v>
      </c>
      <c r="C112" s="129" t="s">
        <v>4690</v>
      </c>
      <c r="D112" s="129" t="s">
        <v>4849</v>
      </c>
      <c r="E112" s="129" t="s">
        <v>4789</v>
      </c>
      <c r="F112" s="129" t="s">
        <v>216</v>
      </c>
      <c r="G112" s="129" t="s">
        <v>77</v>
      </c>
      <c r="H112" s="129" t="s">
        <v>4693</v>
      </c>
      <c r="I112" s="129" t="s">
        <v>573</v>
      </c>
      <c r="J112" s="129" t="s">
        <v>4850</v>
      </c>
      <c r="K112" s="129" t="s">
        <v>4590</v>
      </c>
    </row>
    <row r="113" spans="1:11" ht="25.5">
      <c r="A113" s="129" t="s">
        <v>4521</v>
      </c>
      <c r="B113" s="129" t="s">
        <v>4636</v>
      </c>
      <c r="C113" s="129" t="s">
        <v>4637</v>
      </c>
      <c r="D113" s="129" t="s">
        <v>4851</v>
      </c>
      <c r="E113" s="129" t="s">
        <v>4852</v>
      </c>
      <c r="F113" s="129" t="s">
        <v>4765</v>
      </c>
      <c r="G113" s="129" t="s">
        <v>677</v>
      </c>
      <c r="H113" s="129" t="s">
        <v>4853</v>
      </c>
      <c r="I113" s="129" t="s">
        <v>4854</v>
      </c>
      <c r="J113" s="129" t="s">
        <v>575</v>
      </c>
      <c r="K113" s="129" t="s">
        <v>4535</v>
      </c>
    </row>
    <row r="114" spans="1:11">
      <c r="A114" s="129" t="s">
        <v>4521</v>
      </c>
      <c r="B114" s="129" t="s">
        <v>4638</v>
      </c>
      <c r="C114" s="129" t="s">
        <v>4639</v>
      </c>
      <c r="D114" s="129" t="s">
        <v>4855</v>
      </c>
      <c r="E114" s="129" t="s">
        <v>4856</v>
      </c>
      <c r="F114" s="129" t="s">
        <v>4857</v>
      </c>
      <c r="G114" s="129" t="s">
        <v>677</v>
      </c>
      <c r="H114" s="129" t="s">
        <v>4858</v>
      </c>
      <c r="I114" s="129" t="s">
        <v>4772</v>
      </c>
      <c r="J114" s="129" t="s">
        <v>4859</v>
      </c>
      <c r="K114" s="129" t="s">
        <v>4535</v>
      </c>
    </row>
    <row r="115" spans="1:11">
      <c r="A115" s="129" t="s">
        <v>4521</v>
      </c>
      <c r="B115" s="129" t="s">
        <v>4640</v>
      </c>
      <c r="C115" s="129" t="s">
        <v>4641</v>
      </c>
      <c r="D115" s="129" t="s">
        <v>4860</v>
      </c>
      <c r="E115" s="129" t="s">
        <v>4861</v>
      </c>
      <c r="F115" s="129" t="s">
        <v>4862</v>
      </c>
      <c r="G115" s="129" t="s">
        <v>677</v>
      </c>
      <c r="H115" s="129" t="s">
        <v>4863</v>
      </c>
      <c r="I115" s="129" t="s">
        <v>4864</v>
      </c>
      <c r="J115" s="129" t="s">
        <v>4779</v>
      </c>
      <c r="K115" s="129" t="s">
        <v>4535</v>
      </c>
    </row>
    <row r="116" spans="1:11">
      <c r="A116" s="129" t="s">
        <v>4521</v>
      </c>
      <c r="B116" s="129" t="s">
        <v>4807</v>
      </c>
      <c r="C116" s="129" t="s">
        <v>4865</v>
      </c>
      <c r="D116" s="129" t="s">
        <v>4866</v>
      </c>
      <c r="E116" s="129" t="s">
        <v>4867</v>
      </c>
      <c r="F116" s="129" t="s">
        <v>4868</v>
      </c>
      <c r="G116" s="129" t="s">
        <v>677</v>
      </c>
      <c r="H116" s="129" t="s">
        <v>4869</v>
      </c>
      <c r="I116" s="129" t="s">
        <v>4870</v>
      </c>
      <c r="J116" s="129" t="s">
        <v>4871</v>
      </c>
      <c r="K116" s="129" t="s">
        <v>4813</v>
      </c>
    </row>
    <row r="117" spans="1:11" ht="25.5">
      <c r="A117" s="129" t="s">
        <v>4521</v>
      </c>
      <c r="B117" s="129" t="s">
        <v>4872</v>
      </c>
      <c r="C117" s="129" t="s">
        <v>4873</v>
      </c>
      <c r="D117" s="129" t="s">
        <v>4874</v>
      </c>
      <c r="E117" s="129" t="s">
        <v>4875</v>
      </c>
      <c r="F117" s="129" t="s">
        <v>153</v>
      </c>
      <c r="G117" s="129" t="s">
        <v>677</v>
      </c>
      <c r="H117" s="129" t="s">
        <v>4876</v>
      </c>
      <c r="I117" s="129" t="s">
        <v>4877</v>
      </c>
      <c r="J117" s="129" t="s">
        <v>4878</v>
      </c>
      <c r="K117" s="129" t="s">
        <v>4555</v>
      </c>
    </row>
    <row r="118" spans="1:11">
      <c r="A118" s="129" t="s">
        <v>4521</v>
      </c>
      <c r="B118" s="129" t="s">
        <v>4879</v>
      </c>
      <c r="C118" s="129" t="s">
        <v>4880</v>
      </c>
      <c r="D118" s="129" t="s">
        <v>4881</v>
      </c>
      <c r="E118" s="129" t="s">
        <v>4882</v>
      </c>
      <c r="F118" s="129" t="s">
        <v>584</v>
      </c>
      <c r="G118" s="129" t="s">
        <v>677</v>
      </c>
      <c r="H118" s="129" t="s">
        <v>4883</v>
      </c>
      <c r="I118" s="129" t="s">
        <v>4884</v>
      </c>
      <c r="J118" s="129" t="s">
        <v>4885</v>
      </c>
      <c r="K118" s="129" t="s">
        <v>4555</v>
      </c>
    </row>
    <row r="119" spans="1:11">
      <c r="A119" s="129" t="s">
        <v>4521</v>
      </c>
      <c r="B119" s="129" t="s">
        <v>4886</v>
      </c>
      <c r="C119" s="129" t="s">
        <v>4887</v>
      </c>
      <c r="D119" s="129" t="s">
        <v>4888</v>
      </c>
      <c r="E119" s="129" t="s">
        <v>4843</v>
      </c>
      <c r="F119" s="129" t="s">
        <v>2834</v>
      </c>
      <c r="G119" s="129" t="s">
        <v>677</v>
      </c>
      <c r="H119" s="129" t="s">
        <v>4889</v>
      </c>
      <c r="I119" s="129" t="s">
        <v>4890</v>
      </c>
      <c r="J119" s="129" t="s">
        <v>4891</v>
      </c>
      <c r="K119" s="129" t="s">
        <v>4555</v>
      </c>
    </row>
    <row r="120" spans="1:11" ht="25.5">
      <c r="A120" s="129" t="s">
        <v>4521</v>
      </c>
      <c r="B120" s="129" t="s">
        <v>4684</v>
      </c>
      <c r="C120" s="129" t="s">
        <v>4892</v>
      </c>
      <c r="D120" s="129" t="s">
        <v>4893</v>
      </c>
      <c r="E120" s="129" t="s">
        <v>4843</v>
      </c>
      <c r="F120" s="129" t="s">
        <v>4844</v>
      </c>
      <c r="G120" s="129" t="s">
        <v>677</v>
      </c>
      <c r="H120" s="129" t="s">
        <v>4894</v>
      </c>
      <c r="I120" s="129" t="s">
        <v>4895</v>
      </c>
      <c r="J120" s="129" t="s">
        <v>70</v>
      </c>
      <c r="K120" s="129" t="s">
        <v>4573</v>
      </c>
    </row>
    <row r="123" spans="1:11" ht="15.75">
      <c r="A123" s="935" t="s">
        <v>4896</v>
      </c>
      <c r="B123" s="896"/>
      <c r="C123" s="896"/>
      <c r="D123" s="137"/>
      <c r="E123" s="137"/>
      <c r="F123" s="137"/>
      <c r="G123" s="137"/>
      <c r="H123" s="137"/>
      <c r="I123" s="137"/>
      <c r="J123" s="137"/>
      <c r="K123" s="137"/>
    </row>
    <row r="124" spans="1:11">
      <c r="A124" s="50" t="s">
        <v>485</v>
      </c>
      <c r="B124" s="50" t="s">
        <v>4897</v>
      </c>
      <c r="C124" s="50"/>
      <c r="D124" s="50"/>
      <c r="E124" s="50"/>
      <c r="F124" s="50"/>
      <c r="G124" s="50"/>
      <c r="H124" s="50"/>
      <c r="I124" s="50"/>
      <c r="J124" s="50"/>
      <c r="K124" s="50"/>
    </row>
    <row r="125" spans="1:11">
      <c r="A125" s="129" t="s">
        <v>485</v>
      </c>
      <c r="B125" s="129" t="s">
        <v>4787</v>
      </c>
      <c r="C125" s="129" t="s">
        <v>218</v>
      </c>
      <c r="D125" s="129" t="s">
        <v>4898</v>
      </c>
      <c r="E125" s="129" t="s">
        <v>4789</v>
      </c>
      <c r="F125" s="129" t="s">
        <v>216</v>
      </c>
      <c r="G125" s="129" t="s">
        <v>77</v>
      </c>
      <c r="H125" s="129" t="s">
        <v>4693</v>
      </c>
      <c r="I125" s="129" t="s">
        <v>573</v>
      </c>
      <c r="J125" s="129" t="s">
        <v>4850</v>
      </c>
      <c r="K125" s="129" t="s">
        <v>4590</v>
      </c>
    </row>
    <row r="126" spans="1:11" ht="25.5">
      <c r="A126" s="129" t="s">
        <v>485</v>
      </c>
      <c r="B126" s="129" t="s">
        <v>4643</v>
      </c>
      <c r="C126" s="129" t="s">
        <v>4899</v>
      </c>
      <c r="D126" s="129" t="s">
        <v>4900</v>
      </c>
      <c r="E126" s="129" t="s">
        <v>4901</v>
      </c>
      <c r="F126" s="129" t="s">
        <v>4531</v>
      </c>
      <c r="G126" s="129" t="s">
        <v>677</v>
      </c>
      <c r="H126" s="129" t="s">
        <v>4902</v>
      </c>
      <c r="I126" s="129" t="s">
        <v>4903</v>
      </c>
      <c r="J126" s="129" t="s">
        <v>4904</v>
      </c>
      <c r="K126" s="129" t="s">
        <v>4535</v>
      </c>
    </row>
    <row r="127" spans="1:11" ht="25.5">
      <c r="A127" s="129" t="s">
        <v>485</v>
      </c>
      <c r="B127" s="129" t="s">
        <v>4905</v>
      </c>
      <c r="C127" s="129" t="s">
        <v>4906</v>
      </c>
      <c r="D127" s="129" t="s">
        <v>4907</v>
      </c>
      <c r="E127" s="129" t="s">
        <v>4908</v>
      </c>
      <c r="F127" s="129" t="s">
        <v>4909</v>
      </c>
      <c r="G127" s="129" t="s">
        <v>677</v>
      </c>
      <c r="H127" s="129" t="s">
        <v>4910</v>
      </c>
      <c r="I127" s="129" t="s">
        <v>4911</v>
      </c>
      <c r="J127" s="129" t="s">
        <v>4878</v>
      </c>
      <c r="K127" s="129" t="s">
        <v>4542</v>
      </c>
    </row>
    <row r="128" spans="1:11">
      <c r="A128" s="129" t="s">
        <v>485</v>
      </c>
      <c r="B128" s="129" t="s">
        <v>4912</v>
      </c>
      <c r="C128" s="129" t="s">
        <v>4913</v>
      </c>
      <c r="D128" s="129" t="s">
        <v>4914</v>
      </c>
      <c r="E128" s="129" t="s">
        <v>4908</v>
      </c>
      <c r="F128" s="129" t="s">
        <v>4915</v>
      </c>
      <c r="G128" s="129" t="s">
        <v>677</v>
      </c>
      <c r="H128" s="129" t="s">
        <v>4916</v>
      </c>
      <c r="I128" s="129" t="s">
        <v>4917</v>
      </c>
      <c r="J128" s="129" t="s">
        <v>4918</v>
      </c>
      <c r="K128" s="129" t="s">
        <v>4542</v>
      </c>
    </row>
    <row r="129" spans="1:11" ht="25.5">
      <c r="A129" s="129" t="s">
        <v>485</v>
      </c>
      <c r="B129" s="129" t="s">
        <v>4919</v>
      </c>
      <c r="C129" s="129" t="s">
        <v>4920</v>
      </c>
      <c r="D129" s="129" t="s">
        <v>4921</v>
      </c>
      <c r="E129" s="129" t="s">
        <v>4922</v>
      </c>
      <c r="F129" s="129" t="s">
        <v>4108</v>
      </c>
      <c r="G129" s="129" t="s">
        <v>677</v>
      </c>
      <c r="H129" s="129" t="s">
        <v>4923</v>
      </c>
      <c r="I129" s="129" t="s">
        <v>4924</v>
      </c>
      <c r="J129" s="129" t="s">
        <v>4925</v>
      </c>
      <c r="K129" s="129" t="s">
        <v>4542</v>
      </c>
    </row>
    <row r="130" spans="1:11" ht="25.5">
      <c r="A130" s="129" t="s">
        <v>485</v>
      </c>
      <c r="B130" s="129" t="s">
        <v>4926</v>
      </c>
      <c r="C130" s="129" t="s">
        <v>4927</v>
      </c>
      <c r="D130" s="129" t="s">
        <v>4928</v>
      </c>
      <c r="E130" s="129" t="s">
        <v>4929</v>
      </c>
      <c r="F130" s="129" t="s">
        <v>4103</v>
      </c>
      <c r="G130" s="129" t="s">
        <v>677</v>
      </c>
      <c r="H130" s="129" t="s">
        <v>4930</v>
      </c>
      <c r="I130" s="129" t="s">
        <v>4931</v>
      </c>
      <c r="J130" s="129" t="s">
        <v>4878</v>
      </c>
      <c r="K130" s="129" t="s">
        <v>4555</v>
      </c>
    </row>
    <row r="131" spans="1:11" ht="25.5">
      <c r="A131" s="129" t="s">
        <v>485</v>
      </c>
      <c r="B131" s="129" t="s">
        <v>4879</v>
      </c>
      <c r="C131" s="129" t="s">
        <v>4880</v>
      </c>
      <c r="D131" s="129" t="s">
        <v>4932</v>
      </c>
      <c r="E131" s="129" t="s">
        <v>4933</v>
      </c>
      <c r="F131" s="129" t="s">
        <v>584</v>
      </c>
      <c r="G131" s="129" t="s">
        <v>677</v>
      </c>
      <c r="H131" s="129" t="s">
        <v>4934</v>
      </c>
      <c r="I131" s="129" t="s">
        <v>4935</v>
      </c>
      <c r="J131" s="129" t="s">
        <v>4936</v>
      </c>
      <c r="K131" s="129" t="s">
        <v>4555</v>
      </c>
    </row>
    <row r="132" spans="1:11">
      <c r="A132" s="129" t="s">
        <v>485</v>
      </c>
      <c r="B132" s="129" t="s">
        <v>4886</v>
      </c>
      <c r="C132" s="129" t="s">
        <v>4887</v>
      </c>
      <c r="D132" s="129" t="s">
        <v>4937</v>
      </c>
      <c r="E132" s="129" t="s">
        <v>4908</v>
      </c>
      <c r="F132" s="129" t="s">
        <v>4938</v>
      </c>
      <c r="G132" s="129" t="s">
        <v>677</v>
      </c>
      <c r="H132" s="129" t="s">
        <v>4939</v>
      </c>
      <c r="I132" s="129" t="s">
        <v>4940</v>
      </c>
      <c r="J132" s="129" t="s">
        <v>4891</v>
      </c>
      <c r="K132" s="129" t="s">
        <v>4555</v>
      </c>
    </row>
    <row r="133" spans="1:11">
      <c r="A133" s="129" t="s">
        <v>485</v>
      </c>
      <c r="B133" s="129" t="s">
        <v>4684</v>
      </c>
      <c r="C133" s="129" t="s">
        <v>4892</v>
      </c>
      <c r="D133" s="129" t="s">
        <v>4941</v>
      </c>
      <c r="E133" s="129" t="s">
        <v>4843</v>
      </c>
      <c r="F133" s="129" t="s">
        <v>4844</v>
      </c>
      <c r="G133" s="129" t="s">
        <v>677</v>
      </c>
      <c r="H133" s="129" t="s">
        <v>4942</v>
      </c>
      <c r="I133" s="129" t="s">
        <v>4943</v>
      </c>
      <c r="J133" s="129" t="s">
        <v>70</v>
      </c>
      <c r="K133" s="129" t="s">
        <v>4573</v>
      </c>
    </row>
    <row r="136" spans="1:11" ht="15.75">
      <c r="A136" s="935" t="s">
        <v>4944</v>
      </c>
      <c r="B136" s="896"/>
      <c r="C136" s="896"/>
      <c r="D136" s="137"/>
      <c r="E136" s="137"/>
      <c r="F136" s="137"/>
      <c r="G136" s="137"/>
      <c r="H136" s="137"/>
      <c r="I136" s="137"/>
      <c r="J136" s="137"/>
      <c r="K136" s="137"/>
    </row>
    <row r="137" spans="1:11" ht="25.5">
      <c r="A137" s="50" t="s">
        <v>4522</v>
      </c>
      <c r="B137" s="50" t="s">
        <v>4945</v>
      </c>
      <c r="C137" s="50"/>
      <c r="D137" s="50"/>
      <c r="E137" s="50"/>
      <c r="F137" s="50"/>
      <c r="G137" s="50"/>
      <c r="H137" s="50"/>
      <c r="I137" s="50"/>
      <c r="J137" s="50"/>
      <c r="K137" s="50"/>
    </row>
    <row r="138" spans="1:11">
      <c r="A138" s="129" t="s">
        <v>4522</v>
      </c>
      <c r="B138" s="129" t="s">
        <v>4787</v>
      </c>
      <c r="C138" s="129" t="s">
        <v>4946</v>
      </c>
      <c r="D138" s="129" t="s">
        <v>4947</v>
      </c>
      <c r="E138" s="129" t="s">
        <v>4789</v>
      </c>
      <c r="F138" s="129" t="s">
        <v>216</v>
      </c>
      <c r="G138" s="129" t="s">
        <v>77</v>
      </c>
      <c r="H138" s="129" t="s">
        <v>4790</v>
      </c>
      <c r="I138" s="129" t="s">
        <v>573</v>
      </c>
      <c r="J138" s="129" t="s">
        <v>4850</v>
      </c>
      <c r="K138" s="129" t="s">
        <v>4590</v>
      </c>
    </row>
    <row r="139" spans="1:11" ht="25.5">
      <c r="A139" s="129" t="s">
        <v>4522</v>
      </c>
      <c r="B139" s="129" t="s">
        <v>4633</v>
      </c>
      <c r="C139" s="129" t="s">
        <v>4634</v>
      </c>
      <c r="D139" s="129" t="s">
        <v>4948</v>
      </c>
      <c r="E139" s="129" t="s">
        <v>4949</v>
      </c>
      <c r="F139" s="129" t="s">
        <v>4760</v>
      </c>
      <c r="G139" s="129" t="s">
        <v>677</v>
      </c>
      <c r="H139" s="129" t="s">
        <v>4950</v>
      </c>
      <c r="I139" s="129" t="s">
        <v>4762</v>
      </c>
      <c r="J139" s="129" t="s">
        <v>575</v>
      </c>
      <c r="K139" s="129" t="s">
        <v>4535</v>
      </c>
    </row>
    <row r="140" spans="1:11" ht="25.5">
      <c r="A140" s="129" t="s">
        <v>4522</v>
      </c>
      <c r="B140" s="129" t="s">
        <v>4612</v>
      </c>
      <c r="C140" s="129" t="s">
        <v>4713</v>
      </c>
      <c r="D140" s="129" t="s">
        <v>4951</v>
      </c>
      <c r="E140" s="129" t="s">
        <v>4952</v>
      </c>
      <c r="F140" s="129" t="s">
        <v>4953</v>
      </c>
      <c r="G140" s="129" t="s">
        <v>677</v>
      </c>
      <c r="H140" s="129" t="s">
        <v>4954</v>
      </c>
      <c r="I140" s="129" t="s">
        <v>4955</v>
      </c>
      <c r="J140" s="129" t="s">
        <v>4956</v>
      </c>
      <c r="K140" s="129" t="s">
        <v>4535</v>
      </c>
    </row>
    <row r="141" spans="1:11" ht="25.5">
      <c r="A141" s="129" t="s">
        <v>4522</v>
      </c>
      <c r="B141" s="129" t="s">
        <v>4615</v>
      </c>
      <c r="C141" s="129" t="s">
        <v>4720</v>
      </c>
      <c r="D141" s="129" t="s">
        <v>4957</v>
      </c>
      <c r="E141" s="129" t="s">
        <v>4958</v>
      </c>
      <c r="F141" s="129" t="s">
        <v>2798</v>
      </c>
      <c r="G141" s="129" t="s">
        <v>677</v>
      </c>
      <c r="H141" s="129" t="s">
        <v>4959</v>
      </c>
      <c r="I141" s="129" t="s">
        <v>4960</v>
      </c>
      <c r="J141" s="129" t="s">
        <v>4726</v>
      </c>
      <c r="K141" s="129" t="s">
        <v>4535</v>
      </c>
    </row>
    <row r="142" spans="1:11">
      <c r="A142" s="129" t="s">
        <v>4522</v>
      </c>
      <c r="B142" s="129" t="s">
        <v>4961</v>
      </c>
      <c r="C142" s="129" t="s">
        <v>4962</v>
      </c>
      <c r="D142" s="129" t="s">
        <v>4963</v>
      </c>
      <c r="E142" s="129" t="s">
        <v>4964</v>
      </c>
      <c r="F142" s="129" t="s">
        <v>241</v>
      </c>
      <c r="G142" s="129" t="s">
        <v>677</v>
      </c>
      <c r="H142" s="129" t="s">
        <v>4965</v>
      </c>
      <c r="I142" s="129" t="s">
        <v>4966</v>
      </c>
      <c r="J142" s="129" t="s">
        <v>4967</v>
      </c>
      <c r="K142" s="129" t="s">
        <v>4535</v>
      </c>
    </row>
    <row r="143" spans="1:11">
      <c r="A143" s="129" t="s">
        <v>4522</v>
      </c>
      <c r="B143" s="129" t="s">
        <v>4801</v>
      </c>
      <c r="C143" s="129" t="s">
        <v>4968</v>
      </c>
      <c r="D143" s="129" t="s">
        <v>4969</v>
      </c>
      <c r="E143" s="129" t="s">
        <v>4729</v>
      </c>
      <c r="F143" s="129" t="s">
        <v>4970</v>
      </c>
      <c r="G143" s="129" t="s">
        <v>677</v>
      </c>
      <c r="H143" s="129" t="s">
        <v>4971</v>
      </c>
      <c r="I143" s="129" t="s">
        <v>4972</v>
      </c>
      <c r="J143" s="129" t="s">
        <v>4973</v>
      </c>
      <c r="K143" s="129" t="s">
        <v>4535</v>
      </c>
    </row>
    <row r="144" spans="1:11" ht="25.5">
      <c r="A144" s="129" t="s">
        <v>4522</v>
      </c>
      <c r="B144" s="129" t="s">
        <v>4678</v>
      </c>
      <c r="C144" s="129" t="s">
        <v>4974</v>
      </c>
      <c r="D144" s="129" t="s">
        <v>4975</v>
      </c>
      <c r="E144" s="129" t="s">
        <v>4976</v>
      </c>
      <c r="F144" s="129" t="s">
        <v>4413</v>
      </c>
      <c r="G144" s="129" t="s">
        <v>677</v>
      </c>
      <c r="H144" s="129" t="s">
        <v>4977</v>
      </c>
      <c r="I144" s="129" t="s">
        <v>4978</v>
      </c>
      <c r="J144" s="129" t="s">
        <v>70</v>
      </c>
      <c r="K144" s="129" t="s">
        <v>4573</v>
      </c>
    </row>
    <row r="147" spans="1:11" ht="15.75">
      <c r="A147" s="935" t="s">
        <v>4979</v>
      </c>
      <c r="B147" s="896"/>
      <c r="C147" s="896"/>
      <c r="D147" s="137"/>
      <c r="E147" s="137"/>
      <c r="F147" s="137"/>
      <c r="G147" s="137"/>
      <c r="H147" s="137"/>
      <c r="I147" s="137"/>
      <c r="J147" s="137"/>
      <c r="K147" s="137"/>
    </row>
    <row r="148" spans="1:11" ht="25.5">
      <c r="A148" s="50" t="s">
        <v>4523</v>
      </c>
      <c r="B148" s="50" t="s">
        <v>4980</v>
      </c>
      <c r="C148" s="50"/>
      <c r="D148" s="50"/>
      <c r="E148" s="50"/>
      <c r="F148" s="50"/>
      <c r="G148" s="50"/>
      <c r="H148" s="50"/>
      <c r="I148" s="50"/>
      <c r="J148" s="50"/>
      <c r="K148" s="50"/>
    </row>
    <row r="149" spans="1:11">
      <c r="A149" s="129" t="s">
        <v>4523</v>
      </c>
      <c r="B149" s="129" t="s">
        <v>4787</v>
      </c>
      <c r="C149" s="129" t="s">
        <v>4946</v>
      </c>
      <c r="D149" s="129" t="s">
        <v>4347</v>
      </c>
      <c r="E149" s="129" t="s">
        <v>284</v>
      </c>
      <c r="F149" s="129" t="s">
        <v>216</v>
      </c>
      <c r="G149" s="129" t="s">
        <v>77</v>
      </c>
      <c r="H149" s="129" t="s">
        <v>4790</v>
      </c>
      <c r="I149" s="129" t="s">
        <v>573</v>
      </c>
      <c r="J149" s="129" t="s">
        <v>4850</v>
      </c>
      <c r="K149" s="129" t="s">
        <v>4590</v>
      </c>
    </row>
    <row r="150" spans="1:11">
      <c r="A150" s="129" t="s">
        <v>4523</v>
      </c>
      <c r="B150" s="129" t="s">
        <v>4981</v>
      </c>
      <c r="C150" s="129" t="s">
        <v>4982</v>
      </c>
      <c r="D150" s="129" t="s">
        <v>4983</v>
      </c>
      <c r="E150" s="129" t="s">
        <v>566</v>
      </c>
      <c r="F150" s="129" t="s">
        <v>4817</v>
      </c>
      <c r="G150" s="129" t="s">
        <v>677</v>
      </c>
      <c r="H150" s="129" t="s">
        <v>4984</v>
      </c>
      <c r="I150" s="129" t="s">
        <v>4985</v>
      </c>
      <c r="J150" s="129" t="s">
        <v>4891</v>
      </c>
      <c r="K150" s="129" t="s">
        <v>4542</v>
      </c>
    </row>
    <row r="151" spans="1:11" ht="25.5">
      <c r="A151" s="129" t="s">
        <v>4523</v>
      </c>
      <c r="B151" s="129" t="s">
        <v>4646</v>
      </c>
      <c r="C151" s="129" t="s">
        <v>4814</v>
      </c>
      <c r="D151" s="129" t="s">
        <v>4986</v>
      </c>
      <c r="E151" s="129" t="s">
        <v>566</v>
      </c>
      <c r="F151" s="129" t="s">
        <v>4113</v>
      </c>
      <c r="G151" s="129" t="s">
        <v>677</v>
      </c>
      <c r="H151" s="129" t="s">
        <v>4987</v>
      </c>
      <c r="I151" s="129" t="s">
        <v>4819</v>
      </c>
      <c r="J151" s="129" t="s">
        <v>68</v>
      </c>
      <c r="K151" s="129" t="s">
        <v>4542</v>
      </c>
    </row>
    <row r="152" spans="1:11">
      <c r="A152" s="129" t="s">
        <v>4523</v>
      </c>
      <c r="B152" s="129" t="s">
        <v>4988</v>
      </c>
      <c r="C152" s="129" t="s">
        <v>4989</v>
      </c>
      <c r="D152" s="129" t="s">
        <v>4990</v>
      </c>
      <c r="E152" s="129" t="s">
        <v>148</v>
      </c>
      <c r="F152" s="129" t="s">
        <v>4991</v>
      </c>
      <c r="G152" s="129" t="s">
        <v>677</v>
      </c>
      <c r="H152" s="129" t="s">
        <v>4992</v>
      </c>
      <c r="I152" s="129" t="s">
        <v>4993</v>
      </c>
      <c r="J152" s="129" t="s">
        <v>4878</v>
      </c>
      <c r="K152" s="129" t="s">
        <v>4542</v>
      </c>
    </row>
    <row r="153" spans="1:11">
      <c r="A153" s="129" t="s">
        <v>4523</v>
      </c>
      <c r="B153" s="129" t="s">
        <v>4994</v>
      </c>
      <c r="C153" s="129" t="s">
        <v>4995</v>
      </c>
      <c r="D153" s="129" t="s">
        <v>4996</v>
      </c>
      <c r="E153" s="129" t="s">
        <v>4997</v>
      </c>
      <c r="F153" s="129" t="s">
        <v>4998</v>
      </c>
      <c r="G153" s="129" t="s">
        <v>677</v>
      </c>
      <c r="H153" s="129" t="s">
        <v>4999</v>
      </c>
      <c r="I153" s="129" t="s">
        <v>5000</v>
      </c>
      <c r="J153" s="129" t="s">
        <v>4878</v>
      </c>
      <c r="K153" s="129" t="s">
        <v>4542</v>
      </c>
    </row>
    <row r="154" spans="1:11">
      <c r="A154" s="129" t="s">
        <v>4523</v>
      </c>
      <c r="B154" s="129" t="s">
        <v>4650</v>
      </c>
      <c r="C154" s="129" t="s">
        <v>4651</v>
      </c>
      <c r="D154" s="129" t="s">
        <v>5001</v>
      </c>
      <c r="E154" s="129" t="s">
        <v>148</v>
      </c>
      <c r="F154" s="129" t="s">
        <v>4108</v>
      </c>
      <c r="G154" s="129" t="s">
        <v>677</v>
      </c>
      <c r="H154" s="129" t="s">
        <v>5002</v>
      </c>
      <c r="I154" s="129" t="s">
        <v>5003</v>
      </c>
      <c r="J154" s="129" t="s">
        <v>68</v>
      </c>
      <c r="K154" s="129" t="s">
        <v>4542</v>
      </c>
    </row>
    <row r="155" spans="1:11">
      <c r="A155" s="129" t="s">
        <v>4523</v>
      </c>
      <c r="B155" s="129" t="s">
        <v>5004</v>
      </c>
      <c r="C155" s="129" t="s">
        <v>5005</v>
      </c>
      <c r="D155" s="129" t="s">
        <v>5006</v>
      </c>
      <c r="E155" s="129" t="s">
        <v>153</v>
      </c>
      <c r="F155" s="129" t="s">
        <v>153</v>
      </c>
      <c r="G155" s="129" t="s">
        <v>677</v>
      </c>
      <c r="H155" s="129" t="s">
        <v>5007</v>
      </c>
      <c r="I155" s="129" t="s">
        <v>5008</v>
      </c>
      <c r="J155" s="129" t="s">
        <v>575</v>
      </c>
      <c r="K155" s="129" t="s">
        <v>4542</v>
      </c>
    </row>
    <row r="156" spans="1:11">
      <c r="A156" s="129" t="s">
        <v>4523</v>
      </c>
      <c r="B156" s="129" t="s">
        <v>4654</v>
      </c>
      <c r="C156" s="129" t="s">
        <v>4655</v>
      </c>
      <c r="D156" s="129" t="s">
        <v>5009</v>
      </c>
      <c r="E156" s="129" t="s">
        <v>153</v>
      </c>
      <c r="F156" s="129" t="s">
        <v>2808</v>
      </c>
      <c r="G156" s="129" t="s">
        <v>677</v>
      </c>
      <c r="H156" s="129" t="s">
        <v>5010</v>
      </c>
      <c r="I156" s="129" t="s">
        <v>5011</v>
      </c>
      <c r="J156" s="129" t="s">
        <v>5012</v>
      </c>
      <c r="K156" s="129" t="s">
        <v>4555</v>
      </c>
    </row>
    <row r="157" spans="1:11">
      <c r="A157" s="129" t="s">
        <v>4523</v>
      </c>
      <c r="B157" s="129" t="s">
        <v>5013</v>
      </c>
      <c r="C157" s="129" t="s">
        <v>5014</v>
      </c>
      <c r="D157" s="129" t="s">
        <v>5015</v>
      </c>
      <c r="E157" s="129" t="s">
        <v>153</v>
      </c>
      <c r="F157" s="129" t="s">
        <v>153</v>
      </c>
      <c r="G157" s="129" t="s">
        <v>677</v>
      </c>
      <c r="H157" s="129" t="s">
        <v>5016</v>
      </c>
      <c r="I157" s="129" t="s">
        <v>5017</v>
      </c>
      <c r="J157" s="129" t="s">
        <v>4891</v>
      </c>
      <c r="K157" s="129" t="s">
        <v>4555</v>
      </c>
    </row>
    <row r="158" spans="1:11" ht="25.5">
      <c r="A158" s="129" t="s">
        <v>4523</v>
      </c>
      <c r="B158" s="129" t="s">
        <v>4676</v>
      </c>
      <c r="C158" s="129" t="s">
        <v>4677</v>
      </c>
      <c r="D158" s="129" t="s">
        <v>5018</v>
      </c>
      <c r="E158" s="129" t="s">
        <v>567</v>
      </c>
      <c r="F158" s="129" t="s">
        <v>5019</v>
      </c>
      <c r="G158" s="129" t="s">
        <v>677</v>
      </c>
      <c r="H158" s="129" t="s">
        <v>5020</v>
      </c>
      <c r="I158" s="129" t="s">
        <v>5021</v>
      </c>
      <c r="J158" s="129" t="s">
        <v>4891</v>
      </c>
      <c r="K158" s="129" t="s">
        <v>4573</v>
      </c>
    </row>
    <row r="161" spans="1:11" ht="15.75">
      <c r="A161" s="935" t="s">
        <v>5022</v>
      </c>
      <c r="B161" s="896"/>
      <c r="C161" s="896"/>
      <c r="D161" s="137"/>
      <c r="E161" s="137"/>
      <c r="F161" s="137"/>
      <c r="G161" s="137"/>
      <c r="H161" s="137"/>
      <c r="I161" s="137"/>
      <c r="J161" s="137"/>
      <c r="K161" s="137"/>
    </row>
    <row r="162" spans="1:11" ht="38.25">
      <c r="A162" s="50" t="s">
        <v>4524</v>
      </c>
      <c r="B162" s="50" t="s">
        <v>5023</v>
      </c>
      <c r="C162" s="50"/>
      <c r="D162" s="50"/>
      <c r="E162" s="50"/>
      <c r="F162" s="50"/>
      <c r="G162" s="50"/>
      <c r="H162" s="50"/>
      <c r="I162" s="50"/>
      <c r="J162" s="50"/>
      <c r="K162" s="50"/>
    </row>
    <row r="163" spans="1:11">
      <c r="A163" s="129" t="s">
        <v>4524</v>
      </c>
      <c r="B163" s="129" t="s">
        <v>4787</v>
      </c>
      <c r="C163" s="129" t="s">
        <v>4946</v>
      </c>
      <c r="D163" s="129" t="s">
        <v>4347</v>
      </c>
      <c r="E163" s="129" t="s">
        <v>493</v>
      </c>
      <c r="F163" s="129" t="s">
        <v>216</v>
      </c>
      <c r="G163" s="129" t="s">
        <v>77</v>
      </c>
      <c r="H163" s="129" t="s">
        <v>4790</v>
      </c>
      <c r="I163" s="129" t="s">
        <v>573</v>
      </c>
      <c r="J163" s="129" t="s">
        <v>4850</v>
      </c>
      <c r="K163" s="129" t="s">
        <v>4590</v>
      </c>
    </row>
    <row r="164" spans="1:11" ht="25.5">
      <c r="A164" s="129" t="s">
        <v>4524</v>
      </c>
      <c r="B164" s="129" t="s">
        <v>4657</v>
      </c>
      <c r="C164" s="129" t="s">
        <v>4658</v>
      </c>
      <c r="D164" s="129" t="s">
        <v>5024</v>
      </c>
      <c r="E164" s="129" t="s">
        <v>5025</v>
      </c>
      <c r="F164" s="129" t="s">
        <v>584</v>
      </c>
      <c r="G164" s="129" t="s">
        <v>677</v>
      </c>
      <c r="H164" s="129" t="s">
        <v>5026</v>
      </c>
      <c r="I164" s="129" t="s">
        <v>5027</v>
      </c>
      <c r="J164" s="129" t="s">
        <v>575</v>
      </c>
      <c r="K164" s="129" t="s">
        <v>4555</v>
      </c>
    </row>
    <row r="165" spans="1:11" ht="25.5">
      <c r="A165" s="129" t="s">
        <v>4524</v>
      </c>
      <c r="B165" s="129" t="s">
        <v>5028</v>
      </c>
      <c r="C165" s="129" t="s">
        <v>5029</v>
      </c>
      <c r="D165" s="129" t="s">
        <v>5030</v>
      </c>
      <c r="E165" s="129" t="s">
        <v>5012</v>
      </c>
      <c r="F165" s="129" t="s">
        <v>5031</v>
      </c>
      <c r="G165" s="129" t="s">
        <v>677</v>
      </c>
      <c r="H165" s="129" t="s">
        <v>5032</v>
      </c>
      <c r="I165" s="129" t="s">
        <v>5033</v>
      </c>
      <c r="J165" s="129" t="s">
        <v>5034</v>
      </c>
      <c r="K165" s="129" t="s">
        <v>4555</v>
      </c>
    </row>
    <row r="166" spans="1:11" ht="25.5">
      <c r="A166" s="129" t="s">
        <v>4524</v>
      </c>
      <c r="B166" s="129" t="s">
        <v>5035</v>
      </c>
      <c r="C166" s="129" t="s">
        <v>5036</v>
      </c>
      <c r="D166" s="129" t="s">
        <v>5037</v>
      </c>
      <c r="E166" s="129" t="s">
        <v>2640</v>
      </c>
      <c r="F166" s="129" t="s">
        <v>1037</v>
      </c>
      <c r="G166" s="129" t="s">
        <v>677</v>
      </c>
      <c r="H166" s="129" t="s">
        <v>5038</v>
      </c>
      <c r="I166" s="129" t="s">
        <v>5039</v>
      </c>
      <c r="J166" s="129" t="s">
        <v>575</v>
      </c>
      <c r="K166" s="129" t="s">
        <v>4555</v>
      </c>
    </row>
    <row r="167" spans="1:11">
      <c r="A167" s="129" t="s">
        <v>4524</v>
      </c>
      <c r="B167" s="129" t="s">
        <v>4661</v>
      </c>
      <c r="C167" s="129" t="s">
        <v>5040</v>
      </c>
      <c r="D167" s="129" t="s">
        <v>5041</v>
      </c>
      <c r="E167" s="129" t="s">
        <v>2640</v>
      </c>
      <c r="F167" s="129" t="s">
        <v>1037</v>
      </c>
      <c r="G167" s="129" t="s">
        <v>677</v>
      </c>
      <c r="H167" s="129" t="s">
        <v>5042</v>
      </c>
      <c r="I167" s="129" t="s">
        <v>5043</v>
      </c>
      <c r="J167" s="129" t="s">
        <v>5044</v>
      </c>
      <c r="K167" s="129" t="s">
        <v>4555</v>
      </c>
    </row>
    <row r="168" spans="1:11" ht="25.5">
      <c r="A168" s="129" t="s">
        <v>4524</v>
      </c>
      <c r="B168" s="129" t="s">
        <v>5045</v>
      </c>
      <c r="C168" s="129" t="s">
        <v>5046</v>
      </c>
      <c r="D168" s="129" t="s">
        <v>5047</v>
      </c>
      <c r="E168" s="129" t="s">
        <v>5025</v>
      </c>
      <c r="F168" s="129" t="s">
        <v>155</v>
      </c>
      <c r="G168" s="129" t="s">
        <v>677</v>
      </c>
      <c r="H168" s="129" t="s">
        <v>5048</v>
      </c>
      <c r="I168" s="129" t="s">
        <v>5049</v>
      </c>
      <c r="J168" s="129" t="s">
        <v>575</v>
      </c>
      <c r="K168" s="129" t="s">
        <v>4555</v>
      </c>
    </row>
    <row r="169" spans="1:11">
      <c r="A169" s="129" t="s">
        <v>4524</v>
      </c>
      <c r="B169" s="129" t="s">
        <v>4663</v>
      </c>
      <c r="C169" s="129" t="s">
        <v>4664</v>
      </c>
      <c r="D169" s="129" t="s">
        <v>5050</v>
      </c>
      <c r="E169" s="129" t="s">
        <v>5025</v>
      </c>
      <c r="F169" s="129" t="s">
        <v>584</v>
      </c>
      <c r="G169" s="129" t="s">
        <v>677</v>
      </c>
      <c r="H169" s="129" t="s">
        <v>5051</v>
      </c>
      <c r="I169" s="129" t="s">
        <v>4884</v>
      </c>
      <c r="J169" s="129" t="s">
        <v>575</v>
      </c>
      <c r="K169" s="129" t="s">
        <v>4555</v>
      </c>
    </row>
    <row r="170" spans="1:11" ht="25.5">
      <c r="A170" s="129" t="s">
        <v>4524</v>
      </c>
      <c r="B170" s="129" t="s">
        <v>4665</v>
      </c>
      <c r="C170" s="129" t="s">
        <v>5052</v>
      </c>
      <c r="D170" s="129" t="s">
        <v>5053</v>
      </c>
      <c r="E170" s="129" t="s">
        <v>5012</v>
      </c>
      <c r="F170" s="129" t="s">
        <v>155</v>
      </c>
      <c r="G170" s="129" t="s">
        <v>677</v>
      </c>
      <c r="H170" s="129" t="s">
        <v>5054</v>
      </c>
      <c r="I170" s="129" t="s">
        <v>5055</v>
      </c>
      <c r="J170" s="129" t="s">
        <v>4706</v>
      </c>
      <c r="K170" s="129" t="s">
        <v>4555</v>
      </c>
    </row>
    <row r="171" spans="1:11" ht="25.5">
      <c r="A171" s="129" t="s">
        <v>4524</v>
      </c>
      <c r="B171" s="129" t="s">
        <v>5056</v>
      </c>
      <c r="C171" s="129" t="s">
        <v>5057</v>
      </c>
      <c r="D171" s="129" t="s">
        <v>5058</v>
      </c>
      <c r="E171" s="129" t="s">
        <v>5059</v>
      </c>
      <c r="F171" s="129" t="s">
        <v>2808</v>
      </c>
      <c r="G171" s="129" t="s">
        <v>677</v>
      </c>
      <c r="H171" s="129" t="s">
        <v>5060</v>
      </c>
      <c r="I171" s="129" t="s">
        <v>5061</v>
      </c>
      <c r="J171" s="129" t="s">
        <v>5012</v>
      </c>
      <c r="K171" s="129" t="s">
        <v>4555</v>
      </c>
    </row>
    <row r="172" spans="1:11">
      <c r="A172" s="129" t="s">
        <v>4524</v>
      </c>
      <c r="B172" s="129" t="s">
        <v>4667</v>
      </c>
      <c r="C172" s="129" t="s">
        <v>5062</v>
      </c>
      <c r="D172" s="129" t="s">
        <v>5063</v>
      </c>
      <c r="E172" s="129" t="s">
        <v>5064</v>
      </c>
      <c r="F172" s="129" t="s">
        <v>584</v>
      </c>
      <c r="G172" s="129" t="s">
        <v>677</v>
      </c>
      <c r="H172" s="129" t="s">
        <v>5065</v>
      </c>
      <c r="I172" s="129" t="s">
        <v>4833</v>
      </c>
      <c r="J172" s="129" t="s">
        <v>5066</v>
      </c>
      <c r="K172" s="129" t="s">
        <v>4555</v>
      </c>
    </row>
    <row r="173" spans="1:11">
      <c r="A173" s="129" t="s">
        <v>4524</v>
      </c>
      <c r="B173" s="129" t="s">
        <v>4669</v>
      </c>
      <c r="C173" s="129" t="s">
        <v>5067</v>
      </c>
      <c r="D173" s="129" t="s">
        <v>5068</v>
      </c>
      <c r="E173" s="129" t="s">
        <v>5069</v>
      </c>
      <c r="F173" s="129" t="s">
        <v>155</v>
      </c>
      <c r="G173" s="129" t="s">
        <v>677</v>
      </c>
      <c r="H173" s="129" t="s">
        <v>5070</v>
      </c>
      <c r="I173" s="129" t="s">
        <v>5071</v>
      </c>
      <c r="J173" s="129" t="s">
        <v>4885</v>
      </c>
      <c r="K173" s="129" t="s">
        <v>4555</v>
      </c>
    </row>
    <row r="176" spans="1:11" ht="15.75">
      <c r="A176" s="935" t="s">
        <v>5072</v>
      </c>
      <c r="B176" s="896"/>
      <c r="C176" s="896"/>
      <c r="D176" s="137"/>
      <c r="E176" s="137"/>
      <c r="F176" s="137"/>
      <c r="G176" s="137"/>
      <c r="H176" s="137"/>
      <c r="I176" s="137"/>
      <c r="J176" s="137"/>
      <c r="K176" s="137"/>
    </row>
    <row r="177" spans="1:11" ht="25.5">
      <c r="A177" s="50" t="s">
        <v>556</v>
      </c>
      <c r="B177" s="50" t="s">
        <v>5073</v>
      </c>
      <c r="C177" s="50"/>
      <c r="D177" s="50"/>
      <c r="E177" s="50"/>
      <c r="F177" s="50"/>
      <c r="G177" s="50"/>
      <c r="H177" s="50"/>
      <c r="I177" s="50"/>
      <c r="J177" s="50"/>
      <c r="K177" s="50"/>
    </row>
    <row r="178" spans="1:11">
      <c r="A178" s="129" t="s">
        <v>556</v>
      </c>
      <c r="B178" s="129" t="s">
        <v>4787</v>
      </c>
      <c r="C178" s="129" t="s">
        <v>4946</v>
      </c>
      <c r="D178" s="129" t="s">
        <v>4347</v>
      </c>
      <c r="E178" s="129" t="s">
        <v>493</v>
      </c>
      <c r="F178" s="129" t="s">
        <v>216</v>
      </c>
      <c r="G178" s="129" t="s">
        <v>77</v>
      </c>
      <c r="H178" s="129" t="s">
        <v>4790</v>
      </c>
      <c r="I178" s="129" t="s">
        <v>573</v>
      </c>
      <c r="J178" s="129" t="s">
        <v>4850</v>
      </c>
      <c r="K178" s="129" t="s">
        <v>4590</v>
      </c>
    </row>
    <row r="179" spans="1:11" ht="25.5">
      <c r="A179" s="129" t="s">
        <v>556</v>
      </c>
      <c r="B179" s="129" t="s">
        <v>5074</v>
      </c>
      <c r="C179" s="129" t="s">
        <v>5075</v>
      </c>
      <c r="D179" s="129" t="s">
        <v>5076</v>
      </c>
      <c r="E179" s="129" t="s">
        <v>556</v>
      </c>
      <c r="F179" s="129" t="s">
        <v>2834</v>
      </c>
      <c r="G179" s="129" t="s">
        <v>677</v>
      </c>
      <c r="H179" s="129" t="s">
        <v>5077</v>
      </c>
      <c r="I179" s="129" t="s">
        <v>5078</v>
      </c>
      <c r="J179" s="129" t="s">
        <v>5079</v>
      </c>
      <c r="K179" s="129" t="s">
        <v>4555</v>
      </c>
    </row>
    <row r="180" spans="1:11">
      <c r="A180" s="129" t="s">
        <v>556</v>
      </c>
      <c r="B180" s="129" t="s">
        <v>4886</v>
      </c>
      <c r="C180" s="129" t="s">
        <v>5080</v>
      </c>
      <c r="D180" s="129" t="s">
        <v>5081</v>
      </c>
      <c r="E180" s="129" t="s">
        <v>5082</v>
      </c>
      <c r="F180" s="129" t="s">
        <v>5083</v>
      </c>
      <c r="G180" s="129" t="s">
        <v>677</v>
      </c>
      <c r="H180" s="129" t="s">
        <v>5084</v>
      </c>
      <c r="I180" s="129" t="s">
        <v>5085</v>
      </c>
      <c r="J180" s="129" t="s">
        <v>5086</v>
      </c>
      <c r="K180" s="129" t="s">
        <v>4555</v>
      </c>
    </row>
    <row r="181" spans="1:11">
      <c r="A181" s="129" t="s">
        <v>556</v>
      </c>
      <c r="B181" s="129" t="s">
        <v>4671</v>
      </c>
      <c r="C181" s="129" t="s">
        <v>4672</v>
      </c>
      <c r="D181" s="129" t="s">
        <v>5087</v>
      </c>
      <c r="E181" s="129" t="s">
        <v>1008</v>
      </c>
      <c r="F181" s="129" t="s">
        <v>5088</v>
      </c>
      <c r="G181" s="129" t="s">
        <v>677</v>
      </c>
      <c r="H181" s="129" t="s">
        <v>5089</v>
      </c>
      <c r="I181" s="129" t="s">
        <v>4837</v>
      </c>
      <c r="J181" s="129" t="s">
        <v>5090</v>
      </c>
      <c r="K181" s="129" t="s">
        <v>4555</v>
      </c>
    </row>
    <row r="182" spans="1:11">
      <c r="A182" s="129" t="s">
        <v>556</v>
      </c>
      <c r="B182" s="129" t="s">
        <v>4673</v>
      </c>
      <c r="C182" s="129" t="s">
        <v>4674</v>
      </c>
      <c r="D182" s="129" t="s">
        <v>5091</v>
      </c>
      <c r="E182" s="129" t="s">
        <v>1012</v>
      </c>
      <c r="F182" s="129" t="s">
        <v>2834</v>
      </c>
      <c r="G182" s="129" t="s">
        <v>677</v>
      </c>
      <c r="H182" s="129" t="s">
        <v>5092</v>
      </c>
      <c r="I182" s="129" t="s">
        <v>5093</v>
      </c>
      <c r="J182" s="129" t="s">
        <v>5094</v>
      </c>
      <c r="K182" s="129" t="s">
        <v>4555</v>
      </c>
    </row>
    <row r="183" spans="1:11">
      <c r="A183" s="129" t="s">
        <v>556</v>
      </c>
      <c r="B183" s="129" t="s">
        <v>4676</v>
      </c>
      <c r="C183" s="129" t="s">
        <v>4677</v>
      </c>
      <c r="D183" s="129" t="s">
        <v>5095</v>
      </c>
      <c r="E183" s="129" t="s">
        <v>567</v>
      </c>
      <c r="F183" s="129" t="s">
        <v>5019</v>
      </c>
      <c r="G183" s="129" t="s">
        <v>677</v>
      </c>
      <c r="H183" s="129" t="s">
        <v>5096</v>
      </c>
      <c r="I183" s="129" t="s">
        <v>5097</v>
      </c>
      <c r="J183" s="129" t="s">
        <v>4891</v>
      </c>
      <c r="K183" s="129" t="s">
        <v>4573</v>
      </c>
    </row>
    <row r="186" spans="1:11" ht="15.75">
      <c r="A186" s="935" t="s">
        <v>5098</v>
      </c>
      <c r="B186" s="896"/>
      <c r="C186" s="896"/>
      <c r="D186" s="137"/>
      <c r="E186" s="137"/>
      <c r="F186" s="137"/>
      <c r="G186" s="137"/>
      <c r="H186" s="137"/>
      <c r="I186" s="137"/>
      <c r="J186" s="137"/>
      <c r="K186" s="137"/>
    </row>
    <row r="187" spans="1:11" ht="25.5">
      <c r="A187" s="50" t="s">
        <v>4525</v>
      </c>
      <c r="B187" s="50" t="s">
        <v>5099</v>
      </c>
      <c r="C187" s="50"/>
      <c r="D187" s="50"/>
      <c r="E187" s="50"/>
      <c r="F187" s="50"/>
      <c r="G187" s="50"/>
      <c r="H187" s="50"/>
      <c r="I187" s="50"/>
      <c r="J187" s="50"/>
      <c r="K187" s="50"/>
    </row>
    <row r="188" spans="1:11">
      <c r="A188" s="129" t="s">
        <v>4525</v>
      </c>
      <c r="B188" s="129" t="s">
        <v>4787</v>
      </c>
      <c r="C188" s="129" t="s">
        <v>4946</v>
      </c>
      <c r="D188" s="129" t="s">
        <v>4347</v>
      </c>
      <c r="E188" s="129" t="s">
        <v>493</v>
      </c>
      <c r="F188" s="129" t="s">
        <v>216</v>
      </c>
      <c r="G188" s="129" t="s">
        <v>77</v>
      </c>
      <c r="H188" s="129" t="s">
        <v>4790</v>
      </c>
      <c r="I188" s="129" t="s">
        <v>573</v>
      </c>
      <c r="J188" s="129" t="s">
        <v>4850</v>
      </c>
      <c r="K188" s="129" t="s">
        <v>4590</v>
      </c>
    </row>
    <row r="189" spans="1:11">
      <c r="A189" s="129" t="s">
        <v>4525</v>
      </c>
      <c r="B189" s="129" t="s">
        <v>4678</v>
      </c>
      <c r="C189" s="129" t="s">
        <v>4679</v>
      </c>
      <c r="D189" s="129" t="s">
        <v>5100</v>
      </c>
      <c r="E189" s="129" t="s">
        <v>5101</v>
      </c>
      <c r="F189" s="129" t="s">
        <v>5102</v>
      </c>
      <c r="G189" s="129" t="s">
        <v>677</v>
      </c>
      <c r="H189" s="129" t="s">
        <v>5103</v>
      </c>
      <c r="I189" s="129" t="s">
        <v>4739</v>
      </c>
      <c r="J189" s="129" t="s">
        <v>5104</v>
      </c>
      <c r="K189" s="129" t="s">
        <v>4573</v>
      </c>
    </row>
    <row r="190" spans="1:11">
      <c r="A190" s="129" t="s">
        <v>4525</v>
      </c>
      <c r="B190" s="129" t="s">
        <v>5105</v>
      </c>
      <c r="C190" s="129" t="s">
        <v>5106</v>
      </c>
      <c r="D190" s="129" t="s">
        <v>5107</v>
      </c>
      <c r="E190" s="129" t="s">
        <v>5101</v>
      </c>
      <c r="F190" s="129" t="s">
        <v>4475</v>
      </c>
      <c r="G190" s="129" t="s">
        <v>677</v>
      </c>
      <c r="H190" s="129" t="s">
        <v>5108</v>
      </c>
      <c r="I190" s="129" t="s">
        <v>5109</v>
      </c>
      <c r="J190" s="129" t="s">
        <v>5104</v>
      </c>
      <c r="K190" s="129" t="s">
        <v>4573</v>
      </c>
    </row>
    <row r="191" spans="1:11">
      <c r="A191" s="129" t="s">
        <v>4525</v>
      </c>
      <c r="B191" s="129" t="s">
        <v>5110</v>
      </c>
      <c r="C191" s="129" t="s">
        <v>5111</v>
      </c>
      <c r="D191" s="129" t="s">
        <v>5112</v>
      </c>
      <c r="E191" s="129" t="s">
        <v>5101</v>
      </c>
      <c r="F191" s="129" t="s">
        <v>4475</v>
      </c>
      <c r="G191" s="129" t="s">
        <v>677</v>
      </c>
      <c r="H191" s="129" t="s">
        <v>5113</v>
      </c>
      <c r="I191" s="129" t="s">
        <v>5114</v>
      </c>
      <c r="J191" s="129" t="s">
        <v>70</v>
      </c>
      <c r="K191" s="129" t="s">
        <v>4573</v>
      </c>
    </row>
    <row r="192" spans="1:11" ht="25.5">
      <c r="A192" s="129" t="s">
        <v>4525</v>
      </c>
      <c r="B192" s="129" t="s">
        <v>5115</v>
      </c>
      <c r="C192" s="129" t="s">
        <v>5116</v>
      </c>
      <c r="D192" s="129" t="s">
        <v>5117</v>
      </c>
      <c r="E192" s="129" t="s">
        <v>5101</v>
      </c>
      <c r="F192" s="129" t="s">
        <v>4475</v>
      </c>
      <c r="G192" s="129" t="s">
        <v>677</v>
      </c>
      <c r="H192" s="129" t="s">
        <v>5118</v>
      </c>
      <c r="I192" s="129" t="s">
        <v>5119</v>
      </c>
      <c r="J192" s="129" t="s">
        <v>70</v>
      </c>
      <c r="K192" s="129" t="s">
        <v>4573</v>
      </c>
    </row>
    <row r="193" spans="1:11">
      <c r="A193" s="129" t="s">
        <v>4525</v>
      </c>
      <c r="B193" s="129" t="s">
        <v>4681</v>
      </c>
      <c r="C193" s="129" t="s">
        <v>4682</v>
      </c>
      <c r="D193" s="129" t="s">
        <v>5120</v>
      </c>
      <c r="E193" s="129" t="s">
        <v>5101</v>
      </c>
      <c r="F193" s="129" t="s">
        <v>4475</v>
      </c>
      <c r="G193" s="129" t="s">
        <v>677</v>
      </c>
      <c r="H193" s="129" t="s">
        <v>5121</v>
      </c>
      <c r="I193" s="129" t="s">
        <v>5122</v>
      </c>
      <c r="J193" s="129" t="s">
        <v>70</v>
      </c>
      <c r="K193" s="129" t="s">
        <v>4573</v>
      </c>
    </row>
    <row r="194" spans="1:11">
      <c r="A194" s="129" t="s">
        <v>4525</v>
      </c>
      <c r="B194" s="129" t="s">
        <v>4684</v>
      </c>
      <c r="C194" s="129" t="s">
        <v>4685</v>
      </c>
      <c r="D194" s="129" t="s">
        <v>5123</v>
      </c>
      <c r="E194" s="129" t="s">
        <v>5124</v>
      </c>
      <c r="F194" s="129" t="s">
        <v>4844</v>
      </c>
      <c r="G194" s="129" t="s">
        <v>677</v>
      </c>
      <c r="H194" s="129" t="s">
        <v>5125</v>
      </c>
      <c r="I194" s="129" t="s">
        <v>5126</v>
      </c>
      <c r="J194" s="129" t="s">
        <v>70</v>
      </c>
      <c r="K194" s="129" t="s">
        <v>4573</v>
      </c>
    </row>
    <row r="195" spans="1:11">
      <c r="A195" s="129" t="s">
        <v>4525</v>
      </c>
      <c r="B195" s="129" t="s">
        <v>5127</v>
      </c>
      <c r="C195" s="129" t="s">
        <v>5128</v>
      </c>
      <c r="D195" s="129" t="s">
        <v>5129</v>
      </c>
      <c r="E195" s="129" t="s">
        <v>5101</v>
      </c>
      <c r="F195" s="129" t="s">
        <v>4475</v>
      </c>
      <c r="G195" s="129" t="s">
        <v>677</v>
      </c>
      <c r="H195" s="129" t="s">
        <v>5130</v>
      </c>
      <c r="I195" s="129" t="s">
        <v>5131</v>
      </c>
      <c r="J195" s="129" t="s">
        <v>70</v>
      </c>
      <c r="K195" s="129" t="s">
        <v>4573</v>
      </c>
    </row>
    <row r="198" spans="1:11" ht="15.75">
      <c r="A198" s="935" t="s">
        <v>5132</v>
      </c>
      <c r="B198" s="896"/>
      <c r="C198" s="896"/>
      <c r="D198" s="137"/>
      <c r="E198" s="137"/>
      <c r="F198" s="137"/>
      <c r="G198" s="137"/>
      <c r="H198" s="137"/>
      <c r="I198" s="137"/>
      <c r="J198" s="137"/>
      <c r="K198" s="137"/>
    </row>
    <row r="199" spans="1:11" ht="25.5">
      <c r="A199" s="50" t="s">
        <v>4526</v>
      </c>
      <c r="B199" s="50" t="s">
        <v>5133</v>
      </c>
      <c r="C199" s="50"/>
      <c r="D199" s="50"/>
      <c r="E199" s="50"/>
      <c r="F199" s="50"/>
      <c r="G199" s="50"/>
      <c r="H199" s="50"/>
      <c r="I199" s="50"/>
      <c r="J199" s="50"/>
      <c r="K199" s="50"/>
    </row>
    <row r="200" spans="1:11">
      <c r="A200" s="129" t="s">
        <v>4526</v>
      </c>
      <c r="B200" s="129" t="s">
        <v>213</v>
      </c>
      <c r="C200" s="129" t="s">
        <v>4291</v>
      </c>
      <c r="D200" s="129" t="s">
        <v>573</v>
      </c>
      <c r="E200" s="129" t="s">
        <v>215</v>
      </c>
      <c r="F200" s="129" t="s">
        <v>257</v>
      </c>
      <c r="G200" s="129" t="s">
        <v>572</v>
      </c>
      <c r="H200" s="129" t="s">
        <v>259</v>
      </c>
      <c r="I200" s="129" t="s">
        <v>216</v>
      </c>
      <c r="J200" s="129" t="s">
        <v>77</v>
      </c>
      <c r="K200" s="129" t="s">
        <v>11</v>
      </c>
    </row>
    <row r="201" spans="1:11" ht="38.25">
      <c r="A201" s="129" t="s">
        <v>4526</v>
      </c>
      <c r="B201" s="129" t="s">
        <v>5134</v>
      </c>
      <c r="C201" s="129" t="s">
        <v>575</v>
      </c>
      <c r="D201" s="129" t="s">
        <v>5135</v>
      </c>
      <c r="E201" s="129" t="s">
        <v>391</v>
      </c>
      <c r="F201" s="129" t="s">
        <v>488</v>
      </c>
      <c r="G201" s="129">
        <v>6</v>
      </c>
      <c r="H201" s="129" t="s">
        <v>5136</v>
      </c>
      <c r="I201" s="129" t="s">
        <v>5137</v>
      </c>
      <c r="J201" s="13" t="s">
        <v>502</v>
      </c>
      <c r="K201" s="129" t="s">
        <v>5138</v>
      </c>
    </row>
    <row r="202" spans="1:11" ht="25.5">
      <c r="A202" s="129" t="s">
        <v>4526</v>
      </c>
      <c r="B202" s="129" t="s">
        <v>5139</v>
      </c>
      <c r="C202" s="129" t="s">
        <v>731</v>
      </c>
      <c r="D202" s="129" t="s">
        <v>5140</v>
      </c>
      <c r="E202" s="129" t="s">
        <v>391</v>
      </c>
      <c r="F202" s="129" t="s">
        <v>488</v>
      </c>
      <c r="G202" s="129">
        <v>6</v>
      </c>
      <c r="H202" s="129" t="s">
        <v>5141</v>
      </c>
      <c r="I202" s="129" t="s">
        <v>4710</v>
      </c>
      <c r="J202" s="13" t="s">
        <v>502</v>
      </c>
      <c r="K202" s="129" t="s">
        <v>5142</v>
      </c>
    </row>
    <row r="203" spans="1:11" ht="25.5">
      <c r="A203" s="129" t="s">
        <v>4526</v>
      </c>
      <c r="B203" s="129" t="s">
        <v>5143</v>
      </c>
      <c r="C203" s="129" t="s">
        <v>5144</v>
      </c>
      <c r="D203" s="129" t="s">
        <v>5145</v>
      </c>
      <c r="E203" s="129" t="s">
        <v>492</v>
      </c>
      <c r="F203" s="129" t="s">
        <v>488</v>
      </c>
      <c r="G203" s="129">
        <v>8</v>
      </c>
      <c r="H203" s="129" t="s">
        <v>5146</v>
      </c>
      <c r="I203" s="129" t="s">
        <v>4723</v>
      </c>
      <c r="J203" s="13" t="s">
        <v>502</v>
      </c>
      <c r="K203" s="129" t="s">
        <v>5147</v>
      </c>
    </row>
    <row r="204" spans="1:11" ht="25.5">
      <c r="A204" s="129" t="s">
        <v>4526</v>
      </c>
      <c r="B204" s="129" t="s">
        <v>5148</v>
      </c>
      <c r="C204" s="129" t="s">
        <v>5149</v>
      </c>
      <c r="D204" s="129" t="s">
        <v>5150</v>
      </c>
      <c r="E204" s="129" t="s">
        <v>492</v>
      </c>
      <c r="F204" s="129" t="s">
        <v>488</v>
      </c>
      <c r="G204" s="129">
        <v>8</v>
      </c>
      <c r="H204" s="129" t="s">
        <v>5151</v>
      </c>
      <c r="I204" s="129" t="s">
        <v>5152</v>
      </c>
      <c r="J204" s="13" t="s">
        <v>502</v>
      </c>
      <c r="K204" s="129" t="s">
        <v>5153</v>
      </c>
    </row>
    <row r="205" spans="1:11" ht="38.25">
      <c r="A205" s="129" t="s">
        <v>4526</v>
      </c>
      <c r="B205" s="129" t="s">
        <v>5154</v>
      </c>
      <c r="C205" s="129" t="s">
        <v>485</v>
      </c>
      <c r="D205" s="129" t="s">
        <v>5155</v>
      </c>
      <c r="E205" s="129" t="s">
        <v>492</v>
      </c>
      <c r="F205" s="129" t="s">
        <v>488</v>
      </c>
      <c r="G205" s="129">
        <v>8</v>
      </c>
      <c r="H205" s="129" t="s">
        <v>5156</v>
      </c>
      <c r="I205" s="129" t="s">
        <v>4531</v>
      </c>
      <c r="J205" s="13" t="s">
        <v>502</v>
      </c>
      <c r="K205" s="129" t="s">
        <v>5157</v>
      </c>
    </row>
    <row r="206" spans="1:11" ht="25.5">
      <c r="A206" s="129" t="s">
        <v>4526</v>
      </c>
      <c r="B206" s="129" t="s">
        <v>5158</v>
      </c>
      <c r="C206" s="129" t="s">
        <v>3495</v>
      </c>
      <c r="D206" s="129" t="s">
        <v>5159</v>
      </c>
      <c r="E206" s="129" t="s">
        <v>492</v>
      </c>
      <c r="F206" s="129" t="s">
        <v>488</v>
      </c>
      <c r="G206" s="129">
        <v>8</v>
      </c>
      <c r="H206" s="129" t="s">
        <v>5160</v>
      </c>
      <c r="I206" s="129" t="s">
        <v>584</v>
      </c>
      <c r="J206" s="13" t="s">
        <v>502</v>
      </c>
      <c r="K206" s="129" t="s">
        <v>5161</v>
      </c>
    </row>
    <row r="207" spans="1:11" ht="25.5">
      <c r="A207" s="129" t="s">
        <v>4526</v>
      </c>
      <c r="B207" s="129" t="s">
        <v>5162</v>
      </c>
      <c r="C207" s="129" t="s">
        <v>153</v>
      </c>
      <c r="D207" s="129" t="s">
        <v>5163</v>
      </c>
      <c r="E207" s="129" t="s">
        <v>391</v>
      </c>
      <c r="F207" s="129" t="s">
        <v>488</v>
      </c>
      <c r="G207" s="129">
        <v>6</v>
      </c>
      <c r="H207" s="129" t="s">
        <v>5164</v>
      </c>
      <c r="I207" s="129" t="s">
        <v>5165</v>
      </c>
      <c r="J207" s="13" t="s">
        <v>502</v>
      </c>
      <c r="K207" s="129" t="s">
        <v>5166</v>
      </c>
    </row>
    <row r="208" spans="1:11" ht="25.5">
      <c r="A208" s="129" t="s">
        <v>4526</v>
      </c>
      <c r="B208" s="129" t="s">
        <v>5167</v>
      </c>
      <c r="C208" s="129" t="s">
        <v>5168</v>
      </c>
      <c r="D208" s="129" t="s">
        <v>5169</v>
      </c>
      <c r="E208" s="129" t="s">
        <v>492</v>
      </c>
      <c r="F208" s="129" t="s">
        <v>488</v>
      </c>
      <c r="G208" s="129">
        <v>8</v>
      </c>
      <c r="H208" s="129" t="s">
        <v>5170</v>
      </c>
      <c r="I208" s="129" t="s">
        <v>4868</v>
      </c>
      <c r="J208" s="13" t="s">
        <v>502</v>
      </c>
      <c r="K208" s="129" t="s">
        <v>4807</v>
      </c>
    </row>
    <row r="209" spans="1:11" ht="38.25">
      <c r="A209" s="129" t="s">
        <v>4526</v>
      </c>
      <c r="B209" s="129" t="s">
        <v>5171</v>
      </c>
      <c r="C209" s="129" t="s">
        <v>68</v>
      </c>
      <c r="D209" s="129" t="s">
        <v>5172</v>
      </c>
      <c r="E209" s="129" t="s">
        <v>492</v>
      </c>
      <c r="F209" s="129" t="s">
        <v>488</v>
      </c>
      <c r="G209" s="129">
        <v>8</v>
      </c>
      <c r="H209" s="129" t="s">
        <v>5173</v>
      </c>
      <c r="I209" s="129" t="s">
        <v>5174</v>
      </c>
      <c r="J209" s="13" t="s">
        <v>502</v>
      </c>
      <c r="K209" s="129" t="s">
        <v>5175</v>
      </c>
    </row>
    <row r="210" spans="1:11" ht="25.5">
      <c r="A210" s="129" t="s">
        <v>4526</v>
      </c>
      <c r="B210" s="129" t="s">
        <v>5176</v>
      </c>
      <c r="C210" s="129" t="s">
        <v>5177</v>
      </c>
      <c r="D210" s="129" t="s">
        <v>5178</v>
      </c>
      <c r="E210" s="129" t="s">
        <v>391</v>
      </c>
      <c r="F210" s="129" t="s">
        <v>488</v>
      </c>
      <c r="G210" s="129">
        <v>6</v>
      </c>
      <c r="H210" s="129" t="s">
        <v>5179</v>
      </c>
      <c r="I210" s="129" t="s">
        <v>5180</v>
      </c>
      <c r="J210" s="13" t="s">
        <v>502</v>
      </c>
      <c r="K210" s="129" t="s">
        <v>5181</v>
      </c>
    </row>
    <row r="213" spans="1:11" ht="15.75">
      <c r="A213" s="935" t="s">
        <v>5182</v>
      </c>
      <c r="B213" s="896"/>
      <c r="C213" s="896"/>
      <c r="D213" s="137"/>
      <c r="E213" s="137"/>
      <c r="F213" s="137"/>
      <c r="G213" s="137"/>
      <c r="H213" s="137"/>
      <c r="I213" s="137"/>
      <c r="J213" s="137"/>
      <c r="K213" s="137"/>
    </row>
    <row r="214" spans="1:11" ht="25.5">
      <c r="A214" s="50" t="s">
        <v>199</v>
      </c>
      <c r="B214" s="50" t="s">
        <v>5183</v>
      </c>
      <c r="C214" s="50"/>
      <c r="D214" s="50"/>
      <c r="E214" s="50"/>
      <c r="F214" s="50"/>
      <c r="G214" s="50"/>
      <c r="H214" s="50"/>
      <c r="I214" s="50"/>
      <c r="J214" s="50"/>
      <c r="K214" s="50"/>
    </row>
    <row r="215" spans="1:11">
      <c r="A215" s="129" t="s">
        <v>199</v>
      </c>
      <c r="B215" s="129" t="s">
        <v>221</v>
      </c>
      <c r="C215" s="129" t="s">
        <v>222</v>
      </c>
      <c r="D215" s="129" t="s">
        <v>265</v>
      </c>
      <c r="E215" s="129" t="s">
        <v>77</v>
      </c>
      <c r="F215" s="129" t="s">
        <v>878</v>
      </c>
      <c r="G215" s="129" t="s">
        <v>879</v>
      </c>
      <c r="H215" s="129" t="s">
        <v>880</v>
      </c>
      <c r="I215" s="129" t="s">
        <v>494</v>
      </c>
      <c r="J215" s="129" t="s">
        <v>881</v>
      </c>
      <c r="K215" s="129" t="s">
        <v>4590</v>
      </c>
    </row>
    <row r="216" spans="1:11" ht="55.15" customHeight="1">
      <c r="A216" s="129" t="s">
        <v>199</v>
      </c>
      <c r="B216" s="129" t="s">
        <v>5184</v>
      </c>
      <c r="C216" s="129" t="s">
        <v>5185</v>
      </c>
      <c r="D216" s="129" t="s">
        <v>2798</v>
      </c>
      <c r="E216" s="13" t="s">
        <v>502</v>
      </c>
      <c r="F216" s="129"/>
      <c r="G216" s="129"/>
      <c r="H216" s="129" t="s">
        <v>5186</v>
      </c>
      <c r="I216" s="129"/>
      <c r="J216" s="129"/>
      <c r="K216" s="129" t="s">
        <v>4610</v>
      </c>
    </row>
    <row r="217" spans="1:11" ht="69" customHeight="1">
      <c r="A217" s="129" t="s">
        <v>199</v>
      </c>
      <c r="B217" s="129" t="s">
        <v>5187</v>
      </c>
      <c r="C217" s="129" t="s">
        <v>5188</v>
      </c>
      <c r="D217" s="129" t="s">
        <v>5137</v>
      </c>
      <c r="E217" s="13" t="s">
        <v>502</v>
      </c>
      <c r="F217" s="129"/>
      <c r="G217" s="129"/>
      <c r="H217" s="129" t="s">
        <v>5189</v>
      </c>
      <c r="I217" s="129"/>
      <c r="J217" s="129"/>
      <c r="K217" s="129" t="s">
        <v>575</v>
      </c>
    </row>
    <row r="218" spans="1:11" ht="67.900000000000006" customHeight="1">
      <c r="A218" s="129" t="s">
        <v>199</v>
      </c>
      <c r="B218" s="129" t="s">
        <v>5190</v>
      </c>
      <c r="C218" s="129" t="s">
        <v>5191</v>
      </c>
      <c r="D218" s="129" t="s">
        <v>5174</v>
      </c>
      <c r="E218" s="13" t="s">
        <v>502</v>
      </c>
      <c r="F218" s="129"/>
      <c r="G218" s="129"/>
      <c r="H218" s="129" t="s">
        <v>5192</v>
      </c>
      <c r="I218" s="129"/>
      <c r="J218" s="129"/>
      <c r="K218" s="129" t="s">
        <v>5193</v>
      </c>
    </row>
    <row r="219" spans="1:11" ht="60" customHeight="1">
      <c r="A219" s="129" t="s">
        <v>199</v>
      </c>
      <c r="B219" s="129" t="s">
        <v>5194</v>
      </c>
      <c r="C219" s="129" t="s">
        <v>5195</v>
      </c>
      <c r="D219" s="129" t="s">
        <v>5196</v>
      </c>
      <c r="E219" s="13" t="s">
        <v>502</v>
      </c>
      <c r="F219" s="129"/>
      <c r="G219" s="129"/>
      <c r="H219" s="129" t="s">
        <v>5197</v>
      </c>
      <c r="I219" s="129"/>
      <c r="J219" s="129"/>
      <c r="K219" s="129" t="s">
        <v>5147</v>
      </c>
    </row>
    <row r="220" spans="1:11" ht="66" customHeight="1">
      <c r="A220" s="129" t="s">
        <v>199</v>
      </c>
      <c r="B220" s="129" t="s">
        <v>5198</v>
      </c>
      <c r="C220" s="129" t="s">
        <v>5199</v>
      </c>
      <c r="D220" s="129" t="s">
        <v>5200</v>
      </c>
      <c r="E220" s="13" t="s">
        <v>502</v>
      </c>
      <c r="F220" s="129"/>
      <c r="G220" s="129"/>
      <c r="H220" s="129" t="s">
        <v>5201</v>
      </c>
      <c r="I220" s="129"/>
      <c r="J220" s="129"/>
      <c r="K220" s="129" t="s">
        <v>5202</v>
      </c>
    </row>
    <row r="221" spans="1:11" ht="57" customHeight="1">
      <c r="A221" s="129" t="s">
        <v>199</v>
      </c>
      <c r="B221" s="129" t="s">
        <v>5203</v>
      </c>
      <c r="C221" s="129" t="s">
        <v>5204</v>
      </c>
      <c r="D221" s="129" t="s">
        <v>595</v>
      </c>
      <c r="E221" s="13" t="s">
        <v>502</v>
      </c>
      <c r="F221" s="129"/>
      <c r="G221" s="129"/>
      <c r="H221" s="129" t="s">
        <v>5205</v>
      </c>
      <c r="I221" s="129"/>
      <c r="J221" s="129"/>
      <c r="K221" s="129" t="s">
        <v>5206</v>
      </c>
    </row>
    <row r="222" spans="1:11" ht="61.15" customHeight="1">
      <c r="A222" s="129" t="s">
        <v>199</v>
      </c>
      <c r="B222" s="129" t="s">
        <v>5207</v>
      </c>
      <c r="C222" s="129" t="s">
        <v>5208</v>
      </c>
      <c r="D222" s="129" t="s">
        <v>5209</v>
      </c>
      <c r="E222" s="13" t="s">
        <v>502</v>
      </c>
      <c r="F222" s="129"/>
      <c r="G222" s="129"/>
      <c r="H222" s="129" t="s">
        <v>5210</v>
      </c>
      <c r="I222" s="129"/>
      <c r="J222" s="129"/>
      <c r="K222" s="129" t="s">
        <v>5211</v>
      </c>
    </row>
    <row r="223" spans="1:11" ht="51.6" customHeight="1">
      <c r="A223" s="129" t="s">
        <v>199</v>
      </c>
      <c r="B223" s="129" t="s">
        <v>5212</v>
      </c>
      <c r="C223" s="129" t="s">
        <v>5213</v>
      </c>
      <c r="D223" s="129" t="s">
        <v>4103</v>
      </c>
      <c r="E223" s="13" t="s">
        <v>502</v>
      </c>
      <c r="F223" s="129"/>
      <c r="G223" s="129"/>
      <c r="H223" s="129" t="s">
        <v>5214</v>
      </c>
      <c r="I223" s="129"/>
      <c r="J223" s="129"/>
      <c r="K223" s="129" t="s">
        <v>4654</v>
      </c>
    </row>
    <row r="224" spans="1:11" ht="61.15" customHeight="1">
      <c r="A224" s="129" t="s">
        <v>199</v>
      </c>
      <c r="B224" s="129" t="s">
        <v>5215</v>
      </c>
      <c r="C224" s="129" t="s">
        <v>5216</v>
      </c>
      <c r="D224" s="129" t="s">
        <v>4868</v>
      </c>
      <c r="E224" s="13" t="s">
        <v>502</v>
      </c>
      <c r="F224" s="129"/>
      <c r="G224" s="129"/>
      <c r="H224" s="129" t="s">
        <v>5217</v>
      </c>
      <c r="I224" s="129"/>
      <c r="J224" s="129"/>
      <c r="K224" s="129" t="s">
        <v>4807</v>
      </c>
    </row>
    <row r="225" spans="1:11" ht="38.25">
      <c r="A225" s="129" t="s">
        <v>199</v>
      </c>
      <c r="B225" s="129" t="s">
        <v>5218</v>
      </c>
      <c r="C225" s="129" t="s">
        <v>5219</v>
      </c>
      <c r="D225" s="129" t="s">
        <v>5220</v>
      </c>
      <c r="E225" s="13" t="s">
        <v>502</v>
      </c>
      <c r="F225" s="129"/>
      <c r="G225" s="129"/>
      <c r="H225" s="129" t="s">
        <v>5221</v>
      </c>
      <c r="I225" s="129"/>
      <c r="J225" s="129"/>
      <c r="K225" s="129" t="s">
        <v>5222</v>
      </c>
    </row>
    <row r="228" spans="1:11" ht="15.75">
      <c r="A228" s="935" t="s">
        <v>5223</v>
      </c>
      <c r="B228" s="896"/>
      <c r="C228" s="896"/>
      <c r="D228" s="137"/>
      <c r="E228" s="137"/>
      <c r="F228" s="137"/>
      <c r="G228" s="137"/>
      <c r="H228" s="137"/>
      <c r="I228" s="137"/>
      <c r="J228" s="137"/>
      <c r="K228" s="137"/>
    </row>
    <row r="229" spans="1:11" ht="25.5">
      <c r="A229" s="50" t="s">
        <v>4527</v>
      </c>
      <c r="B229" s="50" t="s">
        <v>5224</v>
      </c>
      <c r="C229" s="50"/>
      <c r="D229" s="50"/>
      <c r="E229" s="50"/>
      <c r="F229" s="50"/>
      <c r="G229" s="50"/>
      <c r="H229" s="50"/>
      <c r="I229" s="50"/>
      <c r="J229" s="50"/>
      <c r="K229" s="50"/>
    </row>
    <row r="230" spans="1:11">
      <c r="A230" s="129" t="s">
        <v>4527</v>
      </c>
      <c r="B230" s="129" t="s">
        <v>282</v>
      </c>
      <c r="C230" s="129" t="s">
        <v>4291</v>
      </c>
      <c r="D230" s="129" t="s">
        <v>5225</v>
      </c>
      <c r="E230" s="129" t="s">
        <v>216</v>
      </c>
      <c r="F230" s="129" t="s">
        <v>4789</v>
      </c>
      <c r="G230" s="129" t="s">
        <v>77</v>
      </c>
      <c r="H230" s="129" t="s">
        <v>5226</v>
      </c>
      <c r="I230" s="129" t="s">
        <v>5227</v>
      </c>
      <c r="J230" s="129" t="s">
        <v>4850</v>
      </c>
      <c r="K230" s="129"/>
    </row>
    <row r="231" spans="1:11">
      <c r="A231" s="129" t="s">
        <v>4527</v>
      </c>
      <c r="B231" s="129" t="s">
        <v>726</v>
      </c>
      <c r="C231" s="129" t="s">
        <v>575</v>
      </c>
      <c r="D231" s="129" t="s">
        <v>5228</v>
      </c>
      <c r="E231" s="129" t="s">
        <v>241</v>
      </c>
      <c r="F231" s="129" t="s">
        <v>5229</v>
      </c>
      <c r="G231" s="129" t="s">
        <v>235</v>
      </c>
      <c r="H231" s="129" t="s">
        <v>5230</v>
      </c>
      <c r="I231" s="129" t="s">
        <v>5231</v>
      </c>
      <c r="J231" s="129" t="s">
        <v>575</v>
      </c>
      <c r="K231" s="129"/>
    </row>
    <row r="232" spans="1:11">
      <c r="A232" s="129" t="s">
        <v>4527</v>
      </c>
      <c r="B232" s="129" t="s">
        <v>729</v>
      </c>
      <c r="C232" s="129" t="s">
        <v>575</v>
      </c>
      <c r="D232" s="129" t="s">
        <v>5232</v>
      </c>
      <c r="E232" s="129" t="s">
        <v>4765</v>
      </c>
      <c r="F232" s="129" t="s">
        <v>4764</v>
      </c>
      <c r="G232" s="129" t="s">
        <v>235</v>
      </c>
      <c r="H232" s="129" t="s">
        <v>4636</v>
      </c>
      <c r="I232" s="129" t="s">
        <v>5233</v>
      </c>
      <c r="J232" s="129" t="s">
        <v>575</v>
      </c>
      <c r="K232" s="129"/>
    </row>
    <row r="233" spans="1:11">
      <c r="A233" s="129" t="s">
        <v>4527</v>
      </c>
      <c r="B233" s="129" t="s">
        <v>735</v>
      </c>
      <c r="C233" s="129" t="s">
        <v>575</v>
      </c>
      <c r="D233" s="129" t="s">
        <v>5234</v>
      </c>
      <c r="E233" s="129" t="s">
        <v>4723</v>
      </c>
      <c r="F233" s="129" t="s">
        <v>5235</v>
      </c>
      <c r="G233" s="129" t="s">
        <v>235</v>
      </c>
      <c r="H233" s="129" t="s">
        <v>5147</v>
      </c>
      <c r="I233" s="129" t="s">
        <v>5236</v>
      </c>
      <c r="J233" s="129" t="s">
        <v>4967</v>
      </c>
      <c r="K233" s="129"/>
    </row>
    <row r="234" spans="1:11">
      <c r="A234" s="129" t="s">
        <v>4527</v>
      </c>
      <c r="B234" s="129" t="s">
        <v>741</v>
      </c>
      <c r="C234" s="129" t="s">
        <v>575</v>
      </c>
      <c r="D234" s="129" t="s">
        <v>5237</v>
      </c>
      <c r="E234" s="129" t="s">
        <v>5238</v>
      </c>
      <c r="F234" s="129" t="s">
        <v>5239</v>
      </c>
      <c r="G234" s="129" t="s">
        <v>235</v>
      </c>
      <c r="H234" s="129" t="s">
        <v>4643</v>
      </c>
      <c r="I234" s="129" t="s">
        <v>5240</v>
      </c>
      <c r="J234" s="129" t="s">
        <v>5241</v>
      </c>
      <c r="K234" s="129"/>
    </row>
    <row r="235" spans="1:11">
      <c r="A235" s="129" t="s">
        <v>4527</v>
      </c>
      <c r="B235" s="129" t="s">
        <v>747</v>
      </c>
      <c r="C235" s="129" t="s">
        <v>155</v>
      </c>
      <c r="D235" s="129" t="s">
        <v>5242</v>
      </c>
      <c r="E235" s="129" t="s">
        <v>155</v>
      </c>
      <c r="F235" s="129" t="s">
        <v>4882</v>
      </c>
      <c r="G235" s="129" t="s">
        <v>235</v>
      </c>
      <c r="H235" s="129" t="s">
        <v>5243</v>
      </c>
      <c r="I235" s="129" t="s">
        <v>5244</v>
      </c>
      <c r="J235" s="129" t="s">
        <v>5025</v>
      </c>
      <c r="K235" s="129"/>
    </row>
    <row r="236" spans="1:11">
      <c r="A236" s="129" t="s">
        <v>4527</v>
      </c>
      <c r="B236" s="129" t="s">
        <v>753</v>
      </c>
      <c r="C236" s="129" t="s">
        <v>153</v>
      </c>
      <c r="D236" s="129" t="s">
        <v>5245</v>
      </c>
      <c r="E236" s="129" t="s">
        <v>153</v>
      </c>
      <c r="F236" s="129" t="s">
        <v>5246</v>
      </c>
      <c r="G236" s="129" t="s">
        <v>235</v>
      </c>
      <c r="H236" s="129" t="s">
        <v>5247</v>
      </c>
      <c r="I236" s="129" t="s">
        <v>5248</v>
      </c>
      <c r="J236" s="129" t="s">
        <v>4891</v>
      </c>
      <c r="K236" s="129"/>
    </row>
    <row r="237" spans="1:11" ht="25.5">
      <c r="A237" s="129" t="s">
        <v>4527</v>
      </c>
      <c r="B237" s="129" t="s">
        <v>758</v>
      </c>
      <c r="C237" s="129" t="s">
        <v>148</v>
      </c>
      <c r="D237" s="129" t="s">
        <v>5249</v>
      </c>
      <c r="E237" s="129" t="s">
        <v>4821</v>
      </c>
      <c r="F237" s="129" t="s">
        <v>5250</v>
      </c>
      <c r="G237" s="129" t="s">
        <v>235</v>
      </c>
      <c r="H237" s="129" t="s">
        <v>5251</v>
      </c>
      <c r="I237" s="129" t="s">
        <v>5252</v>
      </c>
      <c r="J237" s="129" t="s">
        <v>4891</v>
      </c>
      <c r="K237" s="129"/>
    </row>
    <row r="238" spans="1:11" ht="25.5">
      <c r="A238" s="129" t="s">
        <v>4527</v>
      </c>
      <c r="B238" s="129" t="s">
        <v>764</v>
      </c>
      <c r="C238" s="129" t="s">
        <v>5253</v>
      </c>
      <c r="D238" s="129" t="s">
        <v>5254</v>
      </c>
      <c r="E238" s="129" t="s">
        <v>5255</v>
      </c>
      <c r="F238" s="129" t="s">
        <v>4843</v>
      </c>
      <c r="G238" s="129" t="s">
        <v>235</v>
      </c>
      <c r="H238" s="129" t="s">
        <v>5256</v>
      </c>
      <c r="I238" s="129" t="s">
        <v>5257</v>
      </c>
      <c r="J238" s="129" t="s">
        <v>4891</v>
      </c>
      <c r="K238" s="129"/>
    </row>
    <row r="239" spans="1:11" ht="25.5">
      <c r="A239" s="129" t="s">
        <v>4527</v>
      </c>
      <c r="B239" s="129" t="s">
        <v>769</v>
      </c>
      <c r="C239" s="129" t="s">
        <v>5101</v>
      </c>
      <c r="D239" s="129" t="s">
        <v>5258</v>
      </c>
      <c r="E239" s="129" t="s">
        <v>5259</v>
      </c>
      <c r="F239" s="129" t="s">
        <v>5260</v>
      </c>
      <c r="G239" s="129" t="s">
        <v>235</v>
      </c>
      <c r="H239" s="129" t="s">
        <v>5261</v>
      </c>
      <c r="I239" s="129" t="s">
        <v>5262</v>
      </c>
      <c r="J239" s="129" t="s">
        <v>70</v>
      </c>
      <c r="K239" s="129"/>
    </row>
    <row r="240" spans="1:11" ht="25.5">
      <c r="A240" s="129" t="s">
        <v>4527</v>
      </c>
      <c r="B240" s="129" t="s">
        <v>772</v>
      </c>
      <c r="C240" s="129" t="s">
        <v>486</v>
      </c>
      <c r="D240" s="129" t="s">
        <v>5263</v>
      </c>
      <c r="E240" s="129" t="s">
        <v>241</v>
      </c>
      <c r="F240" s="129" t="s">
        <v>5177</v>
      </c>
      <c r="G240" s="129" t="s">
        <v>235</v>
      </c>
      <c r="H240" s="129" t="s">
        <v>5264</v>
      </c>
      <c r="I240" s="129" t="s">
        <v>5265</v>
      </c>
      <c r="J240" s="129" t="s">
        <v>575</v>
      </c>
      <c r="K240" s="129"/>
    </row>
    <row r="243" spans="1:11" ht="15.75">
      <c r="A243" s="935" t="s">
        <v>5266</v>
      </c>
      <c r="B243" s="896"/>
      <c r="C243" s="896"/>
      <c r="D243" s="137"/>
      <c r="E243" s="137"/>
      <c r="F243" s="137"/>
      <c r="G243" s="137"/>
      <c r="H243" s="137"/>
      <c r="I243" s="137"/>
      <c r="J243" s="137"/>
      <c r="K243" s="137"/>
    </row>
    <row r="244" spans="1:11" ht="38.25">
      <c r="A244" s="50" t="s">
        <v>4528</v>
      </c>
      <c r="B244" s="50" t="s">
        <v>5267</v>
      </c>
      <c r="C244" s="50"/>
      <c r="D244" s="50"/>
      <c r="E244" s="50"/>
      <c r="F244" s="50"/>
      <c r="G244" s="50"/>
      <c r="H244" s="50"/>
      <c r="I244" s="50"/>
      <c r="J244" s="50"/>
      <c r="K244" s="50"/>
    </row>
    <row r="245" spans="1:11">
      <c r="A245" s="129" t="s">
        <v>4528</v>
      </c>
      <c r="B245" s="129" t="s">
        <v>4590</v>
      </c>
      <c r="C245" s="129" t="s">
        <v>5268</v>
      </c>
      <c r="D245" s="129" t="s">
        <v>5269</v>
      </c>
      <c r="E245" s="129" t="s">
        <v>5270</v>
      </c>
      <c r="F245" s="129" t="s">
        <v>5271</v>
      </c>
      <c r="G245" s="129" t="s">
        <v>11</v>
      </c>
      <c r="H245" s="129"/>
      <c r="I245" s="129"/>
      <c r="J245" s="129"/>
      <c r="K245" s="129"/>
    </row>
    <row r="246" spans="1:11" ht="76.5">
      <c r="A246" s="129" t="s">
        <v>4528</v>
      </c>
      <c r="B246" s="129" t="s">
        <v>5272</v>
      </c>
      <c r="C246" s="129" t="s">
        <v>5273</v>
      </c>
      <c r="D246" s="129">
        <v>1</v>
      </c>
      <c r="E246" s="129" t="s">
        <v>5274</v>
      </c>
      <c r="F246" s="129" t="s">
        <v>5275</v>
      </c>
      <c r="G246" s="129" t="s">
        <v>5276</v>
      </c>
      <c r="H246" s="129"/>
      <c r="I246" s="129"/>
      <c r="J246" s="129"/>
      <c r="K246" s="129"/>
    </row>
    <row r="247" spans="1:11" ht="89.25">
      <c r="A247" s="129" t="s">
        <v>4528</v>
      </c>
      <c r="B247" s="129" t="s">
        <v>5272</v>
      </c>
      <c r="C247" s="129" t="s">
        <v>5277</v>
      </c>
      <c r="D247" s="129">
        <v>3</v>
      </c>
      <c r="E247" s="129" t="s">
        <v>5278</v>
      </c>
      <c r="F247" s="129" t="s">
        <v>5279</v>
      </c>
      <c r="G247" s="129" t="s">
        <v>5280</v>
      </c>
      <c r="H247" s="129"/>
      <c r="I247" s="129"/>
      <c r="J247" s="129"/>
      <c r="K247" s="129"/>
    </row>
    <row r="248" spans="1:11" ht="51">
      <c r="A248" s="129" t="s">
        <v>4528</v>
      </c>
      <c r="B248" s="129" t="s">
        <v>5272</v>
      </c>
      <c r="C248" s="129" t="s">
        <v>5277</v>
      </c>
      <c r="D248" s="129">
        <v>4</v>
      </c>
      <c r="E248" s="129" t="s">
        <v>5281</v>
      </c>
      <c r="F248" s="129" t="s">
        <v>4518</v>
      </c>
      <c r="G248" s="129" t="s">
        <v>5282</v>
      </c>
      <c r="H248" s="129"/>
      <c r="I248" s="129"/>
      <c r="J248" s="129"/>
      <c r="K248" s="129"/>
    </row>
    <row r="249" spans="1:11" ht="89.25">
      <c r="A249" s="129" t="s">
        <v>4528</v>
      </c>
      <c r="B249" s="129" t="s">
        <v>5272</v>
      </c>
      <c r="C249" s="129" t="s">
        <v>5277</v>
      </c>
      <c r="D249" s="129">
        <v>5</v>
      </c>
      <c r="E249" s="129" t="s">
        <v>5283</v>
      </c>
      <c r="F249" s="129" t="s">
        <v>5284</v>
      </c>
      <c r="G249" s="129" t="s">
        <v>5285</v>
      </c>
      <c r="H249" s="129"/>
      <c r="I249" s="129"/>
      <c r="J249" s="129"/>
      <c r="K249" s="129"/>
    </row>
    <row r="250" spans="1:11" ht="76.5">
      <c r="A250" s="129" t="s">
        <v>4528</v>
      </c>
      <c r="B250" s="129" t="s">
        <v>5272</v>
      </c>
      <c r="C250" s="129" t="s">
        <v>5277</v>
      </c>
      <c r="D250" s="129">
        <v>6</v>
      </c>
      <c r="E250" s="129" t="s">
        <v>5286</v>
      </c>
      <c r="F250" s="129" t="s">
        <v>5287</v>
      </c>
      <c r="G250" s="129" t="s">
        <v>5288</v>
      </c>
      <c r="H250" s="129"/>
      <c r="I250" s="129"/>
      <c r="J250" s="129"/>
      <c r="K250" s="129"/>
    </row>
    <row r="251" spans="1:11" ht="51">
      <c r="A251" s="129" t="s">
        <v>4528</v>
      </c>
      <c r="B251" s="129" t="s">
        <v>5272</v>
      </c>
      <c r="C251" s="129" t="s">
        <v>5277</v>
      </c>
      <c r="D251" s="129">
        <v>7</v>
      </c>
      <c r="E251" s="129" t="s">
        <v>5289</v>
      </c>
      <c r="F251" s="129" t="s">
        <v>5290</v>
      </c>
      <c r="G251" s="129" t="s">
        <v>5291</v>
      </c>
      <c r="H251" s="129"/>
      <c r="I251" s="129"/>
      <c r="J251" s="129"/>
      <c r="K251" s="129"/>
    </row>
    <row r="252" spans="1:11" ht="38.25">
      <c r="A252" s="129" t="s">
        <v>4528</v>
      </c>
      <c r="B252" s="129" t="s">
        <v>5272</v>
      </c>
      <c r="C252" s="129" t="s">
        <v>5292</v>
      </c>
      <c r="D252" s="129">
        <v>9</v>
      </c>
      <c r="E252" s="129" t="s">
        <v>5293</v>
      </c>
      <c r="F252" s="129" t="s">
        <v>5294</v>
      </c>
      <c r="G252" s="129" t="s">
        <v>5295</v>
      </c>
      <c r="H252" s="129"/>
      <c r="I252" s="129"/>
      <c r="J252" s="129"/>
      <c r="K252" s="129"/>
    </row>
    <row r="253" spans="1:11" ht="38.25">
      <c r="A253" s="129" t="s">
        <v>4528</v>
      </c>
      <c r="B253" s="129" t="s">
        <v>5272</v>
      </c>
      <c r="C253" s="129" t="s">
        <v>5296</v>
      </c>
      <c r="D253" s="129">
        <v>15</v>
      </c>
      <c r="E253" s="129" t="s">
        <v>5297</v>
      </c>
      <c r="F253" s="129" t="s">
        <v>5298</v>
      </c>
      <c r="G253" s="129" t="s">
        <v>5299</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2" priority="8">
      <formula>B5="Pass"</formula>
    </cfRule>
    <cfRule type="expression" dxfId="21" priority="9">
      <formula>B5="Verify"</formula>
    </cfRule>
    <cfRule type="expression" dxfId="20" priority="10">
      <formula>B5="Fail"</formula>
    </cfRule>
    <cfRule type="expression" dxfId="19" priority="11">
      <formula>B5="Not Started"</formula>
    </cfRule>
  </conditionalFormatting>
  <conditionalFormatting sqref="D5:J5">
    <cfRule type="expression" dxfId="18" priority="2">
      <formula>D5="Pass"</formula>
    </cfRule>
    <cfRule type="expression" dxfId="17" priority="3">
      <formula>D5="Verify"</formula>
    </cfRule>
    <cfRule type="expression" dxfId="16" priority="4">
      <formula>D5="Fail"</formula>
    </cfRule>
    <cfRule type="expression" dxfId="15" priority="5">
      <formula>D5="Not Started"</formula>
    </cfRule>
  </conditionalFormatting>
  <conditionalFormatting sqref="F3">
    <cfRule type="expression" dxfId="14" priority="6">
      <formula>F3="Yes"</formula>
    </cfRule>
    <cfRule type="expression" dxfId="13" priority="7">
      <formula>F3="No"</formula>
    </cfRule>
  </conditionalFormatting>
  <conditionalFormatting sqref="F5">
    <cfRule type="expression" dxfId="12" priority="12">
      <formula>F5="Pass"</formula>
    </cfRule>
    <cfRule type="expression" dxfId="11" priority="13">
      <formula>F5="Verify"</formula>
    </cfRule>
    <cfRule type="expression" dxfId="10" priority="14">
      <formula>F5="Fail"</formula>
    </cfRule>
    <cfRule type="expression" dxfId="9" priority="15">
      <formula>F5="Not Started"</formula>
    </cfRule>
  </conditionalFormatting>
  <conditionalFormatting sqref="H5">
    <cfRule type="expression" dxfId="8" priority="16">
      <formula>H5="Pass"</formula>
    </cfRule>
    <cfRule type="expression" dxfId="7" priority="17">
      <formula>H5="Verify"</formula>
    </cfRule>
    <cfRule type="expression" dxfId="6" priority="18">
      <formula>H5="Fail"</formula>
    </cfRule>
    <cfRule type="expression" dxfId="5" priority="19">
      <formula>H5="Not Started"</formula>
    </cfRule>
  </conditionalFormatting>
  <conditionalFormatting sqref="J5">
    <cfRule type="expression" dxfId="4" priority="20">
      <formula>J5="Pass"</formula>
    </cfRule>
    <cfRule type="expression" dxfId="3" priority="21">
      <formula>J5="Verify"</formula>
    </cfRule>
    <cfRule type="expression" dxfId="2" priority="22">
      <formula>J5="Fail"</formula>
    </cfRule>
    <cfRule type="expression" dxfId="1"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defaultColWidth="8.7109375" defaultRowHeight="15"/>
  <cols>
    <col min="1" max="3" width="24" style="8" customWidth="1"/>
  </cols>
  <sheetData>
    <row r="1" spans="1:3" ht="7.35" customHeight="1">
      <c r="A1" s="8" t="s">
        <v>5300</v>
      </c>
      <c r="B1" s="8" t="s">
        <v>5301</v>
      </c>
      <c r="C1" s="8" t="s">
        <v>5302</v>
      </c>
    </row>
    <row r="2" spans="1:3" ht="7.35" customHeight="1">
      <c r="A2" s="8" t="s">
        <v>143</v>
      </c>
      <c r="B2" s="8" t="s">
        <v>13</v>
      </c>
      <c r="C2" s="8" t="s">
        <v>12</v>
      </c>
    </row>
    <row r="3" spans="1:3" ht="7.35" customHeight="1">
      <c r="A3" s="8" t="s">
        <v>604</v>
      </c>
      <c r="B3" s="8" t="s">
        <v>15</v>
      </c>
      <c r="C3" s="8" t="s">
        <v>14</v>
      </c>
    </row>
    <row r="4" spans="1:3" ht="7.35" customHeight="1">
      <c r="A4" s="8" t="s">
        <v>625</v>
      </c>
      <c r="B4" s="8" t="s">
        <v>17</v>
      </c>
      <c r="C4" s="8" t="s">
        <v>16</v>
      </c>
    </row>
    <row r="5" spans="1:3" ht="7.35" customHeight="1">
      <c r="A5" s="8" t="s">
        <v>641</v>
      </c>
      <c r="B5" s="8" t="s">
        <v>19</v>
      </c>
      <c r="C5" s="8" t="s">
        <v>18</v>
      </c>
    </row>
    <row r="6" spans="1:3" ht="7.35" customHeight="1">
      <c r="A6" s="8" t="s">
        <v>1462</v>
      </c>
      <c r="B6" s="8" t="s">
        <v>21</v>
      </c>
      <c r="C6" s="8" t="s">
        <v>20</v>
      </c>
    </row>
    <row r="7" spans="1:3" ht="7.35" customHeight="1">
      <c r="A7" s="8" t="s">
        <v>1566</v>
      </c>
      <c r="B7" s="8" t="s">
        <v>23</v>
      </c>
      <c r="C7" s="8" t="s">
        <v>22</v>
      </c>
    </row>
    <row r="8" spans="1:3" ht="7.35" customHeight="1">
      <c r="A8" s="8" t="s">
        <v>1680</v>
      </c>
      <c r="B8" s="8" t="s">
        <v>25</v>
      </c>
      <c r="C8" s="8" t="s">
        <v>24</v>
      </c>
    </row>
    <row r="9" spans="1:3" ht="7.35" customHeight="1">
      <c r="A9" s="8" t="s">
        <v>1778</v>
      </c>
      <c r="B9" s="8" t="s">
        <v>27</v>
      </c>
      <c r="C9" s="8" t="s">
        <v>26</v>
      </c>
    </row>
    <row r="10" spans="1:3" ht="7.35" customHeight="1">
      <c r="A10" s="8" t="s">
        <v>1884</v>
      </c>
      <c r="B10" s="8" t="s">
        <v>29</v>
      </c>
      <c r="C10" s="8" t="s">
        <v>28</v>
      </c>
    </row>
    <row r="11" spans="1:3" ht="7.35" customHeight="1">
      <c r="A11" s="8" t="s">
        <v>697</v>
      </c>
      <c r="B11" s="8" t="s">
        <v>31</v>
      </c>
      <c r="C11" s="8" t="s">
        <v>30</v>
      </c>
    </row>
    <row r="12" spans="1:3" ht="7.35" customHeight="1">
      <c r="A12" s="8" t="s">
        <v>2096</v>
      </c>
      <c r="B12" s="8" t="s">
        <v>33</v>
      </c>
      <c r="C12" s="8" t="s">
        <v>32</v>
      </c>
    </row>
    <row r="13" spans="1:3" ht="7.35" customHeight="1">
      <c r="A13" s="8" t="s">
        <v>698</v>
      </c>
      <c r="B13" s="8" t="s">
        <v>35</v>
      </c>
      <c r="C13" s="8" t="s">
        <v>34</v>
      </c>
    </row>
    <row r="14" spans="1:3" ht="7.35" customHeight="1">
      <c r="A14" s="8" t="s">
        <v>700</v>
      </c>
      <c r="B14" s="8" t="s">
        <v>37</v>
      </c>
      <c r="C14" s="8" t="s">
        <v>36</v>
      </c>
    </row>
    <row r="15" spans="1:3" ht="7.35" customHeight="1">
      <c r="A15" s="8" t="s">
        <v>702</v>
      </c>
      <c r="B15" s="8" t="s">
        <v>39</v>
      </c>
      <c r="C15" s="8" t="s">
        <v>38</v>
      </c>
    </row>
    <row r="16" spans="1:3" ht="7.35" customHeight="1">
      <c r="A16" s="8" t="s">
        <v>703</v>
      </c>
      <c r="B16" s="8" t="s">
        <v>41</v>
      </c>
      <c r="C16" s="8" t="s">
        <v>40</v>
      </c>
    </row>
    <row r="17" spans="1:3" ht="7.35" customHeight="1">
      <c r="A17" s="8" t="s">
        <v>2557</v>
      </c>
      <c r="B17" s="8" t="s">
        <v>43</v>
      </c>
      <c r="C17" s="8" t="s">
        <v>42</v>
      </c>
    </row>
    <row r="18" spans="1:3" ht="7.35" customHeight="1">
      <c r="A18" s="8" t="s">
        <v>705</v>
      </c>
      <c r="B18" s="8" t="s">
        <v>45</v>
      </c>
      <c r="C18" s="8" t="s">
        <v>44</v>
      </c>
    </row>
    <row r="19" spans="1:3" ht="7.35" customHeight="1">
      <c r="A19" s="8" t="s">
        <v>2756</v>
      </c>
      <c r="B19" s="8" t="s">
        <v>47</v>
      </c>
      <c r="C19" s="8" t="s">
        <v>46</v>
      </c>
    </row>
    <row r="20" spans="1:3" ht="7.35" customHeight="1">
      <c r="A20" s="8" t="s">
        <v>2877</v>
      </c>
      <c r="B20" s="8" t="s">
        <v>49</v>
      </c>
      <c r="C20" s="8" t="s">
        <v>48</v>
      </c>
    </row>
    <row r="21" spans="1:3" ht="7.35" customHeight="1">
      <c r="A21" s="8" t="s">
        <v>707</v>
      </c>
      <c r="B21" s="8" t="s">
        <v>51</v>
      </c>
      <c r="C21" s="8" t="s">
        <v>50</v>
      </c>
    </row>
    <row r="22" spans="1:3" ht="7.35" customHeight="1">
      <c r="A22" s="8" t="s">
        <v>372</v>
      </c>
      <c r="B22" s="8" t="s">
        <v>53</v>
      </c>
      <c r="C22" s="8" t="s">
        <v>52</v>
      </c>
    </row>
    <row r="23" spans="1:3" ht="7.35" customHeight="1">
      <c r="A23" s="8" t="s">
        <v>374</v>
      </c>
      <c r="B23" s="8" t="s">
        <v>55</v>
      </c>
      <c r="C23" s="8" t="s">
        <v>54</v>
      </c>
    </row>
    <row r="24" spans="1:3" ht="7.35" customHeight="1">
      <c r="A24" s="8" t="s">
        <v>376</v>
      </c>
      <c r="B24" s="8" t="s">
        <v>57</v>
      </c>
      <c r="C24" s="8" t="s">
        <v>56</v>
      </c>
    </row>
    <row r="25" spans="1:3" ht="7.35" customHeight="1">
      <c r="A25" s="8" t="s">
        <v>379</v>
      </c>
      <c r="B25" s="8" t="s">
        <v>59</v>
      </c>
      <c r="C25" s="8" t="s">
        <v>58</v>
      </c>
    </row>
    <row r="26" spans="1:3" ht="7.35" customHeight="1">
      <c r="A26" s="8" t="s">
        <v>381</v>
      </c>
      <c r="B26" s="8" t="s">
        <v>61</v>
      </c>
      <c r="C26" s="8" t="s">
        <v>5303</v>
      </c>
    </row>
    <row r="27" spans="1:3" ht="7.35" customHeight="1">
      <c r="A27" s="8" t="s">
        <v>384</v>
      </c>
      <c r="B27" s="8" t="s">
        <v>63</v>
      </c>
      <c r="C27" s="8" t="s">
        <v>62</v>
      </c>
    </row>
    <row r="28" spans="1:3" ht="7.35" customHeight="1">
      <c r="A28" s="8" t="s">
        <v>388</v>
      </c>
      <c r="B28" s="8" t="s">
        <v>65</v>
      </c>
      <c r="C28" s="8" t="s">
        <v>5304</v>
      </c>
    </row>
    <row r="29" spans="1:3" ht="7.35" customHeight="1">
      <c r="A29" s="8" t="s">
        <v>3884</v>
      </c>
      <c r="B29" s="8" t="s">
        <v>67</v>
      </c>
      <c r="C29" s="8" t="s">
        <v>3884</v>
      </c>
    </row>
    <row r="30" spans="1:3" ht="7.35" customHeight="1">
      <c r="A30" s="8" t="s">
        <v>68</v>
      </c>
      <c r="B30" s="8" t="s">
        <v>69</v>
      </c>
      <c r="C30" s="8" t="s">
        <v>68</v>
      </c>
    </row>
    <row r="31" spans="1:3" ht="7.35" customHeight="1">
      <c r="A31" s="8" t="s">
        <v>5305</v>
      </c>
      <c r="B31" s="8" t="s">
        <v>5306</v>
      </c>
      <c r="C31" s="8" t="s">
        <v>5305</v>
      </c>
    </row>
    <row r="32" spans="1:3" ht="7.35" customHeight="1">
      <c r="A32" s="8" t="s">
        <v>394</v>
      </c>
      <c r="B32" s="8" t="s">
        <v>394</v>
      </c>
      <c r="C32" s="8" t="s">
        <v>394</v>
      </c>
    </row>
    <row r="33" spans="1:3" ht="7.5" customHeight="1">
      <c r="A33" s="8" t="s">
        <v>70</v>
      </c>
      <c r="B33" s="8" t="s">
        <v>71</v>
      </c>
      <c r="C33" s="8" t="s">
        <v>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defaultColWidth="8.7109375" defaultRowHeight="12.75"/>
  <cols>
    <col min="1" max="17" width="14" customWidth="1"/>
  </cols>
  <sheetData>
    <row r="1" spans="1:17" ht="6.4" customHeight="1">
      <c r="A1" s="151" t="s">
        <v>5300</v>
      </c>
      <c r="B1" s="151" t="s">
        <v>5307</v>
      </c>
      <c r="C1" s="151" t="s">
        <v>5308</v>
      </c>
      <c r="D1" s="151" t="s">
        <v>5309</v>
      </c>
      <c r="E1" s="151" t="s">
        <v>338</v>
      </c>
      <c r="F1" s="151" t="s">
        <v>5310</v>
      </c>
      <c r="G1" s="151" t="s">
        <v>5311</v>
      </c>
      <c r="H1" s="151" t="s">
        <v>5312</v>
      </c>
      <c r="I1" s="151" t="s">
        <v>5313</v>
      </c>
      <c r="J1" s="151" t="s">
        <v>5314</v>
      </c>
      <c r="K1" s="151" t="s">
        <v>5315</v>
      </c>
      <c r="L1" s="151" t="s">
        <v>5316</v>
      </c>
      <c r="M1" s="151" t="s">
        <v>5317</v>
      </c>
      <c r="N1" s="151" t="s">
        <v>5318</v>
      </c>
      <c r="O1" s="151" t="s">
        <v>5319</v>
      </c>
      <c r="P1" s="151" t="s">
        <v>5320</v>
      </c>
      <c r="Q1" s="151" t="s">
        <v>5321</v>
      </c>
    </row>
    <row r="2" spans="1:17" ht="6.4" customHeight="1">
      <c r="A2" t="s">
        <v>143</v>
      </c>
      <c r="B2">
        <v>1</v>
      </c>
      <c r="C2" t="s">
        <v>13</v>
      </c>
      <c r="D2">
        <v>8</v>
      </c>
      <c r="E2" t="s">
        <v>918</v>
      </c>
      <c r="F2" t="s">
        <v>5322</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4" customHeight="1">
      <c r="A3" t="s">
        <v>143</v>
      </c>
      <c r="B3">
        <v>2</v>
      </c>
      <c r="C3" t="s">
        <v>13</v>
      </c>
      <c r="D3">
        <v>9</v>
      </c>
      <c r="E3" t="s">
        <v>918</v>
      </c>
      <c r="F3" t="s">
        <v>5323</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4" customHeight="1">
      <c r="A4" t="s">
        <v>143</v>
      </c>
      <c r="B4">
        <v>3</v>
      </c>
      <c r="C4" t="s">
        <v>13</v>
      </c>
      <c r="D4">
        <v>10</v>
      </c>
      <c r="E4" t="s">
        <v>918</v>
      </c>
      <c r="F4" t="s">
        <v>5324</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4" customHeight="1">
      <c r="A5" t="s">
        <v>143</v>
      </c>
      <c r="B5">
        <v>4</v>
      </c>
      <c r="C5" t="s">
        <v>13</v>
      </c>
      <c r="D5">
        <v>11</v>
      </c>
      <c r="E5" t="s">
        <v>918</v>
      </c>
      <c r="F5" t="s">
        <v>5324</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4" customHeight="1">
      <c r="A6" t="s">
        <v>143</v>
      </c>
      <c r="B6">
        <v>5</v>
      </c>
      <c r="C6" t="s">
        <v>13</v>
      </c>
      <c r="D6">
        <v>12</v>
      </c>
      <c r="E6" t="s">
        <v>918</v>
      </c>
      <c r="F6" t="s">
        <v>5324</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4" customHeight="1">
      <c r="A7" t="s">
        <v>143</v>
      </c>
      <c r="B7">
        <v>6</v>
      </c>
      <c r="C7" t="s">
        <v>13</v>
      </c>
      <c r="D7">
        <v>13</v>
      </c>
      <c r="E7" t="s">
        <v>918</v>
      </c>
      <c r="F7" t="s">
        <v>5324</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4" customHeight="1">
      <c r="A8" t="s">
        <v>143</v>
      </c>
      <c r="B8">
        <v>7</v>
      </c>
      <c r="C8" t="s">
        <v>13</v>
      </c>
      <c r="D8">
        <v>14</v>
      </c>
      <c r="E8" t="s">
        <v>918</v>
      </c>
      <c r="F8" t="s">
        <v>5325</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4" customHeight="1">
      <c r="A9" t="s">
        <v>143</v>
      </c>
      <c r="B9">
        <v>8</v>
      </c>
      <c r="C9" t="s">
        <v>13</v>
      </c>
      <c r="D9">
        <v>15</v>
      </c>
      <c r="E9" t="s">
        <v>936</v>
      </c>
      <c r="F9" t="s">
        <v>5322</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4" customHeight="1">
      <c r="A10" t="s">
        <v>143</v>
      </c>
      <c r="B10">
        <v>9</v>
      </c>
      <c r="C10" t="s">
        <v>13</v>
      </c>
      <c r="D10">
        <v>16</v>
      </c>
      <c r="E10" t="s">
        <v>936</v>
      </c>
      <c r="F10" t="s">
        <v>5323</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4" customHeight="1">
      <c r="A11" t="s">
        <v>143</v>
      </c>
      <c r="B11">
        <v>10</v>
      </c>
      <c r="C11" t="s">
        <v>13</v>
      </c>
      <c r="D11">
        <v>17</v>
      </c>
      <c r="E11" t="s">
        <v>936</v>
      </c>
      <c r="F11" t="s">
        <v>5324</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4" customHeight="1">
      <c r="A12" t="s">
        <v>143</v>
      </c>
      <c r="B12">
        <v>11</v>
      </c>
      <c r="C12" t="s">
        <v>13</v>
      </c>
      <c r="D12">
        <v>18</v>
      </c>
      <c r="E12" t="s">
        <v>936</v>
      </c>
      <c r="F12" t="s">
        <v>5324</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4" customHeight="1">
      <c r="A13" t="s">
        <v>143</v>
      </c>
      <c r="B13">
        <v>12</v>
      </c>
      <c r="C13" t="s">
        <v>13</v>
      </c>
      <c r="D13">
        <v>19</v>
      </c>
      <c r="E13" t="s">
        <v>936</v>
      </c>
      <c r="F13" t="s">
        <v>5324</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4" customHeight="1">
      <c r="A14" t="s">
        <v>143</v>
      </c>
      <c r="B14">
        <v>13</v>
      </c>
      <c r="C14" t="s">
        <v>13</v>
      </c>
      <c r="D14">
        <v>20</v>
      </c>
      <c r="E14" t="s">
        <v>936</v>
      </c>
      <c r="F14" t="s">
        <v>5324</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4" customHeight="1">
      <c r="A15" t="s">
        <v>143</v>
      </c>
      <c r="B15">
        <v>14</v>
      </c>
      <c r="C15" t="s">
        <v>13</v>
      </c>
      <c r="D15">
        <v>21</v>
      </c>
      <c r="E15" t="s">
        <v>936</v>
      </c>
      <c r="F15" t="s">
        <v>5325</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4" customHeight="1">
      <c r="A16" t="s">
        <v>143</v>
      </c>
      <c r="B16">
        <v>15</v>
      </c>
      <c r="C16" t="s">
        <v>13</v>
      </c>
      <c r="D16">
        <v>22</v>
      </c>
      <c r="E16" t="s">
        <v>951</v>
      </c>
      <c r="F16" t="s">
        <v>5322</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4" customHeight="1">
      <c r="A17" t="s">
        <v>143</v>
      </c>
      <c r="B17">
        <v>16</v>
      </c>
      <c r="C17" t="s">
        <v>13</v>
      </c>
      <c r="D17">
        <v>23</v>
      </c>
      <c r="E17" t="s">
        <v>951</v>
      </c>
      <c r="F17" t="s">
        <v>5323</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4" customHeight="1">
      <c r="A18" t="s">
        <v>143</v>
      </c>
      <c r="B18">
        <v>17</v>
      </c>
      <c r="C18" t="s">
        <v>13</v>
      </c>
      <c r="D18">
        <v>24</v>
      </c>
      <c r="E18" t="s">
        <v>951</v>
      </c>
      <c r="F18" t="s">
        <v>5324</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4" customHeight="1">
      <c r="A19" t="s">
        <v>143</v>
      </c>
      <c r="B19">
        <v>18</v>
      </c>
      <c r="C19" t="s">
        <v>13</v>
      </c>
      <c r="D19">
        <v>25</v>
      </c>
      <c r="E19" t="s">
        <v>951</v>
      </c>
      <c r="F19" t="s">
        <v>5324</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4" customHeight="1">
      <c r="A20" t="s">
        <v>143</v>
      </c>
      <c r="B20">
        <v>19</v>
      </c>
      <c r="C20" t="s">
        <v>13</v>
      </c>
      <c r="D20">
        <v>26</v>
      </c>
      <c r="E20" t="s">
        <v>951</v>
      </c>
      <c r="F20" t="s">
        <v>5324</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4" customHeight="1">
      <c r="A21" t="s">
        <v>143</v>
      </c>
      <c r="B21">
        <v>20</v>
      </c>
      <c r="C21" t="s">
        <v>13</v>
      </c>
      <c r="D21">
        <v>27</v>
      </c>
      <c r="E21" t="s">
        <v>951</v>
      </c>
      <c r="F21" t="s">
        <v>5324</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4" customHeight="1">
      <c r="A22" t="s">
        <v>143</v>
      </c>
      <c r="B22">
        <v>21</v>
      </c>
      <c r="C22" t="s">
        <v>13</v>
      </c>
      <c r="D22">
        <v>28</v>
      </c>
      <c r="E22" t="s">
        <v>951</v>
      </c>
      <c r="F22" t="s">
        <v>5325</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4" customHeight="1">
      <c r="A23" t="s">
        <v>143</v>
      </c>
      <c r="B23">
        <v>22</v>
      </c>
      <c r="C23" t="s">
        <v>13</v>
      </c>
      <c r="D23">
        <v>29</v>
      </c>
      <c r="E23" t="s">
        <v>964</v>
      </c>
      <c r="F23" t="s">
        <v>5322</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4" customHeight="1">
      <c r="A24" t="s">
        <v>143</v>
      </c>
      <c r="B24">
        <v>23</v>
      </c>
      <c r="C24" t="s">
        <v>13</v>
      </c>
      <c r="D24">
        <v>30</v>
      </c>
      <c r="E24" t="s">
        <v>964</v>
      </c>
      <c r="F24" t="s">
        <v>5323</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4" customHeight="1">
      <c r="A25" t="s">
        <v>143</v>
      </c>
      <c r="B25">
        <v>24</v>
      </c>
      <c r="C25" t="s">
        <v>13</v>
      </c>
      <c r="D25">
        <v>31</v>
      </c>
      <c r="E25" t="s">
        <v>964</v>
      </c>
      <c r="F25" t="s">
        <v>5324</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4" customHeight="1">
      <c r="A26" t="s">
        <v>143</v>
      </c>
      <c r="B26">
        <v>25</v>
      </c>
      <c r="C26" t="s">
        <v>13</v>
      </c>
      <c r="D26">
        <v>32</v>
      </c>
      <c r="E26" t="s">
        <v>964</v>
      </c>
      <c r="F26" t="s">
        <v>5324</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4" customHeight="1">
      <c r="A27" t="s">
        <v>143</v>
      </c>
      <c r="B27">
        <v>26</v>
      </c>
      <c r="C27" t="s">
        <v>13</v>
      </c>
      <c r="D27">
        <v>33</v>
      </c>
      <c r="E27" t="s">
        <v>964</v>
      </c>
      <c r="F27" t="s">
        <v>5324</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4" customHeight="1">
      <c r="A28" t="s">
        <v>143</v>
      </c>
      <c r="B28">
        <v>27</v>
      </c>
      <c r="C28" t="s">
        <v>13</v>
      </c>
      <c r="D28">
        <v>34</v>
      </c>
      <c r="E28" t="s">
        <v>964</v>
      </c>
      <c r="F28" t="s">
        <v>5324</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4" customHeight="1">
      <c r="A29" t="s">
        <v>143</v>
      </c>
      <c r="B29">
        <v>28</v>
      </c>
      <c r="C29" t="s">
        <v>13</v>
      </c>
      <c r="D29">
        <v>35</v>
      </c>
      <c r="E29" t="s">
        <v>964</v>
      </c>
      <c r="F29" t="s">
        <v>5325</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4" customHeight="1">
      <c r="A30" t="s">
        <v>143</v>
      </c>
      <c r="B30">
        <v>29</v>
      </c>
      <c r="C30" t="s">
        <v>13</v>
      </c>
      <c r="D30">
        <v>36</v>
      </c>
      <c r="E30" t="s">
        <v>977</v>
      </c>
      <c r="F30" t="s">
        <v>5322</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4" customHeight="1">
      <c r="A31" t="s">
        <v>143</v>
      </c>
      <c r="B31">
        <v>30</v>
      </c>
      <c r="C31" t="s">
        <v>13</v>
      </c>
      <c r="D31">
        <v>37</v>
      </c>
      <c r="E31" t="s">
        <v>977</v>
      </c>
      <c r="F31" t="s">
        <v>5323</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4" customHeight="1">
      <c r="A32" t="s">
        <v>143</v>
      </c>
      <c r="B32">
        <v>31</v>
      </c>
      <c r="C32" t="s">
        <v>13</v>
      </c>
      <c r="D32">
        <v>38</v>
      </c>
      <c r="E32" t="s">
        <v>977</v>
      </c>
      <c r="F32" t="s">
        <v>5324</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4" customHeight="1">
      <c r="A33" t="s">
        <v>143</v>
      </c>
      <c r="B33">
        <v>32</v>
      </c>
      <c r="C33" t="s">
        <v>13</v>
      </c>
      <c r="D33">
        <v>39</v>
      </c>
      <c r="E33" t="s">
        <v>977</v>
      </c>
      <c r="F33" t="s">
        <v>5324</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4" customHeight="1">
      <c r="A34" t="s">
        <v>143</v>
      </c>
      <c r="B34">
        <v>33</v>
      </c>
      <c r="C34" t="s">
        <v>13</v>
      </c>
      <c r="D34">
        <v>40</v>
      </c>
      <c r="E34" t="s">
        <v>977</v>
      </c>
      <c r="F34" t="s">
        <v>5324</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4" customHeight="1">
      <c r="A35" t="s">
        <v>143</v>
      </c>
      <c r="B35">
        <v>34</v>
      </c>
      <c r="C35" t="s">
        <v>13</v>
      </c>
      <c r="D35">
        <v>41</v>
      </c>
      <c r="E35" t="s">
        <v>977</v>
      </c>
      <c r="F35" t="s">
        <v>5324</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4" customHeight="1">
      <c r="A36" t="s">
        <v>143</v>
      </c>
      <c r="B36">
        <v>35</v>
      </c>
      <c r="C36" t="s">
        <v>13</v>
      </c>
      <c r="D36">
        <v>42</v>
      </c>
      <c r="E36" t="s">
        <v>977</v>
      </c>
      <c r="F36" t="s">
        <v>5325</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4" customHeight="1">
      <c r="A37" t="s">
        <v>143</v>
      </c>
      <c r="B37">
        <v>36</v>
      </c>
      <c r="C37" t="s">
        <v>13</v>
      </c>
      <c r="D37">
        <v>43</v>
      </c>
      <c r="E37" t="s">
        <v>994</v>
      </c>
      <c r="F37" t="s">
        <v>5322</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4" customHeight="1">
      <c r="A38" t="s">
        <v>143</v>
      </c>
      <c r="B38">
        <v>37</v>
      </c>
      <c r="C38" t="s">
        <v>13</v>
      </c>
      <c r="D38">
        <v>44</v>
      </c>
      <c r="E38" t="s">
        <v>994</v>
      </c>
      <c r="F38" t="s">
        <v>5323</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4" customHeight="1">
      <c r="A39" t="s">
        <v>143</v>
      </c>
      <c r="B39">
        <v>38</v>
      </c>
      <c r="C39" t="s">
        <v>13</v>
      </c>
      <c r="D39">
        <v>45</v>
      </c>
      <c r="E39" t="s">
        <v>994</v>
      </c>
      <c r="F39" t="s">
        <v>5324</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4" customHeight="1">
      <c r="A40" t="s">
        <v>143</v>
      </c>
      <c r="B40">
        <v>39</v>
      </c>
      <c r="C40" t="s">
        <v>13</v>
      </c>
      <c r="D40">
        <v>46</v>
      </c>
      <c r="E40" t="s">
        <v>994</v>
      </c>
      <c r="F40" t="s">
        <v>5324</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4" customHeight="1">
      <c r="A41" t="s">
        <v>143</v>
      </c>
      <c r="B41">
        <v>40</v>
      </c>
      <c r="C41" t="s">
        <v>13</v>
      </c>
      <c r="D41">
        <v>47</v>
      </c>
      <c r="E41" t="s">
        <v>994</v>
      </c>
      <c r="F41" t="s">
        <v>5324</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4" customHeight="1">
      <c r="A42" t="s">
        <v>143</v>
      </c>
      <c r="B42">
        <v>41</v>
      </c>
      <c r="C42" t="s">
        <v>13</v>
      </c>
      <c r="D42">
        <v>48</v>
      </c>
      <c r="E42" t="s">
        <v>994</v>
      </c>
      <c r="F42" t="s">
        <v>5324</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4" customHeight="1">
      <c r="A43" t="s">
        <v>143</v>
      </c>
      <c r="B43">
        <v>42</v>
      </c>
      <c r="C43" t="s">
        <v>13</v>
      </c>
      <c r="D43">
        <v>49</v>
      </c>
      <c r="E43" t="s">
        <v>994</v>
      </c>
      <c r="F43" t="s">
        <v>5325</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4" customHeight="1">
      <c r="A44" t="s">
        <v>143</v>
      </c>
      <c r="B44">
        <v>43</v>
      </c>
      <c r="C44" t="s">
        <v>13</v>
      </c>
      <c r="D44">
        <v>50</v>
      </c>
      <c r="E44" t="s">
        <v>1007</v>
      </c>
      <c r="F44" t="s">
        <v>5322</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4" customHeight="1">
      <c r="A45" t="s">
        <v>143</v>
      </c>
      <c r="B45">
        <v>44</v>
      </c>
      <c r="C45" t="s">
        <v>13</v>
      </c>
      <c r="D45">
        <v>51</v>
      </c>
      <c r="E45" t="s">
        <v>1007</v>
      </c>
      <c r="F45" t="s">
        <v>5323</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4" customHeight="1">
      <c r="A46" t="s">
        <v>143</v>
      </c>
      <c r="B46">
        <v>45</v>
      </c>
      <c r="C46" t="s">
        <v>13</v>
      </c>
      <c r="D46">
        <v>52</v>
      </c>
      <c r="E46" t="s">
        <v>1007</v>
      </c>
      <c r="F46" t="s">
        <v>5324</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4" customHeight="1">
      <c r="A47" t="s">
        <v>143</v>
      </c>
      <c r="B47">
        <v>46</v>
      </c>
      <c r="C47" t="s">
        <v>13</v>
      </c>
      <c r="D47">
        <v>53</v>
      </c>
      <c r="E47" t="s">
        <v>1007</v>
      </c>
      <c r="F47" t="s">
        <v>5324</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4" customHeight="1">
      <c r="A48" t="s">
        <v>143</v>
      </c>
      <c r="B48">
        <v>47</v>
      </c>
      <c r="C48" t="s">
        <v>13</v>
      </c>
      <c r="D48">
        <v>54</v>
      </c>
      <c r="E48" t="s">
        <v>1007</v>
      </c>
      <c r="F48" t="s">
        <v>5324</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4" customHeight="1">
      <c r="A49" t="s">
        <v>143</v>
      </c>
      <c r="B49">
        <v>48</v>
      </c>
      <c r="C49" t="s">
        <v>13</v>
      </c>
      <c r="D49">
        <v>55</v>
      </c>
      <c r="E49" t="s">
        <v>1007</v>
      </c>
      <c r="F49" t="s">
        <v>5324</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4" customHeight="1">
      <c r="A50" t="s">
        <v>143</v>
      </c>
      <c r="B50">
        <v>49</v>
      </c>
      <c r="C50" t="s">
        <v>13</v>
      </c>
      <c r="D50">
        <v>56</v>
      </c>
      <c r="E50" t="s">
        <v>1007</v>
      </c>
      <c r="F50" t="s">
        <v>5325</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4" customHeight="1">
      <c r="A51" t="s">
        <v>143</v>
      </c>
      <c r="B51">
        <v>50</v>
      </c>
      <c r="C51" t="s">
        <v>13</v>
      </c>
      <c r="D51">
        <v>57</v>
      </c>
      <c r="E51" t="s">
        <v>1019</v>
      </c>
      <c r="F51" t="s">
        <v>5322</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4" customHeight="1">
      <c r="A52" t="s">
        <v>143</v>
      </c>
      <c r="B52">
        <v>51</v>
      </c>
      <c r="C52" t="s">
        <v>13</v>
      </c>
      <c r="D52">
        <v>58</v>
      </c>
      <c r="E52" t="s">
        <v>1019</v>
      </c>
      <c r="F52" t="s">
        <v>5323</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4" customHeight="1">
      <c r="A53" t="s">
        <v>143</v>
      </c>
      <c r="B53">
        <v>52</v>
      </c>
      <c r="C53" t="s">
        <v>13</v>
      </c>
      <c r="D53">
        <v>59</v>
      </c>
      <c r="E53" t="s">
        <v>1019</v>
      </c>
      <c r="F53" t="s">
        <v>5324</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4" customHeight="1">
      <c r="A54" t="s">
        <v>143</v>
      </c>
      <c r="B54">
        <v>53</v>
      </c>
      <c r="C54" t="s">
        <v>13</v>
      </c>
      <c r="D54">
        <v>60</v>
      </c>
      <c r="E54" t="s">
        <v>1019</v>
      </c>
      <c r="F54" t="s">
        <v>5324</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4" customHeight="1">
      <c r="A55" t="s">
        <v>143</v>
      </c>
      <c r="B55">
        <v>54</v>
      </c>
      <c r="C55" t="s">
        <v>13</v>
      </c>
      <c r="D55">
        <v>61</v>
      </c>
      <c r="E55" t="s">
        <v>1019</v>
      </c>
      <c r="F55" t="s">
        <v>5324</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4" customHeight="1">
      <c r="A56" t="s">
        <v>143</v>
      </c>
      <c r="B56">
        <v>55</v>
      </c>
      <c r="C56" t="s">
        <v>13</v>
      </c>
      <c r="D56">
        <v>62</v>
      </c>
      <c r="E56" t="s">
        <v>1019</v>
      </c>
      <c r="F56" t="s">
        <v>5324</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4" customHeight="1">
      <c r="A57" t="s">
        <v>143</v>
      </c>
      <c r="B57">
        <v>56</v>
      </c>
      <c r="C57" t="s">
        <v>13</v>
      </c>
      <c r="D57">
        <v>63</v>
      </c>
      <c r="E57" t="s">
        <v>1019</v>
      </c>
      <c r="F57" t="s">
        <v>5324</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4" customHeight="1">
      <c r="A58" t="s">
        <v>143</v>
      </c>
      <c r="B58">
        <v>57</v>
      </c>
      <c r="C58" t="s">
        <v>13</v>
      </c>
      <c r="D58">
        <v>64</v>
      </c>
      <c r="E58" t="s">
        <v>1019</v>
      </c>
      <c r="F58" t="s">
        <v>5324</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4" customHeight="1">
      <c r="A59" t="s">
        <v>143</v>
      </c>
      <c r="B59">
        <v>58</v>
      </c>
      <c r="C59" t="s">
        <v>13</v>
      </c>
      <c r="D59">
        <v>65</v>
      </c>
      <c r="E59" t="s">
        <v>1019</v>
      </c>
      <c r="F59" t="s">
        <v>5324</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4" customHeight="1">
      <c r="A60" t="s">
        <v>143</v>
      </c>
      <c r="B60">
        <v>59</v>
      </c>
      <c r="C60" t="s">
        <v>13</v>
      </c>
      <c r="D60">
        <v>66</v>
      </c>
      <c r="E60" t="s">
        <v>1019</v>
      </c>
      <c r="F60" t="s">
        <v>5324</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4" customHeight="1">
      <c r="A61" t="s">
        <v>143</v>
      </c>
      <c r="B61">
        <v>60</v>
      </c>
      <c r="C61" t="s">
        <v>13</v>
      </c>
      <c r="D61">
        <v>67</v>
      </c>
      <c r="E61" t="s">
        <v>1019</v>
      </c>
      <c r="F61" t="s">
        <v>5325</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4" customHeight="1">
      <c r="A62" t="s">
        <v>143</v>
      </c>
      <c r="B62">
        <v>61</v>
      </c>
      <c r="C62" t="s">
        <v>13</v>
      </c>
      <c r="D62">
        <v>68</v>
      </c>
      <c r="E62" t="s">
        <v>1051</v>
      </c>
      <c r="F62" t="s">
        <v>5322</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4" customHeight="1">
      <c r="A63" t="s">
        <v>143</v>
      </c>
      <c r="B63">
        <v>62</v>
      </c>
      <c r="C63" t="s">
        <v>13</v>
      </c>
      <c r="D63">
        <v>69</v>
      </c>
      <c r="E63" t="s">
        <v>1051</v>
      </c>
      <c r="F63" t="s">
        <v>5323</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4" customHeight="1">
      <c r="A64" t="s">
        <v>143</v>
      </c>
      <c r="B64">
        <v>63</v>
      </c>
      <c r="C64" t="s">
        <v>13</v>
      </c>
      <c r="D64">
        <v>70</v>
      </c>
      <c r="E64" t="s">
        <v>1051</v>
      </c>
      <c r="F64" t="s">
        <v>5324</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4" customHeight="1">
      <c r="A65" t="s">
        <v>143</v>
      </c>
      <c r="B65">
        <v>64</v>
      </c>
      <c r="C65" t="s">
        <v>13</v>
      </c>
      <c r="D65">
        <v>71</v>
      </c>
      <c r="E65" t="s">
        <v>1051</v>
      </c>
      <c r="F65" t="s">
        <v>5324</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4" customHeight="1">
      <c r="A66" t="s">
        <v>143</v>
      </c>
      <c r="B66">
        <v>65</v>
      </c>
      <c r="C66" t="s">
        <v>13</v>
      </c>
      <c r="D66">
        <v>72</v>
      </c>
      <c r="E66" t="s">
        <v>1051</v>
      </c>
      <c r="F66" t="s">
        <v>5324</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4" customHeight="1">
      <c r="A67" t="s">
        <v>143</v>
      </c>
      <c r="B67">
        <v>66</v>
      </c>
      <c r="C67" t="s">
        <v>13</v>
      </c>
      <c r="D67">
        <v>73</v>
      </c>
      <c r="E67" t="s">
        <v>1051</v>
      </c>
      <c r="F67" t="s">
        <v>5324</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4" customHeight="1">
      <c r="A68" t="s">
        <v>143</v>
      </c>
      <c r="B68">
        <v>67</v>
      </c>
      <c r="C68" t="s">
        <v>13</v>
      </c>
      <c r="D68">
        <v>74</v>
      </c>
      <c r="E68" t="s">
        <v>1051</v>
      </c>
      <c r="F68" t="s">
        <v>5324</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4" customHeight="1">
      <c r="A69" t="s">
        <v>143</v>
      </c>
      <c r="B69">
        <v>68</v>
      </c>
      <c r="C69" t="s">
        <v>13</v>
      </c>
      <c r="D69">
        <v>75</v>
      </c>
      <c r="E69" t="s">
        <v>1051</v>
      </c>
      <c r="F69" t="s">
        <v>5324</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4" customHeight="1">
      <c r="A70" t="s">
        <v>143</v>
      </c>
      <c r="B70">
        <v>69</v>
      </c>
      <c r="C70" t="s">
        <v>13</v>
      </c>
      <c r="D70">
        <v>76</v>
      </c>
      <c r="E70" t="s">
        <v>1051</v>
      </c>
      <c r="F70" t="s">
        <v>5324</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4" customHeight="1">
      <c r="A71" t="s">
        <v>143</v>
      </c>
      <c r="B71">
        <v>70</v>
      </c>
      <c r="C71" t="s">
        <v>13</v>
      </c>
      <c r="D71">
        <v>77</v>
      </c>
      <c r="E71" t="s">
        <v>1051</v>
      </c>
      <c r="F71" t="s">
        <v>5324</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4" customHeight="1">
      <c r="A72" t="s">
        <v>143</v>
      </c>
      <c r="B72">
        <v>71</v>
      </c>
      <c r="C72" t="s">
        <v>13</v>
      </c>
      <c r="D72">
        <v>78</v>
      </c>
      <c r="E72" t="s">
        <v>1051</v>
      </c>
      <c r="F72" t="s">
        <v>5325</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4" customHeight="1">
      <c r="A73" t="s">
        <v>143</v>
      </c>
      <c r="B73">
        <v>72</v>
      </c>
      <c r="C73" t="s">
        <v>13</v>
      </c>
      <c r="D73">
        <v>79</v>
      </c>
      <c r="E73" t="s">
        <v>1052</v>
      </c>
      <c r="F73" t="s">
        <v>5322</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4" customHeight="1">
      <c r="A74" t="s">
        <v>143</v>
      </c>
      <c r="B74">
        <v>73</v>
      </c>
      <c r="C74" t="s">
        <v>13</v>
      </c>
      <c r="D74">
        <v>80</v>
      </c>
      <c r="E74" t="s">
        <v>1052</v>
      </c>
      <c r="F74" t="s">
        <v>5323</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4" customHeight="1">
      <c r="A75" t="s">
        <v>143</v>
      </c>
      <c r="B75">
        <v>74</v>
      </c>
      <c r="C75" t="s">
        <v>13</v>
      </c>
      <c r="D75">
        <v>81</v>
      </c>
      <c r="E75" t="s">
        <v>1052</v>
      </c>
      <c r="F75" t="s">
        <v>5324</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4" customHeight="1">
      <c r="A76" t="s">
        <v>143</v>
      </c>
      <c r="B76">
        <v>75</v>
      </c>
      <c r="C76" t="s">
        <v>13</v>
      </c>
      <c r="D76">
        <v>82</v>
      </c>
      <c r="E76" t="s">
        <v>1052</v>
      </c>
      <c r="F76" t="s">
        <v>5324</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4" customHeight="1">
      <c r="A77" t="s">
        <v>143</v>
      </c>
      <c r="B77">
        <v>76</v>
      </c>
      <c r="C77" t="s">
        <v>13</v>
      </c>
      <c r="D77">
        <v>83</v>
      </c>
      <c r="E77" t="s">
        <v>1052</v>
      </c>
      <c r="F77" t="s">
        <v>5324</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4" customHeight="1">
      <c r="A78" t="s">
        <v>143</v>
      </c>
      <c r="B78">
        <v>77</v>
      </c>
      <c r="C78" t="s">
        <v>13</v>
      </c>
      <c r="D78">
        <v>84</v>
      </c>
      <c r="E78" t="s">
        <v>1052</v>
      </c>
      <c r="F78" t="s">
        <v>5324</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4" customHeight="1">
      <c r="A79" t="s">
        <v>143</v>
      </c>
      <c r="B79">
        <v>78</v>
      </c>
      <c r="C79" t="s">
        <v>13</v>
      </c>
      <c r="D79">
        <v>85</v>
      </c>
      <c r="E79" t="s">
        <v>1052</v>
      </c>
      <c r="F79" t="s">
        <v>5324</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4" customHeight="1">
      <c r="A80" t="s">
        <v>143</v>
      </c>
      <c r="B80">
        <v>79</v>
      </c>
      <c r="C80" t="s">
        <v>13</v>
      </c>
      <c r="D80">
        <v>86</v>
      </c>
      <c r="E80" t="s">
        <v>1052</v>
      </c>
      <c r="F80" t="s">
        <v>5324</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4" customHeight="1">
      <c r="A81" t="s">
        <v>143</v>
      </c>
      <c r="B81">
        <v>80</v>
      </c>
      <c r="C81" t="s">
        <v>13</v>
      </c>
      <c r="D81">
        <v>87</v>
      </c>
      <c r="E81" t="s">
        <v>1052</v>
      </c>
      <c r="F81" t="s">
        <v>5324</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4" customHeight="1">
      <c r="A82" t="s">
        <v>143</v>
      </c>
      <c r="B82">
        <v>81</v>
      </c>
      <c r="C82" t="s">
        <v>13</v>
      </c>
      <c r="D82">
        <v>88</v>
      </c>
      <c r="E82" t="s">
        <v>1052</v>
      </c>
      <c r="F82" t="s">
        <v>5324</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4" customHeight="1">
      <c r="A83" t="s">
        <v>143</v>
      </c>
      <c r="B83">
        <v>82</v>
      </c>
      <c r="C83" t="s">
        <v>13</v>
      </c>
      <c r="D83">
        <v>89</v>
      </c>
      <c r="E83" t="s">
        <v>1052</v>
      </c>
      <c r="F83" t="s">
        <v>5325</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4" customHeight="1">
      <c r="A84" t="s">
        <v>604</v>
      </c>
      <c r="B84">
        <v>1</v>
      </c>
      <c r="C84" t="s">
        <v>15</v>
      </c>
      <c r="D84">
        <v>8</v>
      </c>
      <c r="E84" t="s">
        <v>918</v>
      </c>
      <c r="F84" t="s">
        <v>5322</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4" customHeight="1">
      <c r="A85" t="s">
        <v>604</v>
      </c>
      <c r="B85">
        <v>2</v>
      </c>
      <c r="C85" t="s">
        <v>15</v>
      </c>
      <c r="D85">
        <v>9</v>
      </c>
      <c r="E85" t="s">
        <v>918</v>
      </c>
      <c r="F85" t="s">
        <v>5323</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4" customHeight="1">
      <c r="A86" t="s">
        <v>604</v>
      </c>
      <c r="B86">
        <v>3</v>
      </c>
      <c r="C86" t="s">
        <v>15</v>
      </c>
      <c r="D86">
        <v>10</v>
      </c>
      <c r="E86" t="s">
        <v>918</v>
      </c>
      <c r="F86" t="s">
        <v>5324</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4" customHeight="1">
      <c r="A87" t="s">
        <v>604</v>
      </c>
      <c r="B87">
        <v>4</v>
      </c>
      <c r="C87" t="s">
        <v>15</v>
      </c>
      <c r="D87">
        <v>11</v>
      </c>
      <c r="E87" t="s">
        <v>918</v>
      </c>
      <c r="F87" t="s">
        <v>5324</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4" customHeight="1">
      <c r="A88" t="s">
        <v>604</v>
      </c>
      <c r="B88">
        <v>5</v>
      </c>
      <c r="C88" t="s">
        <v>15</v>
      </c>
      <c r="D88">
        <v>12</v>
      </c>
      <c r="E88" t="s">
        <v>918</v>
      </c>
      <c r="F88" t="s">
        <v>5324</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4" customHeight="1">
      <c r="A89" t="s">
        <v>604</v>
      </c>
      <c r="B89">
        <v>6</v>
      </c>
      <c r="C89" t="s">
        <v>15</v>
      </c>
      <c r="D89">
        <v>13</v>
      </c>
      <c r="E89" t="s">
        <v>918</v>
      </c>
      <c r="F89" t="s">
        <v>5324</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4" customHeight="1">
      <c r="A90" t="s">
        <v>604</v>
      </c>
      <c r="B90">
        <v>7</v>
      </c>
      <c r="C90" t="s">
        <v>15</v>
      </c>
      <c r="D90">
        <v>14</v>
      </c>
      <c r="E90" t="s">
        <v>918</v>
      </c>
      <c r="F90" t="s">
        <v>5324</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4" customHeight="1">
      <c r="A91" t="s">
        <v>604</v>
      </c>
      <c r="B91">
        <v>8</v>
      </c>
      <c r="C91" t="s">
        <v>15</v>
      </c>
      <c r="D91">
        <v>15</v>
      </c>
      <c r="E91" t="s">
        <v>918</v>
      </c>
      <c r="F91" t="s">
        <v>5325</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4" customHeight="1">
      <c r="A92" t="s">
        <v>604</v>
      </c>
      <c r="B92">
        <v>9</v>
      </c>
      <c r="C92" t="s">
        <v>15</v>
      </c>
      <c r="D92">
        <v>16</v>
      </c>
      <c r="E92" t="s">
        <v>936</v>
      </c>
      <c r="F92" t="s">
        <v>5322</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4" customHeight="1">
      <c r="A93" t="s">
        <v>604</v>
      </c>
      <c r="B93">
        <v>10</v>
      </c>
      <c r="C93" t="s">
        <v>15</v>
      </c>
      <c r="D93">
        <v>17</v>
      </c>
      <c r="E93" t="s">
        <v>936</v>
      </c>
      <c r="F93" t="s">
        <v>5323</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4" customHeight="1">
      <c r="A94" t="s">
        <v>604</v>
      </c>
      <c r="B94">
        <v>11</v>
      </c>
      <c r="C94" t="s">
        <v>15</v>
      </c>
      <c r="D94">
        <v>18</v>
      </c>
      <c r="E94" t="s">
        <v>936</v>
      </c>
      <c r="F94" t="s">
        <v>5324</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4" customHeight="1">
      <c r="A95" t="s">
        <v>604</v>
      </c>
      <c r="B95">
        <v>12</v>
      </c>
      <c r="C95" t="s">
        <v>15</v>
      </c>
      <c r="D95">
        <v>19</v>
      </c>
      <c r="E95" t="s">
        <v>936</v>
      </c>
      <c r="F95" t="s">
        <v>5324</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4" customHeight="1">
      <c r="A96" t="s">
        <v>604</v>
      </c>
      <c r="B96">
        <v>13</v>
      </c>
      <c r="C96" t="s">
        <v>15</v>
      </c>
      <c r="D96">
        <v>20</v>
      </c>
      <c r="E96" t="s">
        <v>936</v>
      </c>
      <c r="F96" t="s">
        <v>5324</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4" customHeight="1">
      <c r="A97" t="s">
        <v>604</v>
      </c>
      <c r="B97">
        <v>14</v>
      </c>
      <c r="C97" t="s">
        <v>15</v>
      </c>
      <c r="D97">
        <v>21</v>
      </c>
      <c r="E97" t="s">
        <v>936</v>
      </c>
      <c r="F97" t="s">
        <v>5324</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4" customHeight="1">
      <c r="A98" t="s">
        <v>604</v>
      </c>
      <c r="B98">
        <v>15</v>
      </c>
      <c r="C98" t="s">
        <v>15</v>
      </c>
      <c r="D98">
        <v>22</v>
      </c>
      <c r="E98" t="s">
        <v>936</v>
      </c>
      <c r="F98" t="s">
        <v>5325</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4" customHeight="1">
      <c r="A99" t="s">
        <v>604</v>
      </c>
      <c r="B99">
        <v>16</v>
      </c>
      <c r="C99" t="s">
        <v>15</v>
      </c>
      <c r="D99">
        <v>23</v>
      </c>
      <c r="E99" t="s">
        <v>951</v>
      </c>
      <c r="F99" t="s">
        <v>5322</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4" customHeight="1">
      <c r="A100" t="s">
        <v>604</v>
      </c>
      <c r="B100">
        <v>17</v>
      </c>
      <c r="C100" t="s">
        <v>15</v>
      </c>
      <c r="D100">
        <v>24</v>
      </c>
      <c r="E100" t="s">
        <v>951</v>
      </c>
      <c r="F100" t="s">
        <v>5323</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4" customHeight="1">
      <c r="A101" t="s">
        <v>604</v>
      </c>
      <c r="B101">
        <v>18</v>
      </c>
      <c r="C101" t="s">
        <v>15</v>
      </c>
      <c r="D101">
        <v>25</v>
      </c>
      <c r="E101" t="s">
        <v>951</v>
      </c>
      <c r="F101" t="s">
        <v>5324</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4" customHeight="1">
      <c r="A102" t="s">
        <v>604</v>
      </c>
      <c r="B102">
        <v>19</v>
      </c>
      <c r="C102" t="s">
        <v>15</v>
      </c>
      <c r="D102">
        <v>26</v>
      </c>
      <c r="E102" t="s">
        <v>951</v>
      </c>
      <c r="F102" t="s">
        <v>5324</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4" customHeight="1">
      <c r="A103" t="s">
        <v>604</v>
      </c>
      <c r="B103">
        <v>20</v>
      </c>
      <c r="C103" t="s">
        <v>15</v>
      </c>
      <c r="D103">
        <v>27</v>
      </c>
      <c r="E103" t="s">
        <v>951</v>
      </c>
      <c r="F103" t="s">
        <v>5324</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4" customHeight="1">
      <c r="A104" t="s">
        <v>604</v>
      </c>
      <c r="B104">
        <v>21</v>
      </c>
      <c r="C104" t="s">
        <v>15</v>
      </c>
      <c r="D104">
        <v>28</v>
      </c>
      <c r="E104" t="s">
        <v>951</v>
      </c>
      <c r="F104" t="s">
        <v>5324</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4" customHeight="1">
      <c r="A105" t="s">
        <v>604</v>
      </c>
      <c r="B105">
        <v>22</v>
      </c>
      <c r="C105" t="s">
        <v>15</v>
      </c>
      <c r="D105">
        <v>29</v>
      </c>
      <c r="E105" t="s">
        <v>951</v>
      </c>
      <c r="F105" t="s">
        <v>5325</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4" customHeight="1">
      <c r="A106" t="s">
        <v>604</v>
      </c>
      <c r="B106">
        <v>23</v>
      </c>
      <c r="C106" t="s">
        <v>15</v>
      </c>
      <c r="D106">
        <v>30</v>
      </c>
      <c r="E106" t="s">
        <v>964</v>
      </c>
      <c r="F106" t="s">
        <v>5322</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4" customHeight="1">
      <c r="A107" t="s">
        <v>604</v>
      </c>
      <c r="B107">
        <v>24</v>
      </c>
      <c r="C107" t="s">
        <v>15</v>
      </c>
      <c r="D107">
        <v>31</v>
      </c>
      <c r="E107" t="s">
        <v>964</v>
      </c>
      <c r="F107" t="s">
        <v>5323</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4" customHeight="1">
      <c r="A108" t="s">
        <v>604</v>
      </c>
      <c r="B108">
        <v>25</v>
      </c>
      <c r="C108" t="s">
        <v>15</v>
      </c>
      <c r="D108">
        <v>32</v>
      </c>
      <c r="E108" t="s">
        <v>964</v>
      </c>
      <c r="F108" t="s">
        <v>5324</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4" customHeight="1">
      <c r="A109" t="s">
        <v>604</v>
      </c>
      <c r="B109">
        <v>26</v>
      </c>
      <c r="C109" t="s">
        <v>15</v>
      </c>
      <c r="D109">
        <v>33</v>
      </c>
      <c r="E109" t="s">
        <v>964</v>
      </c>
      <c r="F109" t="s">
        <v>5324</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4" customHeight="1">
      <c r="A110" t="s">
        <v>604</v>
      </c>
      <c r="B110">
        <v>27</v>
      </c>
      <c r="C110" t="s">
        <v>15</v>
      </c>
      <c r="D110">
        <v>34</v>
      </c>
      <c r="E110" t="s">
        <v>964</v>
      </c>
      <c r="F110" t="s">
        <v>5324</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4" customHeight="1">
      <c r="A111" t="s">
        <v>604</v>
      </c>
      <c r="B111">
        <v>28</v>
      </c>
      <c r="C111" t="s">
        <v>15</v>
      </c>
      <c r="D111">
        <v>35</v>
      </c>
      <c r="E111" t="s">
        <v>964</v>
      </c>
      <c r="F111" t="s">
        <v>5324</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4" customHeight="1">
      <c r="A112" t="s">
        <v>604</v>
      </c>
      <c r="B112">
        <v>29</v>
      </c>
      <c r="C112" t="s">
        <v>15</v>
      </c>
      <c r="D112">
        <v>36</v>
      </c>
      <c r="E112" t="s">
        <v>964</v>
      </c>
      <c r="F112" t="s">
        <v>5325</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4" customHeight="1">
      <c r="A113" t="s">
        <v>604</v>
      </c>
      <c r="B113">
        <v>30</v>
      </c>
      <c r="C113" t="s">
        <v>15</v>
      </c>
      <c r="D113">
        <v>37</v>
      </c>
      <c r="E113" t="s">
        <v>977</v>
      </c>
      <c r="F113" t="s">
        <v>5322</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4" customHeight="1">
      <c r="A114" t="s">
        <v>604</v>
      </c>
      <c r="B114">
        <v>31</v>
      </c>
      <c r="C114" t="s">
        <v>15</v>
      </c>
      <c r="D114">
        <v>38</v>
      </c>
      <c r="E114" t="s">
        <v>977</v>
      </c>
      <c r="F114" t="s">
        <v>5323</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4" customHeight="1">
      <c r="A115" t="s">
        <v>604</v>
      </c>
      <c r="B115">
        <v>32</v>
      </c>
      <c r="C115" t="s">
        <v>15</v>
      </c>
      <c r="D115">
        <v>39</v>
      </c>
      <c r="E115" t="s">
        <v>977</v>
      </c>
      <c r="F115" t="s">
        <v>5324</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4" customHeight="1">
      <c r="A116" t="s">
        <v>604</v>
      </c>
      <c r="B116">
        <v>33</v>
      </c>
      <c r="C116" t="s">
        <v>15</v>
      </c>
      <c r="D116">
        <v>40</v>
      </c>
      <c r="E116" t="s">
        <v>977</v>
      </c>
      <c r="F116" t="s">
        <v>5324</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4" customHeight="1">
      <c r="A117" t="s">
        <v>604</v>
      </c>
      <c r="B117">
        <v>34</v>
      </c>
      <c r="C117" t="s">
        <v>15</v>
      </c>
      <c r="D117">
        <v>41</v>
      </c>
      <c r="E117" t="s">
        <v>977</v>
      </c>
      <c r="F117" t="s">
        <v>5324</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4" customHeight="1">
      <c r="A118" t="s">
        <v>604</v>
      </c>
      <c r="B118">
        <v>35</v>
      </c>
      <c r="C118" t="s">
        <v>15</v>
      </c>
      <c r="D118">
        <v>42</v>
      </c>
      <c r="E118" t="s">
        <v>977</v>
      </c>
      <c r="F118" t="s">
        <v>5324</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4" customHeight="1">
      <c r="A119" t="s">
        <v>604</v>
      </c>
      <c r="B119">
        <v>36</v>
      </c>
      <c r="C119" t="s">
        <v>15</v>
      </c>
      <c r="D119">
        <v>43</v>
      </c>
      <c r="E119" t="s">
        <v>977</v>
      </c>
      <c r="F119" t="s">
        <v>5325</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4" customHeight="1">
      <c r="A120" t="s">
        <v>604</v>
      </c>
      <c r="B120">
        <v>37</v>
      </c>
      <c r="C120" t="s">
        <v>15</v>
      </c>
      <c r="D120">
        <v>44</v>
      </c>
      <c r="E120" t="s">
        <v>994</v>
      </c>
      <c r="F120" t="s">
        <v>5322</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4" customHeight="1">
      <c r="A121" t="s">
        <v>604</v>
      </c>
      <c r="B121">
        <v>38</v>
      </c>
      <c r="C121" t="s">
        <v>15</v>
      </c>
      <c r="D121">
        <v>45</v>
      </c>
      <c r="E121" t="s">
        <v>994</v>
      </c>
      <c r="F121" t="s">
        <v>5323</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4" customHeight="1">
      <c r="A122" t="s">
        <v>604</v>
      </c>
      <c r="B122">
        <v>39</v>
      </c>
      <c r="C122" t="s">
        <v>15</v>
      </c>
      <c r="D122">
        <v>46</v>
      </c>
      <c r="E122" t="s">
        <v>994</v>
      </c>
      <c r="F122" t="s">
        <v>5324</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4" customHeight="1">
      <c r="A123" t="s">
        <v>604</v>
      </c>
      <c r="B123">
        <v>40</v>
      </c>
      <c r="C123" t="s">
        <v>15</v>
      </c>
      <c r="D123">
        <v>47</v>
      </c>
      <c r="E123" t="s">
        <v>994</v>
      </c>
      <c r="F123" t="s">
        <v>5324</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4" customHeight="1">
      <c r="A124" t="s">
        <v>604</v>
      </c>
      <c r="B124">
        <v>41</v>
      </c>
      <c r="C124" t="s">
        <v>15</v>
      </c>
      <c r="D124">
        <v>48</v>
      </c>
      <c r="E124" t="s">
        <v>994</v>
      </c>
      <c r="F124" t="s">
        <v>5324</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4" customHeight="1">
      <c r="A125" t="s">
        <v>604</v>
      </c>
      <c r="B125">
        <v>42</v>
      </c>
      <c r="C125" t="s">
        <v>15</v>
      </c>
      <c r="D125">
        <v>49</v>
      </c>
      <c r="E125" t="s">
        <v>994</v>
      </c>
      <c r="F125" t="s">
        <v>5324</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4" customHeight="1">
      <c r="A126" t="s">
        <v>604</v>
      </c>
      <c r="B126">
        <v>43</v>
      </c>
      <c r="C126" t="s">
        <v>15</v>
      </c>
      <c r="D126">
        <v>50</v>
      </c>
      <c r="E126" t="s">
        <v>994</v>
      </c>
      <c r="F126" t="s">
        <v>5325</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4" customHeight="1">
      <c r="A127" t="s">
        <v>604</v>
      </c>
      <c r="B127">
        <v>44</v>
      </c>
      <c r="C127" t="s">
        <v>15</v>
      </c>
      <c r="D127">
        <v>51</v>
      </c>
      <c r="E127" t="s">
        <v>1007</v>
      </c>
      <c r="F127" t="s">
        <v>5322</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4" customHeight="1">
      <c r="A128" t="s">
        <v>604</v>
      </c>
      <c r="B128">
        <v>45</v>
      </c>
      <c r="C128" t="s">
        <v>15</v>
      </c>
      <c r="D128">
        <v>52</v>
      </c>
      <c r="E128" t="s">
        <v>1007</v>
      </c>
      <c r="F128" t="s">
        <v>5323</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4" customHeight="1">
      <c r="A129" t="s">
        <v>604</v>
      </c>
      <c r="B129">
        <v>46</v>
      </c>
      <c r="C129" t="s">
        <v>15</v>
      </c>
      <c r="D129">
        <v>53</v>
      </c>
      <c r="E129" t="s">
        <v>1007</v>
      </c>
      <c r="F129" t="s">
        <v>5324</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4" customHeight="1">
      <c r="A130" t="s">
        <v>604</v>
      </c>
      <c r="B130">
        <v>47</v>
      </c>
      <c r="C130" t="s">
        <v>15</v>
      </c>
      <c r="D130">
        <v>54</v>
      </c>
      <c r="E130" t="s">
        <v>1007</v>
      </c>
      <c r="F130" t="s">
        <v>5324</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4" customHeight="1">
      <c r="A131" t="s">
        <v>604</v>
      </c>
      <c r="B131">
        <v>48</v>
      </c>
      <c r="C131" t="s">
        <v>15</v>
      </c>
      <c r="D131">
        <v>55</v>
      </c>
      <c r="E131" t="s">
        <v>1007</v>
      </c>
      <c r="F131" t="s">
        <v>5324</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4" customHeight="1">
      <c r="A132" t="s">
        <v>604</v>
      </c>
      <c r="B132">
        <v>49</v>
      </c>
      <c r="C132" t="s">
        <v>15</v>
      </c>
      <c r="D132">
        <v>56</v>
      </c>
      <c r="E132" t="s">
        <v>1007</v>
      </c>
      <c r="F132" t="s">
        <v>5324</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4" customHeight="1">
      <c r="A133" t="s">
        <v>604</v>
      </c>
      <c r="B133">
        <v>50</v>
      </c>
      <c r="C133" t="s">
        <v>15</v>
      </c>
      <c r="D133">
        <v>57</v>
      </c>
      <c r="E133" t="s">
        <v>1007</v>
      </c>
      <c r="F133" t="s">
        <v>5325</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4" customHeight="1">
      <c r="A134" t="s">
        <v>604</v>
      </c>
      <c r="B134">
        <v>51</v>
      </c>
      <c r="C134" t="s">
        <v>15</v>
      </c>
      <c r="D134">
        <v>58</v>
      </c>
      <c r="E134" t="s">
        <v>1019</v>
      </c>
      <c r="F134" t="s">
        <v>5322</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4" customHeight="1">
      <c r="A135" t="s">
        <v>604</v>
      </c>
      <c r="B135">
        <v>52</v>
      </c>
      <c r="C135" t="s">
        <v>15</v>
      </c>
      <c r="D135">
        <v>59</v>
      </c>
      <c r="E135" t="s">
        <v>1019</v>
      </c>
      <c r="F135" t="s">
        <v>5323</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4" customHeight="1">
      <c r="A136" t="s">
        <v>604</v>
      </c>
      <c r="B136">
        <v>53</v>
      </c>
      <c r="C136" t="s">
        <v>15</v>
      </c>
      <c r="D136">
        <v>60</v>
      </c>
      <c r="E136" t="s">
        <v>1019</v>
      </c>
      <c r="F136" t="s">
        <v>5324</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4" customHeight="1">
      <c r="A137" t="s">
        <v>604</v>
      </c>
      <c r="B137">
        <v>54</v>
      </c>
      <c r="C137" t="s">
        <v>15</v>
      </c>
      <c r="D137">
        <v>61</v>
      </c>
      <c r="E137" t="s">
        <v>1019</v>
      </c>
      <c r="F137" t="s">
        <v>5324</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4" customHeight="1">
      <c r="A138" t="s">
        <v>604</v>
      </c>
      <c r="B138">
        <v>55</v>
      </c>
      <c r="C138" t="s">
        <v>15</v>
      </c>
      <c r="D138">
        <v>62</v>
      </c>
      <c r="E138" t="s">
        <v>1019</v>
      </c>
      <c r="F138" t="s">
        <v>5324</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4" customHeight="1">
      <c r="A139" t="s">
        <v>604</v>
      </c>
      <c r="B139">
        <v>56</v>
      </c>
      <c r="C139" t="s">
        <v>15</v>
      </c>
      <c r="D139">
        <v>63</v>
      </c>
      <c r="E139" t="s">
        <v>1019</v>
      </c>
      <c r="F139" t="s">
        <v>5324</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4" customHeight="1">
      <c r="A140" t="s">
        <v>604</v>
      </c>
      <c r="B140">
        <v>57</v>
      </c>
      <c r="C140" t="s">
        <v>15</v>
      </c>
      <c r="D140">
        <v>64</v>
      </c>
      <c r="E140" t="s">
        <v>1019</v>
      </c>
      <c r="F140" t="s">
        <v>5324</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4" customHeight="1">
      <c r="A141" t="s">
        <v>604</v>
      </c>
      <c r="B141">
        <v>58</v>
      </c>
      <c r="C141" t="s">
        <v>15</v>
      </c>
      <c r="D141">
        <v>65</v>
      </c>
      <c r="E141" t="s">
        <v>1019</v>
      </c>
      <c r="F141" t="s">
        <v>5324</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4" customHeight="1">
      <c r="A142" t="s">
        <v>604</v>
      </c>
      <c r="B142">
        <v>59</v>
      </c>
      <c r="C142" t="s">
        <v>15</v>
      </c>
      <c r="D142">
        <v>66</v>
      </c>
      <c r="E142" t="s">
        <v>1019</v>
      </c>
      <c r="F142" t="s">
        <v>5324</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4" customHeight="1">
      <c r="A143" t="s">
        <v>604</v>
      </c>
      <c r="B143">
        <v>60</v>
      </c>
      <c r="C143" t="s">
        <v>15</v>
      </c>
      <c r="D143">
        <v>67</v>
      </c>
      <c r="E143" t="s">
        <v>1019</v>
      </c>
      <c r="F143" t="s">
        <v>5324</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4" customHeight="1">
      <c r="A144" t="s">
        <v>604</v>
      </c>
      <c r="B144">
        <v>61</v>
      </c>
      <c r="C144" t="s">
        <v>15</v>
      </c>
      <c r="D144">
        <v>68</v>
      </c>
      <c r="E144" t="s">
        <v>1019</v>
      </c>
      <c r="F144" t="s">
        <v>5325</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4" customHeight="1">
      <c r="A145" t="s">
        <v>604</v>
      </c>
      <c r="B145">
        <v>62</v>
      </c>
      <c r="C145" t="s">
        <v>15</v>
      </c>
      <c r="D145">
        <v>69</v>
      </c>
      <c r="E145" t="s">
        <v>1051</v>
      </c>
      <c r="F145" t="s">
        <v>5322</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4" customHeight="1">
      <c r="A146" t="s">
        <v>604</v>
      </c>
      <c r="B146">
        <v>63</v>
      </c>
      <c r="C146" t="s">
        <v>15</v>
      </c>
      <c r="D146">
        <v>70</v>
      </c>
      <c r="E146" t="s">
        <v>1051</v>
      </c>
      <c r="F146" t="s">
        <v>5323</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4" customHeight="1">
      <c r="A147" t="s">
        <v>604</v>
      </c>
      <c r="B147">
        <v>64</v>
      </c>
      <c r="C147" t="s">
        <v>15</v>
      </c>
      <c r="D147">
        <v>71</v>
      </c>
      <c r="E147" t="s">
        <v>1051</v>
      </c>
      <c r="F147" t="s">
        <v>5324</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4" customHeight="1">
      <c r="A148" t="s">
        <v>604</v>
      </c>
      <c r="B148">
        <v>65</v>
      </c>
      <c r="C148" t="s">
        <v>15</v>
      </c>
      <c r="D148">
        <v>72</v>
      </c>
      <c r="E148" t="s">
        <v>1051</v>
      </c>
      <c r="F148" t="s">
        <v>5324</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4" customHeight="1">
      <c r="A149" t="s">
        <v>604</v>
      </c>
      <c r="B149">
        <v>66</v>
      </c>
      <c r="C149" t="s">
        <v>15</v>
      </c>
      <c r="D149">
        <v>73</v>
      </c>
      <c r="E149" t="s">
        <v>1051</v>
      </c>
      <c r="F149" t="s">
        <v>5324</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4" customHeight="1">
      <c r="A150" t="s">
        <v>604</v>
      </c>
      <c r="B150">
        <v>67</v>
      </c>
      <c r="C150" t="s">
        <v>15</v>
      </c>
      <c r="D150">
        <v>74</v>
      </c>
      <c r="E150" t="s">
        <v>1051</v>
      </c>
      <c r="F150" t="s">
        <v>5324</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4" customHeight="1">
      <c r="A151" t="s">
        <v>604</v>
      </c>
      <c r="B151">
        <v>68</v>
      </c>
      <c r="C151" t="s">
        <v>15</v>
      </c>
      <c r="D151">
        <v>75</v>
      </c>
      <c r="E151" t="s">
        <v>1051</v>
      </c>
      <c r="F151" t="s">
        <v>5324</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4" customHeight="1">
      <c r="A152" t="s">
        <v>604</v>
      </c>
      <c r="B152">
        <v>69</v>
      </c>
      <c r="C152" t="s">
        <v>15</v>
      </c>
      <c r="D152">
        <v>76</v>
      </c>
      <c r="E152" t="s">
        <v>1051</v>
      </c>
      <c r="F152" t="s">
        <v>5324</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4" customHeight="1">
      <c r="A153" t="s">
        <v>604</v>
      </c>
      <c r="B153">
        <v>70</v>
      </c>
      <c r="C153" t="s">
        <v>15</v>
      </c>
      <c r="D153">
        <v>77</v>
      </c>
      <c r="E153" t="s">
        <v>1051</v>
      </c>
      <c r="F153" t="s">
        <v>5324</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4" customHeight="1">
      <c r="A154" t="s">
        <v>604</v>
      </c>
      <c r="B154">
        <v>71</v>
      </c>
      <c r="C154" t="s">
        <v>15</v>
      </c>
      <c r="D154">
        <v>78</v>
      </c>
      <c r="E154" t="s">
        <v>1051</v>
      </c>
      <c r="F154" t="s">
        <v>5324</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4" customHeight="1">
      <c r="A155" t="s">
        <v>604</v>
      </c>
      <c r="B155">
        <v>72</v>
      </c>
      <c r="C155" t="s">
        <v>15</v>
      </c>
      <c r="D155">
        <v>79</v>
      </c>
      <c r="E155" t="s">
        <v>1051</v>
      </c>
      <c r="F155" t="s">
        <v>5325</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4" customHeight="1">
      <c r="A156" t="s">
        <v>604</v>
      </c>
      <c r="B156">
        <v>73</v>
      </c>
      <c r="C156" t="s">
        <v>15</v>
      </c>
      <c r="D156">
        <v>80</v>
      </c>
      <c r="E156" t="s">
        <v>1052</v>
      </c>
      <c r="F156" t="s">
        <v>5322</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4" customHeight="1">
      <c r="A157" t="s">
        <v>604</v>
      </c>
      <c r="B157">
        <v>74</v>
      </c>
      <c r="C157" t="s">
        <v>15</v>
      </c>
      <c r="D157">
        <v>81</v>
      </c>
      <c r="E157" t="s">
        <v>1052</v>
      </c>
      <c r="F157" t="s">
        <v>5323</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4" customHeight="1">
      <c r="A158" t="s">
        <v>604</v>
      </c>
      <c r="B158">
        <v>75</v>
      </c>
      <c r="C158" t="s">
        <v>15</v>
      </c>
      <c r="D158">
        <v>82</v>
      </c>
      <c r="E158" t="s">
        <v>1052</v>
      </c>
      <c r="F158" t="s">
        <v>5324</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4" customHeight="1">
      <c r="A159" t="s">
        <v>604</v>
      </c>
      <c r="B159">
        <v>76</v>
      </c>
      <c r="C159" t="s">
        <v>15</v>
      </c>
      <c r="D159">
        <v>83</v>
      </c>
      <c r="E159" t="s">
        <v>1052</v>
      </c>
      <c r="F159" t="s">
        <v>5324</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4" customHeight="1">
      <c r="A160" t="s">
        <v>604</v>
      </c>
      <c r="B160">
        <v>77</v>
      </c>
      <c r="C160" t="s">
        <v>15</v>
      </c>
      <c r="D160">
        <v>84</v>
      </c>
      <c r="E160" t="s">
        <v>1052</v>
      </c>
      <c r="F160" t="s">
        <v>5324</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4" customHeight="1">
      <c r="A161" t="s">
        <v>604</v>
      </c>
      <c r="B161">
        <v>78</v>
      </c>
      <c r="C161" t="s">
        <v>15</v>
      </c>
      <c r="D161">
        <v>85</v>
      </c>
      <c r="E161" t="s">
        <v>1052</v>
      </c>
      <c r="F161" t="s">
        <v>5324</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4" customHeight="1">
      <c r="A162" t="s">
        <v>604</v>
      </c>
      <c r="B162">
        <v>79</v>
      </c>
      <c r="C162" t="s">
        <v>15</v>
      </c>
      <c r="D162">
        <v>86</v>
      </c>
      <c r="E162" t="s">
        <v>1052</v>
      </c>
      <c r="F162" t="s">
        <v>5324</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4" customHeight="1">
      <c r="A163" t="s">
        <v>604</v>
      </c>
      <c r="B163">
        <v>80</v>
      </c>
      <c r="C163" t="s">
        <v>15</v>
      </c>
      <c r="D163">
        <v>87</v>
      </c>
      <c r="E163" t="s">
        <v>1052</v>
      </c>
      <c r="F163" t="s">
        <v>5324</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4" customHeight="1">
      <c r="A164" t="s">
        <v>604</v>
      </c>
      <c r="B164">
        <v>81</v>
      </c>
      <c r="C164" t="s">
        <v>15</v>
      </c>
      <c r="D164">
        <v>88</v>
      </c>
      <c r="E164" t="s">
        <v>1052</v>
      </c>
      <c r="F164" t="s">
        <v>5324</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4" customHeight="1">
      <c r="A165" t="s">
        <v>604</v>
      </c>
      <c r="B165">
        <v>82</v>
      </c>
      <c r="C165" t="s">
        <v>15</v>
      </c>
      <c r="D165">
        <v>89</v>
      </c>
      <c r="E165" t="s">
        <v>1052</v>
      </c>
      <c r="F165" t="s">
        <v>5324</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4" customHeight="1">
      <c r="A166" t="s">
        <v>604</v>
      </c>
      <c r="B166">
        <v>83</v>
      </c>
      <c r="C166" t="s">
        <v>15</v>
      </c>
      <c r="D166">
        <v>90</v>
      </c>
      <c r="E166" t="s">
        <v>1052</v>
      </c>
      <c r="F166" t="s">
        <v>5325</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4" customHeight="1">
      <c r="A167" t="s">
        <v>625</v>
      </c>
      <c r="B167">
        <v>1</v>
      </c>
      <c r="C167" t="s">
        <v>17</v>
      </c>
      <c r="D167">
        <v>8</v>
      </c>
      <c r="E167" t="s">
        <v>918</v>
      </c>
      <c r="F167" t="s">
        <v>5322</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4" customHeight="1">
      <c r="A168" t="s">
        <v>625</v>
      </c>
      <c r="B168">
        <v>2</v>
      </c>
      <c r="C168" t="s">
        <v>17</v>
      </c>
      <c r="D168">
        <v>9</v>
      </c>
      <c r="E168" t="s">
        <v>918</v>
      </c>
      <c r="F168" t="s">
        <v>5323</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4" customHeight="1">
      <c r="A169" t="s">
        <v>625</v>
      </c>
      <c r="B169">
        <v>3</v>
      </c>
      <c r="C169" t="s">
        <v>17</v>
      </c>
      <c r="D169">
        <v>10</v>
      </c>
      <c r="E169" t="s">
        <v>918</v>
      </c>
      <c r="F169" t="s">
        <v>5324</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4" customHeight="1">
      <c r="A170" t="s">
        <v>625</v>
      </c>
      <c r="B170">
        <v>4</v>
      </c>
      <c r="C170" t="s">
        <v>17</v>
      </c>
      <c r="D170">
        <v>11</v>
      </c>
      <c r="E170" t="s">
        <v>918</v>
      </c>
      <c r="F170" t="s">
        <v>5324</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4" customHeight="1">
      <c r="A171" t="s">
        <v>625</v>
      </c>
      <c r="B171">
        <v>5</v>
      </c>
      <c r="C171" t="s">
        <v>17</v>
      </c>
      <c r="D171">
        <v>12</v>
      </c>
      <c r="E171" t="s">
        <v>918</v>
      </c>
      <c r="F171" t="s">
        <v>5324</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4" customHeight="1">
      <c r="A172" t="s">
        <v>625</v>
      </c>
      <c r="B172">
        <v>6</v>
      </c>
      <c r="C172" t="s">
        <v>17</v>
      </c>
      <c r="D172">
        <v>13</v>
      </c>
      <c r="E172" t="s">
        <v>918</v>
      </c>
      <c r="F172" t="s">
        <v>5324</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4" customHeight="1">
      <c r="A173" t="s">
        <v>625</v>
      </c>
      <c r="B173">
        <v>7</v>
      </c>
      <c r="C173" t="s">
        <v>17</v>
      </c>
      <c r="D173">
        <v>14</v>
      </c>
      <c r="E173" t="s">
        <v>918</v>
      </c>
      <c r="F173" t="s">
        <v>5325</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4" customHeight="1">
      <c r="A174" t="s">
        <v>625</v>
      </c>
      <c r="B174">
        <v>8</v>
      </c>
      <c r="C174" t="s">
        <v>17</v>
      </c>
      <c r="D174">
        <v>15</v>
      </c>
      <c r="E174" t="s">
        <v>936</v>
      </c>
      <c r="F174" t="s">
        <v>5322</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4" customHeight="1">
      <c r="A175" t="s">
        <v>625</v>
      </c>
      <c r="B175">
        <v>9</v>
      </c>
      <c r="C175" t="s">
        <v>17</v>
      </c>
      <c r="D175">
        <v>16</v>
      </c>
      <c r="E175" t="s">
        <v>936</v>
      </c>
      <c r="F175" t="s">
        <v>5323</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4" customHeight="1">
      <c r="A176" t="s">
        <v>625</v>
      </c>
      <c r="B176">
        <v>10</v>
      </c>
      <c r="C176" t="s">
        <v>17</v>
      </c>
      <c r="D176">
        <v>17</v>
      </c>
      <c r="E176" t="s">
        <v>936</v>
      </c>
      <c r="F176" t="s">
        <v>5324</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4" customHeight="1">
      <c r="A177" t="s">
        <v>625</v>
      </c>
      <c r="B177">
        <v>11</v>
      </c>
      <c r="C177" t="s">
        <v>17</v>
      </c>
      <c r="D177">
        <v>18</v>
      </c>
      <c r="E177" t="s">
        <v>936</v>
      </c>
      <c r="F177" t="s">
        <v>5324</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4" customHeight="1">
      <c r="A178" t="s">
        <v>625</v>
      </c>
      <c r="B178">
        <v>12</v>
      </c>
      <c r="C178" t="s">
        <v>17</v>
      </c>
      <c r="D178">
        <v>19</v>
      </c>
      <c r="E178" t="s">
        <v>936</v>
      </c>
      <c r="F178" t="s">
        <v>5324</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4" customHeight="1">
      <c r="A179" t="s">
        <v>625</v>
      </c>
      <c r="B179">
        <v>13</v>
      </c>
      <c r="C179" t="s">
        <v>17</v>
      </c>
      <c r="D179">
        <v>20</v>
      </c>
      <c r="E179" t="s">
        <v>936</v>
      </c>
      <c r="F179" t="s">
        <v>5324</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4" customHeight="1">
      <c r="A180" t="s">
        <v>625</v>
      </c>
      <c r="B180">
        <v>14</v>
      </c>
      <c r="C180" t="s">
        <v>17</v>
      </c>
      <c r="D180">
        <v>21</v>
      </c>
      <c r="E180" t="s">
        <v>936</v>
      </c>
      <c r="F180" t="s">
        <v>5325</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4" customHeight="1">
      <c r="A181" t="s">
        <v>625</v>
      </c>
      <c r="B181">
        <v>15</v>
      </c>
      <c r="C181" t="s">
        <v>17</v>
      </c>
      <c r="D181">
        <v>22</v>
      </c>
      <c r="E181" t="s">
        <v>951</v>
      </c>
      <c r="F181" t="s">
        <v>5322</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4" customHeight="1">
      <c r="A182" t="s">
        <v>625</v>
      </c>
      <c r="B182">
        <v>16</v>
      </c>
      <c r="C182" t="s">
        <v>17</v>
      </c>
      <c r="D182">
        <v>23</v>
      </c>
      <c r="E182" t="s">
        <v>951</v>
      </c>
      <c r="F182" t="s">
        <v>5323</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4" customHeight="1">
      <c r="A183" t="s">
        <v>625</v>
      </c>
      <c r="B183">
        <v>17</v>
      </c>
      <c r="C183" t="s">
        <v>17</v>
      </c>
      <c r="D183">
        <v>24</v>
      </c>
      <c r="E183" t="s">
        <v>951</v>
      </c>
      <c r="F183" t="s">
        <v>5324</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4" customHeight="1">
      <c r="A184" t="s">
        <v>625</v>
      </c>
      <c r="B184">
        <v>18</v>
      </c>
      <c r="C184" t="s">
        <v>17</v>
      </c>
      <c r="D184">
        <v>25</v>
      </c>
      <c r="E184" t="s">
        <v>951</v>
      </c>
      <c r="F184" t="s">
        <v>5324</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4" customHeight="1">
      <c r="A185" t="s">
        <v>625</v>
      </c>
      <c r="B185">
        <v>19</v>
      </c>
      <c r="C185" t="s">
        <v>17</v>
      </c>
      <c r="D185">
        <v>26</v>
      </c>
      <c r="E185" t="s">
        <v>951</v>
      </c>
      <c r="F185" t="s">
        <v>5324</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4" customHeight="1">
      <c r="A186" t="s">
        <v>625</v>
      </c>
      <c r="B186">
        <v>20</v>
      </c>
      <c r="C186" t="s">
        <v>17</v>
      </c>
      <c r="D186">
        <v>27</v>
      </c>
      <c r="E186" t="s">
        <v>951</v>
      </c>
      <c r="F186" t="s">
        <v>5324</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4" customHeight="1">
      <c r="A187" t="s">
        <v>625</v>
      </c>
      <c r="B187">
        <v>21</v>
      </c>
      <c r="C187" t="s">
        <v>17</v>
      </c>
      <c r="D187">
        <v>28</v>
      </c>
      <c r="E187" t="s">
        <v>951</v>
      </c>
      <c r="F187" t="s">
        <v>5325</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4" customHeight="1">
      <c r="A188" t="s">
        <v>625</v>
      </c>
      <c r="B188">
        <v>22</v>
      </c>
      <c r="C188" t="s">
        <v>17</v>
      </c>
      <c r="D188">
        <v>29</v>
      </c>
      <c r="E188" t="s">
        <v>964</v>
      </c>
      <c r="F188" t="s">
        <v>5322</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4" customHeight="1">
      <c r="A189" t="s">
        <v>625</v>
      </c>
      <c r="B189">
        <v>23</v>
      </c>
      <c r="C189" t="s">
        <v>17</v>
      </c>
      <c r="D189">
        <v>30</v>
      </c>
      <c r="E189" t="s">
        <v>964</v>
      </c>
      <c r="F189" t="s">
        <v>5323</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4" customHeight="1">
      <c r="A190" t="s">
        <v>625</v>
      </c>
      <c r="B190">
        <v>24</v>
      </c>
      <c r="C190" t="s">
        <v>17</v>
      </c>
      <c r="D190">
        <v>31</v>
      </c>
      <c r="E190" t="s">
        <v>964</v>
      </c>
      <c r="F190" t="s">
        <v>5324</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4" customHeight="1">
      <c r="A191" t="s">
        <v>625</v>
      </c>
      <c r="B191">
        <v>25</v>
      </c>
      <c r="C191" t="s">
        <v>17</v>
      </c>
      <c r="D191">
        <v>32</v>
      </c>
      <c r="E191" t="s">
        <v>964</v>
      </c>
      <c r="F191" t="s">
        <v>5324</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4" customHeight="1">
      <c r="A192" t="s">
        <v>625</v>
      </c>
      <c r="B192">
        <v>26</v>
      </c>
      <c r="C192" t="s">
        <v>17</v>
      </c>
      <c r="D192">
        <v>33</v>
      </c>
      <c r="E192" t="s">
        <v>964</v>
      </c>
      <c r="F192" t="s">
        <v>5324</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4" customHeight="1">
      <c r="A193" t="s">
        <v>625</v>
      </c>
      <c r="B193">
        <v>27</v>
      </c>
      <c r="C193" t="s">
        <v>17</v>
      </c>
      <c r="D193">
        <v>34</v>
      </c>
      <c r="E193" t="s">
        <v>964</v>
      </c>
      <c r="F193" t="s">
        <v>5324</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4" customHeight="1">
      <c r="A194" t="s">
        <v>625</v>
      </c>
      <c r="B194">
        <v>28</v>
      </c>
      <c r="C194" t="s">
        <v>17</v>
      </c>
      <c r="D194">
        <v>35</v>
      </c>
      <c r="E194" t="s">
        <v>964</v>
      </c>
      <c r="F194" t="s">
        <v>5325</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4" customHeight="1">
      <c r="A195" t="s">
        <v>625</v>
      </c>
      <c r="B195">
        <v>29</v>
      </c>
      <c r="C195" t="s">
        <v>17</v>
      </c>
      <c r="D195">
        <v>36</v>
      </c>
      <c r="E195" t="s">
        <v>977</v>
      </c>
      <c r="F195" t="s">
        <v>5322</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4" customHeight="1">
      <c r="A196" t="s">
        <v>625</v>
      </c>
      <c r="B196">
        <v>30</v>
      </c>
      <c r="C196" t="s">
        <v>17</v>
      </c>
      <c r="D196">
        <v>37</v>
      </c>
      <c r="E196" t="s">
        <v>977</v>
      </c>
      <c r="F196" t="s">
        <v>5323</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4" customHeight="1">
      <c r="A197" t="s">
        <v>625</v>
      </c>
      <c r="B197">
        <v>31</v>
      </c>
      <c r="C197" t="s">
        <v>17</v>
      </c>
      <c r="D197">
        <v>38</v>
      </c>
      <c r="E197" t="s">
        <v>977</v>
      </c>
      <c r="F197" t="s">
        <v>5324</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4" customHeight="1">
      <c r="A198" t="s">
        <v>625</v>
      </c>
      <c r="B198">
        <v>32</v>
      </c>
      <c r="C198" t="s">
        <v>17</v>
      </c>
      <c r="D198">
        <v>39</v>
      </c>
      <c r="E198" t="s">
        <v>977</v>
      </c>
      <c r="F198" t="s">
        <v>5324</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4" customHeight="1">
      <c r="A199" t="s">
        <v>625</v>
      </c>
      <c r="B199">
        <v>33</v>
      </c>
      <c r="C199" t="s">
        <v>17</v>
      </c>
      <c r="D199">
        <v>40</v>
      </c>
      <c r="E199" t="s">
        <v>977</v>
      </c>
      <c r="F199" t="s">
        <v>5324</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4" customHeight="1">
      <c r="A200" t="s">
        <v>625</v>
      </c>
      <c r="B200">
        <v>34</v>
      </c>
      <c r="C200" t="s">
        <v>17</v>
      </c>
      <c r="D200">
        <v>41</v>
      </c>
      <c r="E200" t="s">
        <v>977</v>
      </c>
      <c r="F200" t="s">
        <v>5324</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4" customHeight="1">
      <c r="A201" t="s">
        <v>625</v>
      </c>
      <c r="B201">
        <v>35</v>
      </c>
      <c r="C201" t="s">
        <v>17</v>
      </c>
      <c r="D201">
        <v>42</v>
      </c>
      <c r="E201" t="s">
        <v>977</v>
      </c>
      <c r="F201" t="s">
        <v>5325</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4" customHeight="1">
      <c r="A202" t="s">
        <v>625</v>
      </c>
      <c r="B202">
        <v>36</v>
      </c>
      <c r="C202" t="s">
        <v>17</v>
      </c>
      <c r="D202">
        <v>43</v>
      </c>
      <c r="E202" t="s">
        <v>994</v>
      </c>
      <c r="F202" t="s">
        <v>5322</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4" customHeight="1">
      <c r="A203" t="s">
        <v>625</v>
      </c>
      <c r="B203">
        <v>37</v>
      </c>
      <c r="C203" t="s">
        <v>17</v>
      </c>
      <c r="D203">
        <v>44</v>
      </c>
      <c r="E203" t="s">
        <v>994</v>
      </c>
      <c r="F203" t="s">
        <v>5323</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4" customHeight="1">
      <c r="A204" t="s">
        <v>625</v>
      </c>
      <c r="B204">
        <v>38</v>
      </c>
      <c r="C204" t="s">
        <v>17</v>
      </c>
      <c r="D204">
        <v>45</v>
      </c>
      <c r="E204" t="s">
        <v>994</v>
      </c>
      <c r="F204" t="s">
        <v>5324</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4" customHeight="1">
      <c r="A205" t="s">
        <v>625</v>
      </c>
      <c r="B205">
        <v>39</v>
      </c>
      <c r="C205" t="s">
        <v>17</v>
      </c>
      <c r="D205">
        <v>46</v>
      </c>
      <c r="E205" t="s">
        <v>994</v>
      </c>
      <c r="F205" t="s">
        <v>5324</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4" customHeight="1">
      <c r="A206" t="s">
        <v>625</v>
      </c>
      <c r="B206">
        <v>40</v>
      </c>
      <c r="C206" t="s">
        <v>17</v>
      </c>
      <c r="D206">
        <v>47</v>
      </c>
      <c r="E206" t="s">
        <v>994</v>
      </c>
      <c r="F206" t="s">
        <v>5324</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4" customHeight="1">
      <c r="A207" t="s">
        <v>625</v>
      </c>
      <c r="B207">
        <v>41</v>
      </c>
      <c r="C207" t="s">
        <v>17</v>
      </c>
      <c r="D207">
        <v>48</v>
      </c>
      <c r="E207" t="s">
        <v>994</v>
      </c>
      <c r="F207" t="s">
        <v>5324</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4" customHeight="1">
      <c r="A208" t="s">
        <v>625</v>
      </c>
      <c r="B208">
        <v>42</v>
      </c>
      <c r="C208" t="s">
        <v>17</v>
      </c>
      <c r="D208">
        <v>49</v>
      </c>
      <c r="E208" t="s">
        <v>994</v>
      </c>
      <c r="F208" t="s">
        <v>5325</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4" customHeight="1">
      <c r="A209" t="s">
        <v>625</v>
      </c>
      <c r="B209">
        <v>43</v>
      </c>
      <c r="C209" t="s">
        <v>17</v>
      </c>
      <c r="D209">
        <v>50</v>
      </c>
      <c r="E209" t="s">
        <v>1007</v>
      </c>
      <c r="F209" t="s">
        <v>5322</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4" customHeight="1">
      <c r="A210" t="s">
        <v>625</v>
      </c>
      <c r="B210">
        <v>44</v>
      </c>
      <c r="C210" t="s">
        <v>17</v>
      </c>
      <c r="D210">
        <v>51</v>
      </c>
      <c r="E210" t="s">
        <v>1007</v>
      </c>
      <c r="F210" t="s">
        <v>5323</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4" customHeight="1">
      <c r="A211" t="s">
        <v>625</v>
      </c>
      <c r="B211">
        <v>45</v>
      </c>
      <c r="C211" t="s">
        <v>17</v>
      </c>
      <c r="D211">
        <v>52</v>
      </c>
      <c r="E211" t="s">
        <v>1007</v>
      </c>
      <c r="F211" t="s">
        <v>5324</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4" customHeight="1">
      <c r="A212" t="s">
        <v>625</v>
      </c>
      <c r="B212">
        <v>46</v>
      </c>
      <c r="C212" t="s">
        <v>17</v>
      </c>
      <c r="D212">
        <v>53</v>
      </c>
      <c r="E212" t="s">
        <v>1007</v>
      </c>
      <c r="F212" t="s">
        <v>5324</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4" customHeight="1">
      <c r="A213" t="s">
        <v>625</v>
      </c>
      <c r="B213">
        <v>47</v>
      </c>
      <c r="C213" t="s">
        <v>17</v>
      </c>
      <c r="D213">
        <v>54</v>
      </c>
      <c r="E213" t="s">
        <v>1007</v>
      </c>
      <c r="F213" t="s">
        <v>5324</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4" customHeight="1">
      <c r="A214" t="s">
        <v>625</v>
      </c>
      <c r="B214">
        <v>48</v>
      </c>
      <c r="C214" t="s">
        <v>17</v>
      </c>
      <c r="D214">
        <v>55</v>
      </c>
      <c r="E214" t="s">
        <v>1007</v>
      </c>
      <c r="F214" t="s">
        <v>5324</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4" customHeight="1">
      <c r="A215" t="s">
        <v>625</v>
      </c>
      <c r="B215">
        <v>49</v>
      </c>
      <c r="C215" t="s">
        <v>17</v>
      </c>
      <c r="D215">
        <v>56</v>
      </c>
      <c r="E215" t="s">
        <v>1007</v>
      </c>
      <c r="F215" t="s">
        <v>5325</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4" customHeight="1">
      <c r="A216" t="s">
        <v>625</v>
      </c>
      <c r="B216">
        <v>50</v>
      </c>
      <c r="C216" t="s">
        <v>17</v>
      </c>
      <c r="D216">
        <v>57</v>
      </c>
      <c r="E216" t="s">
        <v>1019</v>
      </c>
      <c r="F216" t="s">
        <v>5322</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4" customHeight="1">
      <c r="A217" t="s">
        <v>625</v>
      </c>
      <c r="B217">
        <v>51</v>
      </c>
      <c r="C217" t="s">
        <v>17</v>
      </c>
      <c r="D217">
        <v>58</v>
      </c>
      <c r="E217" t="s">
        <v>1019</v>
      </c>
      <c r="F217" t="s">
        <v>5323</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4" customHeight="1">
      <c r="A218" t="s">
        <v>625</v>
      </c>
      <c r="B218">
        <v>52</v>
      </c>
      <c r="C218" t="s">
        <v>17</v>
      </c>
      <c r="D218">
        <v>59</v>
      </c>
      <c r="E218" t="s">
        <v>1019</v>
      </c>
      <c r="F218" t="s">
        <v>5324</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4" customHeight="1">
      <c r="A219" t="s">
        <v>625</v>
      </c>
      <c r="B219">
        <v>53</v>
      </c>
      <c r="C219" t="s">
        <v>17</v>
      </c>
      <c r="D219">
        <v>60</v>
      </c>
      <c r="E219" t="s">
        <v>1019</v>
      </c>
      <c r="F219" t="s">
        <v>5324</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4" customHeight="1">
      <c r="A220" t="s">
        <v>625</v>
      </c>
      <c r="B220">
        <v>54</v>
      </c>
      <c r="C220" t="s">
        <v>17</v>
      </c>
      <c r="D220">
        <v>61</v>
      </c>
      <c r="E220" t="s">
        <v>1019</v>
      </c>
      <c r="F220" t="s">
        <v>5324</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4" customHeight="1">
      <c r="A221" t="s">
        <v>625</v>
      </c>
      <c r="B221">
        <v>55</v>
      </c>
      <c r="C221" t="s">
        <v>17</v>
      </c>
      <c r="D221">
        <v>62</v>
      </c>
      <c r="E221" t="s">
        <v>1019</v>
      </c>
      <c r="F221" t="s">
        <v>5324</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4" customHeight="1">
      <c r="A222" t="s">
        <v>625</v>
      </c>
      <c r="B222">
        <v>56</v>
      </c>
      <c r="C222" t="s">
        <v>17</v>
      </c>
      <c r="D222">
        <v>63</v>
      </c>
      <c r="E222" t="s">
        <v>1019</v>
      </c>
      <c r="F222" t="s">
        <v>5324</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4" customHeight="1">
      <c r="A223" t="s">
        <v>625</v>
      </c>
      <c r="B223">
        <v>57</v>
      </c>
      <c r="C223" t="s">
        <v>17</v>
      </c>
      <c r="D223">
        <v>64</v>
      </c>
      <c r="E223" t="s">
        <v>1019</v>
      </c>
      <c r="F223" t="s">
        <v>5324</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4" customHeight="1">
      <c r="A224" t="s">
        <v>625</v>
      </c>
      <c r="B224">
        <v>58</v>
      </c>
      <c r="C224" t="s">
        <v>17</v>
      </c>
      <c r="D224">
        <v>65</v>
      </c>
      <c r="E224" t="s">
        <v>1019</v>
      </c>
      <c r="F224" t="s">
        <v>5324</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4" customHeight="1">
      <c r="A225" t="s">
        <v>625</v>
      </c>
      <c r="B225">
        <v>59</v>
      </c>
      <c r="C225" t="s">
        <v>17</v>
      </c>
      <c r="D225">
        <v>66</v>
      </c>
      <c r="E225" t="s">
        <v>1019</v>
      </c>
      <c r="F225" t="s">
        <v>5324</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4" customHeight="1">
      <c r="A226" t="s">
        <v>625</v>
      </c>
      <c r="B226">
        <v>60</v>
      </c>
      <c r="C226" t="s">
        <v>17</v>
      </c>
      <c r="D226">
        <v>67</v>
      </c>
      <c r="E226" t="s">
        <v>1019</v>
      </c>
      <c r="F226" t="s">
        <v>5325</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4" customHeight="1">
      <c r="A227" t="s">
        <v>625</v>
      </c>
      <c r="B227">
        <v>61</v>
      </c>
      <c r="C227" t="s">
        <v>17</v>
      </c>
      <c r="D227">
        <v>68</v>
      </c>
      <c r="E227" t="s">
        <v>1051</v>
      </c>
      <c r="F227" t="s">
        <v>5322</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4" customHeight="1">
      <c r="A228" t="s">
        <v>625</v>
      </c>
      <c r="B228">
        <v>62</v>
      </c>
      <c r="C228" t="s">
        <v>17</v>
      </c>
      <c r="D228">
        <v>69</v>
      </c>
      <c r="E228" t="s">
        <v>1051</v>
      </c>
      <c r="F228" t="s">
        <v>5323</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4" customHeight="1">
      <c r="A229" t="s">
        <v>625</v>
      </c>
      <c r="B229">
        <v>63</v>
      </c>
      <c r="C229" t="s">
        <v>17</v>
      </c>
      <c r="D229">
        <v>70</v>
      </c>
      <c r="E229" t="s">
        <v>1051</v>
      </c>
      <c r="F229" t="s">
        <v>5324</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4" customHeight="1">
      <c r="A230" t="s">
        <v>625</v>
      </c>
      <c r="B230">
        <v>64</v>
      </c>
      <c r="C230" t="s">
        <v>17</v>
      </c>
      <c r="D230">
        <v>71</v>
      </c>
      <c r="E230" t="s">
        <v>1051</v>
      </c>
      <c r="F230" t="s">
        <v>5324</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4" customHeight="1">
      <c r="A231" t="s">
        <v>625</v>
      </c>
      <c r="B231">
        <v>65</v>
      </c>
      <c r="C231" t="s">
        <v>17</v>
      </c>
      <c r="D231">
        <v>72</v>
      </c>
      <c r="E231" t="s">
        <v>1051</v>
      </c>
      <c r="F231" t="s">
        <v>5324</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4" customHeight="1">
      <c r="A232" t="s">
        <v>625</v>
      </c>
      <c r="B232">
        <v>66</v>
      </c>
      <c r="C232" t="s">
        <v>17</v>
      </c>
      <c r="D232">
        <v>73</v>
      </c>
      <c r="E232" t="s">
        <v>1051</v>
      </c>
      <c r="F232" t="s">
        <v>5324</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4" customHeight="1">
      <c r="A233" t="s">
        <v>625</v>
      </c>
      <c r="B233">
        <v>67</v>
      </c>
      <c r="C233" t="s">
        <v>17</v>
      </c>
      <c r="D233">
        <v>74</v>
      </c>
      <c r="E233" t="s">
        <v>1051</v>
      </c>
      <c r="F233" t="s">
        <v>5324</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4" customHeight="1">
      <c r="A234" t="s">
        <v>625</v>
      </c>
      <c r="B234">
        <v>68</v>
      </c>
      <c r="C234" t="s">
        <v>17</v>
      </c>
      <c r="D234">
        <v>75</v>
      </c>
      <c r="E234" t="s">
        <v>1051</v>
      </c>
      <c r="F234" t="s">
        <v>5324</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4" customHeight="1">
      <c r="A235" t="s">
        <v>625</v>
      </c>
      <c r="B235">
        <v>69</v>
      </c>
      <c r="C235" t="s">
        <v>17</v>
      </c>
      <c r="D235">
        <v>76</v>
      </c>
      <c r="E235" t="s">
        <v>1051</v>
      </c>
      <c r="F235" t="s">
        <v>5324</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4" customHeight="1">
      <c r="A236" t="s">
        <v>625</v>
      </c>
      <c r="B236">
        <v>70</v>
      </c>
      <c r="C236" t="s">
        <v>17</v>
      </c>
      <c r="D236">
        <v>77</v>
      </c>
      <c r="E236" t="s">
        <v>1051</v>
      </c>
      <c r="F236" t="s">
        <v>5324</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4" customHeight="1">
      <c r="A237" t="s">
        <v>625</v>
      </c>
      <c r="B237">
        <v>71</v>
      </c>
      <c r="C237" t="s">
        <v>17</v>
      </c>
      <c r="D237">
        <v>78</v>
      </c>
      <c r="E237" t="s">
        <v>1051</v>
      </c>
      <c r="F237" t="s">
        <v>5325</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4" customHeight="1">
      <c r="A238" t="s">
        <v>625</v>
      </c>
      <c r="B238">
        <v>72</v>
      </c>
      <c r="C238" t="s">
        <v>17</v>
      </c>
      <c r="D238">
        <v>79</v>
      </c>
      <c r="E238" t="s">
        <v>1052</v>
      </c>
      <c r="F238" t="s">
        <v>5322</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4" customHeight="1">
      <c r="A239" t="s">
        <v>625</v>
      </c>
      <c r="B239">
        <v>73</v>
      </c>
      <c r="C239" t="s">
        <v>17</v>
      </c>
      <c r="D239">
        <v>80</v>
      </c>
      <c r="E239" t="s">
        <v>1052</v>
      </c>
      <c r="F239" t="s">
        <v>5323</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4" customHeight="1">
      <c r="A240" t="s">
        <v>625</v>
      </c>
      <c r="B240">
        <v>74</v>
      </c>
      <c r="C240" t="s">
        <v>17</v>
      </c>
      <c r="D240">
        <v>81</v>
      </c>
      <c r="E240" t="s">
        <v>1052</v>
      </c>
      <c r="F240" t="s">
        <v>5324</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4" customHeight="1">
      <c r="A241" t="s">
        <v>625</v>
      </c>
      <c r="B241">
        <v>75</v>
      </c>
      <c r="C241" t="s">
        <v>17</v>
      </c>
      <c r="D241">
        <v>82</v>
      </c>
      <c r="E241" t="s">
        <v>1052</v>
      </c>
      <c r="F241" t="s">
        <v>5324</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4" customHeight="1">
      <c r="A242" t="s">
        <v>625</v>
      </c>
      <c r="B242">
        <v>76</v>
      </c>
      <c r="C242" t="s">
        <v>17</v>
      </c>
      <c r="D242">
        <v>83</v>
      </c>
      <c r="E242" t="s">
        <v>1052</v>
      </c>
      <c r="F242" t="s">
        <v>5324</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4" customHeight="1">
      <c r="A243" t="s">
        <v>625</v>
      </c>
      <c r="B243">
        <v>77</v>
      </c>
      <c r="C243" t="s">
        <v>17</v>
      </c>
      <c r="D243">
        <v>84</v>
      </c>
      <c r="E243" t="s">
        <v>1052</v>
      </c>
      <c r="F243" t="s">
        <v>5324</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4" customHeight="1">
      <c r="A244" t="s">
        <v>625</v>
      </c>
      <c r="B244">
        <v>78</v>
      </c>
      <c r="C244" t="s">
        <v>17</v>
      </c>
      <c r="D244">
        <v>85</v>
      </c>
      <c r="E244" t="s">
        <v>1052</v>
      </c>
      <c r="F244" t="s">
        <v>5324</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4" customHeight="1">
      <c r="A245" t="s">
        <v>625</v>
      </c>
      <c r="B245">
        <v>79</v>
      </c>
      <c r="C245" t="s">
        <v>17</v>
      </c>
      <c r="D245">
        <v>86</v>
      </c>
      <c r="E245" t="s">
        <v>1052</v>
      </c>
      <c r="F245" t="s">
        <v>5324</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4" customHeight="1">
      <c r="A246" t="s">
        <v>625</v>
      </c>
      <c r="B246">
        <v>80</v>
      </c>
      <c r="C246" t="s">
        <v>17</v>
      </c>
      <c r="D246">
        <v>87</v>
      </c>
      <c r="E246" t="s">
        <v>1052</v>
      </c>
      <c r="F246" t="s">
        <v>5324</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4" customHeight="1">
      <c r="A247" t="s">
        <v>625</v>
      </c>
      <c r="B247">
        <v>81</v>
      </c>
      <c r="C247" t="s">
        <v>17</v>
      </c>
      <c r="D247">
        <v>88</v>
      </c>
      <c r="E247" t="s">
        <v>1052</v>
      </c>
      <c r="F247" t="s">
        <v>5324</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4" customHeight="1">
      <c r="A248" t="s">
        <v>625</v>
      </c>
      <c r="B248">
        <v>82</v>
      </c>
      <c r="C248" t="s">
        <v>17</v>
      </c>
      <c r="D248">
        <v>89</v>
      </c>
      <c r="E248" t="s">
        <v>1052</v>
      </c>
      <c r="F248" t="s">
        <v>5325</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4" customHeight="1">
      <c r="A249" t="s">
        <v>641</v>
      </c>
      <c r="B249">
        <v>1</v>
      </c>
      <c r="C249" t="s">
        <v>19</v>
      </c>
      <c r="D249">
        <v>8</v>
      </c>
      <c r="E249" t="s">
        <v>918</v>
      </c>
      <c r="F249" t="s">
        <v>5322</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4" customHeight="1">
      <c r="A250" t="s">
        <v>641</v>
      </c>
      <c r="B250">
        <v>2</v>
      </c>
      <c r="C250" t="s">
        <v>19</v>
      </c>
      <c r="D250">
        <v>9</v>
      </c>
      <c r="E250" t="s">
        <v>918</v>
      </c>
      <c r="F250" t="s">
        <v>5323</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4" customHeight="1">
      <c r="A251" t="s">
        <v>641</v>
      </c>
      <c r="B251">
        <v>3</v>
      </c>
      <c r="C251" t="s">
        <v>19</v>
      </c>
      <c r="D251">
        <v>10</v>
      </c>
      <c r="E251" t="s">
        <v>918</v>
      </c>
      <c r="F251" t="s">
        <v>5324</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4" customHeight="1">
      <c r="A252" t="s">
        <v>641</v>
      </c>
      <c r="B252">
        <v>4</v>
      </c>
      <c r="C252" t="s">
        <v>19</v>
      </c>
      <c r="D252">
        <v>11</v>
      </c>
      <c r="E252" t="s">
        <v>918</v>
      </c>
      <c r="F252" t="s">
        <v>5324</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4" customHeight="1">
      <c r="A253" t="s">
        <v>641</v>
      </c>
      <c r="B253">
        <v>5</v>
      </c>
      <c r="C253" t="s">
        <v>19</v>
      </c>
      <c r="D253">
        <v>12</v>
      </c>
      <c r="E253" t="s">
        <v>918</v>
      </c>
      <c r="F253" t="s">
        <v>5324</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4" customHeight="1">
      <c r="A254" t="s">
        <v>641</v>
      </c>
      <c r="B254">
        <v>6</v>
      </c>
      <c r="C254" t="s">
        <v>19</v>
      </c>
      <c r="D254">
        <v>13</v>
      </c>
      <c r="E254" t="s">
        <v>918</v>
      </c>
      <c r="F254" t="s">
        <v>5325</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4" customHeight="1">
      <c r="A255" t="s">
        <v>641</v>
      </c>
      <c r="B255">
        <v>7</v>
      </c>
      <c r="C255" t="s">
        <v>19</v>
      </c>
      <c r="D255">
        <v>14</v>
      </c>
      <c r="E255" t="s">
        <v>936</v>
      </c>
      <c r="F255" t="s">
        <v>5322</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4" customHeight="1">
      <c r="A256" t="s">
        <v>641</v>
      </c>
      <c r="B256">
        <v>8</v>
      </c>
      <c r="C256" t="s">
        <v>19</v>
      </c>
      <c r="D256">
        <v>15</v>
      </c>
      <c r="E256" t="s">
        <v>936</v>
      </c>
      <c r="F256" t="s">
        <v>5323</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4" customHeight="1">
      <c r="A257" t="s">
        <v>641</v>
      </c>
      <c r="B257">
        <v>9</v>
      </c>
      <c r="C257" t="s">
        <v>19</v>
      </c>
      <c r="D257">
        <v>16</v>
      </c>
      <c r="E257" t="s">
        <v>936</v>
      </c>
      <c r="F257" t="s">
        <v>5324</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4" customHeight="1">
      <c r="A258" t="s">
        <v>641</v>
      </c>
      <c r="B258">
        <v>10</v>
      </c>
      <c r="C258" t="s">
        <v>19</v>
      </c>
      <c r="D258">
        <v>17</v>
      </c>
      <c r="E258" t="s">
        <v>936</v>
      </c>
      <c r="F258" t="s">
        <v>5324</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4" customHeight="1">
      <c r="A259" t="s">
        <v>641</v>
      </c>
      <c r="B259">
        <v>11</v>
      </c>
      <c r="C259" t="s">
        <v>19</v>
      </c>
      <c r="D259">
        <v>18</v>
      </c>
      <c r="E259" t="s">
        <v>936</v>
      </c>
      <c r="F259" t="s">
        <v>5324</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4" customHeight="1">
      <c r="A260" t="s">
        <v>641</v>
      </c>
      <c r="B260">
        <v>12</v>
      </c>
      <c r="C260" t="s">
        <v>19</v>
      </c>
      <c r="D260">
        <v>19</v>
      </c>
      <c r="E260" t="s">
        <v>936</v>
      </c>
      <c r="F260" t="s">
        <v>5325</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4" customHeight="1">
      <c r="A261" t="s">
        <v>641</v>
      </c>
      <c r="B261">
        <v>13</v>
      </c>
      <c r="C261" t="s">
        <v>19</v>
      </c>
      <c r="D261">
        <v>20</v>
      </c>
      <c r="E261" t="s">
        <v>951</v>
      </c>
      <c r="F261" t="s">
        <v>5322</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4" customHeight="1">
      <c r="A262" t="s">
        <v>641</v>
      </c>
      <c r="B262">
        <v>14</v>
      </c>
      <c r="C262" t="s">
        <v>19</v>
      </c>
      <c r="D262">
        <v>21</v>
      </c>
      <c r="E262" t="s">
        <v>951</v>
      </c>
      <c r="F262" t="s">
        <v>5323</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4" customHeight="1">
      <c r="A263" t="s">
        <v>641</v>
      </c>
      <c r="B263">
        <v>15</v>
      </c>
      <c r="C263" t="s">
        <v>19</v>
      </c>
      <c r="D263">
        <v>22</v>
      </c>
      <c r="E263" t="s">
        <v>951</v>
      </c>
      <c r="F263" t="s">
        <v>5324</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4" customHeight="1">
      <c r="A264" t="s">
        <v>641</v>
      </c>
      <c r="B264">
        <v>16</v>
      </c>
      <c r="C264" t="s">
        <v>19</v>
      </c>
      <c r="D264">
        <v>23</v>
      </c>
      <c r="E264" t="s">
        <v>951</v>
      </c>
      <c r="F264" t="s">
        <v>5324</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4" customHeight="1">
      <c r="A265" t="s">
        <v>641</v>
      </c>
      <c r="B265">
        <v>17</v>
      </c>
      <c r="C265" t="s">
        <v>19</v>
      </c>
      <c r="D265">
        <v>24</v>
      </c>
      <c r="E265" t="s">
        <v>951</v>
      </c>
      <c r="F265" t="s">
        <v>5324</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4" customHeight="1">
      <c r="A266" t="s">
        <v>641</v>
      </c>
      <c r="B266">
        <v>18</v>
      </c>
      <c r="C266" t="s">
        <v>19</v>
      </c>
      <c r="D266">
        <v>25</v>
      </c>
      <c r="E266" t="s">
        <v>951</v>
      </c>
      <c r="F266" t="s">
        <v>5325</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4" customHeight="1">
      <c r="A267" t="s">
        <v>641</v>
      </c>
      <c r="B267">
        <v>19</v>
      </c>
      <c r="C267" t="s">
        <v>19</v>
      </c>
      <c r="D267">
        <v>26</v>
      </c>
      <c r="E267" t="s">
        <v>964</v>
      </c>
      <c r="F267" t="s">
        <v>5322</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4" customHeight="1">
      <c r="A268" t="s">
        <v>641</v>
      </c>
      <c r="B268">
        <v>20</v>
      </c>
      <c r="C268" t="s">
        <v>19</v>
      </c>
      <c r="D268">
        <v>27</v>
      </c>
      <c r="E268" t="s">
        <v>964</v>
      </c>
      <c r="F268" t="s">
        <v>5323</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4" customHeight="1">
      <c r="A269" t="s">
        <v>641</v>
      </c>
      <c r="B269">
        <v>21</v>
      </c>
      <c r="C269" t="s">
        <v>19</v>
      </c>
      <c r="D269">
        <v>28</v>
      </c>
      <c r="E269" t="s">
        <v>964</v>
      </c>
      <c r="F269" t="s">
        <v>5324</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4" customHeight="1">
      <c r="A270" t="s">
        <v>641</v>
      </c>
      <c r="B270">
        <v>22</v>
      </c>
      <c r="C270" t="s">
        <v>19</v>
      </c>
      <c r="D270">
        <v>29</v>
      </c>
      <c r="E270" t="s">
        <v>964</v>
      </c>
      <c r="F270" t="s">
        <v>5324</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4" customHeight="1">
      <c r="A271" t="s">
        <v>641</v>
      </c>
      <c r="B271">
        <v>23</v>
      </c>
      <c r="C271" t="s">
        <v>19</v>
      </c>
      <c r="D271">
        <v>30</v>
      </c>
      <c r="E271" t="s">
        <v>964</v>
      </c>
      <c r="F271" t="s">
        <v>5324</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4" customHeight="1">
      <c r="A272" t="s">
        <v>641</v>
      </c>
      <c r="B272">
        <v>24</v>
      </c>
      <c r="C272" t="s">
        <v>19</v>
      </c>
      <c r="D272">
        <v>31</v>
      </c>
      <c r="E272" t="s">
        <v>964</v>
      </c>
      <c r="F272" t="s">
        <v>5325</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4" customHeight="1">
      <c r="A273" t="s">
        <v>641</v>
      </c>
      <c r="B273">
        <v>25</v>
      </c>
      <c r="C273" t="s">
        <v>19</v>
      </c>
      <c r="D273">
        <v>32</v>
      </c>
      <c r="E273" t="s">
        <v>977</v>
      </c>
      <c r="F273" t="s">
        <v>5322</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4" customHeight="1">
      <c r="A274" t="s">
        <v>641</v>
      </c>
      <c r="B274">
        <v>26</v>
      </c>
      <c r="C274" t="s">
        <v>19</v>
      </c>
      <c r="D274">
        <v>33</v>
      </c>
      <c r="E274" t="s">
        <v>977</v>
      </c>
      <c r="F274" t="s">
        <v>5323</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4" customHeight="1">
      <c r="A275" t="s">
        <v>641</v>
      </c>
      <c r="B275">
        <v>27</v>
      </c>
      <c r="C275" t="s">
        <v>19</v>
      </c>
      <c r="D275">
        <v>34</v>
      </c>
      <c r="E275" t="s">
        <v>977</v>
      </c>
      <c r="F275" t="s">
        <v>5324</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4" customHeight="1">
      <c r="A276" t="s">
        <v>641</v>
      </c>
      <c r="B276">
        <v>28</v>
      </c>
      <c r="C276" t="s">
        <v>19</v>
      </c>
      <c r="D276">
        <v>35</v>
      </c>
      <c r="E276" t="s">
        <v>977</v>
      </c>
      <c r="F276" t="s">
        <v>5324</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4" customHeight="1">
      <c r="A277" t="s">
        <v>641</v>
      </c>
      <c r="B277">
        <v>29</v>
      </c>
      <c r="C277" t="s">
        <v>19</v>
      </c>
      <c r="D277">
        <v>36</v>
      </c>
      <c r="E277" t="s">
        <v>977</v>
      </c>
      <c r="F277" t="s">
        <v>5324</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4" customHeight="1">
      <c r="A278" t="s">
        <v>641</v>
      </c>
      <c r="B278">
        <v>30</v>
      </c>
      <c r="C278" t="s">
        <v>19</v>
      </c>
      <c r="D278">
        <v>37</v>
      </c>
      <c r="E278" t="s">
        <v>977</v>
      </c>
      <c r="F278" t="s">
        <v>5325</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4" customHeight="1">
      <c r="A279" t="s">
        <v>641</v>
      </c>
      <c r="B279">
        <v>31</v>
      </c>
      <c r="C279" t="s">
        <v>19</v>
      </c>
      <c r="D279">
        <v>38</v>
      </c>
      <c r="E279" t="s">
        <v>994</v>
      </c>
      <c r="F279" t="s">
        <v>5322</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4" customHeight="1">
      <c r="A280" t="s">
        <v>641</v>
      </c>
      <c r="B280">
        <v>32</v>
      </c>
      <c r="C280" t="s">
        <v>19</v>
      </c>
      <c r="D280">
        <v>39</v>
      </c>
      <c r="E280" t="s">
        <v>994</v>
      </c>
      <c r="F280" t="s">
        <v>5323</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4" customHeight="1">
      <c r="A281" t="s">
        <v>641</v>
      </c>
      <c r="B281">
        <v>33</v>
      </c>
      <c r="C281" t="s">
        <v>19</v>
      </c>
      <c r="D281">
        <v>40</v>
      </c>
      <c r="E281" t="s">
        <v>994</v>
      </c>
      <c r="F281" t="s">
        <v>5324</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4" customHeight="1">
      <c r="A282" t="s">
        <v>641</v>
      </c>
      <c r="B282">
        <v>34</v>
      </c>
      <c r="C282" t="s">
        <v>19</v>
      </c>
      <c r="D282">
        <v>41</v>
      </c>
      <c r="E282" t="s">
        <v>994</v>
      </c>
      <c r="F282" t="s">
        <v>5324</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4" customHeight="1">
      <c r="A283" t="s">
        <v>641</v>
      </c>
      <c r="B283">
        <v>35</v>
      </c>
      <c r="C283" t="s">
        <v>19</v>
      </c>
      <c r="D283">
        <v>42</v>
      </c>
      <c r="E283" t="s">
        <v>994</v>
      </c>
      <c r="F283" t="s">
        <v>5324</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4" customHeight="1">
      <c r="A284" t="s">
        <v>641</v>
      </c>
      <c r="B284">
        <v>36</v>
      </c>
      <c r="C284" t="s">
        <v>19</v>
      </c>
      <c r="D284">
        <v>43</v>
      </c>
      <c r="E284" t="s">
        <v>994</v>
      </c>
      <c r="F284" t="s">
        <v>5325</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4" customHeight="1">
      <c r="A285" t="s">
        <v>641</v>
      </c>
      <c r="B285">
        <v>37</v>
      </c>
      <c r="C285" t="s">
        <v>19</v>
      </c>
      <c r="D285">
        <v>44</v>
      </c>
      <c r="E285" t="s">
        <v>1007</v>
      </c>
      <c r="F285" t="s">
        <v>5322</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4" customHeight="1">
      <c r="A286" t="s">
        <v>641</v>
      </c>
      <c r="B286">
        <v>38</v>
      </c>
      <c r="C286" t="s">
        <v>19</v>
      </c>
      <c r="D286">
        <v>45</v>
      </c>
      <c r="E286" t="s">
        <v>1007</v>
      </c>
      <c r="F286" t="s">
        <v>5323</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4" customHeight="1">
      <c r="A287" t="s">
        <v>641</v>
      </c>
      <c r="B287">
        <v>39</v>
      </c>
      <c r="C287" t="s">
        <v>19</v>
      </c>
      <c r="D287">
        <v>46</v>
      </c>
      <c r="E287" t="s">
        <v>1007</v>
      </c>
      <c r="F287" t="s">
        <v>5324</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4" customHeight="1">
      <c r="A288" t="s">
        <v>641</v>
      </c>
      <c r="B288">
        <v>40</v>
      </c>
      <c r="C288" t="s">
        <v>19</v>
      </c>
      <c r="D288">
        <v>47</v>
      </c>
      <c r="E288" t="s">
        <v>1007</v>
      </c>
      <c r="F288" t="s">
        <v>5324</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4" customHeight="1">
      <c r="A289" t="s">
        <v>641</v>
      </c>
      <c r="B289">
        <v>41</v>
      </c>
      <c r="C289" t="s">
        <v>19</v>
      </c>
      <c r="D289">
        <v>48</v>
      </c>
      <c r="E289" t="s">
        <v>1007</v>
      </c>
      <c r="F289" t="s">
        <v>5324</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4" customHeight="1">
      <c r="A290" t="s">
        <v>641</v>
      </c>
      <c r="B290">
        <v>42</v>
      </c>
      <c r="C290" t="s">
        <v>19</v>
      </c>
      <c r="D290">
        <v>49</v>
      </c>
      <c r="E290" t="s">
        <v>1007</v>
      </c>
      <c r="F290" t="s">
        <v>5325</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4" customHeight="1">
      <c r="A291" t="s">
        <v>641</v>
      </c>
      <c r="B291">
        <v>43</v>
      </c>
      <c r="C291" t="s">
        <v>19</v>
      </c>
      <c r="D291">
        <v>50</v>
      </c>
      <c r="E291" t="s">
        <v>1019</v>
      </c>
      <c r="F291" t="s">
        <v>5322</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4" customHeight="1">
      <c r="A292" t="s">
        <v>641</v>
      </c>
      <c r="B292">
        <v>44</v>
      </c>
      <c r="C292" t="s">
        <v>19</v>
      </c>
      <c r="D292">
        <v>51</v>
      </c>
      <c r="E292" t="s">
        <v>1019</v>
      </c>
      <c r="F292" t="s">
        <v>5323</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4" customHeight="1">
      <c r="A293" t="s">
        <v>641</v>
      </c>
      <c r="B293">
        <v>45</v>
      </c>
      <c r="C293" t="s">
        <v>19</v>
      </c>
      <c r="D293">
        <v>52</v>
      </c>
      <c r="E293" t="s">
        <v>1019</v>
      </c>
      <c r="F293" t="s">
        <v>5324</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4" customHeight="1">
      <c r="A294" t="s">
        <v>641</v>
      </c>
      <c r="B294">
        <v>46</v>
      </c>
      <c r="C294" t="s">
        <v>19</v>
      </c>
      <c r="D294">
        <v>53</v>
      </c>
      <c r="E294" t="s">
        <v>1019</v>
      </c>
      <c r="F294" t="s">
        <v>5324</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4" customHeight="1">
      <c r="A295" t="s">
        <v>641</v>
      </c>
      <c r="B295">
        <v>47</v>
      </c>
      <c r="C295" t="s">
        <v>19</v>
      </c>
      <c r="D295">
        <v>54</v>
      </c>
      <c r="E295" t="s">
        <v>1019</v>
      </c>
      <c r="F295" t="s">
        <v>5324</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4" customHeight="1">
      <c r="A296" t="s">
        <v>641</v>
      </c>
      <c r="B296">
        <v>48</v>
      </c>
      <c r="C296" t="s">
        <v>19</v>
      </c>
      <c r="D296">
        <v>55</v>
      </c>
      <c r="E296" t="s">
        <v>1019</v>
      </c>
      <c r="F296" t="s">
        <v>5324</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4" customHeight="1">
      <c r="A297" t="s">
        <v>641</v>
      </c>
      <c r="B297">
        <v>49</v>
      </c>
      <c r="C297" t="s">
        <v>19</v>
      </c>
      <c r="D297">
        <v>56</v>
      </c>
      <c r="E297" t="s">
        <v>1019</v>
      </c>
      <c r="F297" t="s">
        <v>5324</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4" customHeight="1">
      <c r="A298" t="s">
        <v>641</v>
      </c>
      <c r="B298">
        <v>50</v>
      </c>
      <c r="C298" t="s">
        <v>19</v>
      </c>
      <c r="D298">
        <v>57</v>
      </c>
      <c r="E298" t="s">
        <v>1019</v>
      </c>
      <c r="F298" t="s">
        <v>5324</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4" customHeight="1">
      <c r="A299" t="s">
        <v>641</v>
      </c>
      <c r="B299">
        <v>51</v>
      </c>
      <c r="C299" t="s">
        <v>19</v>
      </c>
      <c r="D299">
        <v>58</v>
      </c>
      <c r="E299" t="s">
        <v>1019</v>
      </c>
      <c r="F299" t="s">
        <v>5324</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4" customHeight="1">
      <c r="A300" t="s">
        <v>641</v>
      </c>
      <c r="B300">
        <v>52</v>
      </c>
      <c r="C300" t="s">
        <v>19</v>
      </c>
      <c r="D300">
        <v>59</v>
      </c>
      <c r="E300" t="s">
        <v>1019</v>
      </c>
      <c r="F300" t="s">
        <v>5324</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4" customHeight="1">
      <c r="A301" t="s">
        <v>641</v>
      </c>
      <c r="B301">
        <v>53</v>
      </c>
      <c r="C301" t="s">
        <v>19</v>
      </c>
      <c r="D301">
        <v>60</v>
      </c>
      <c r="E301" t="s">
        <v>1019</v>
      </c>
      <c r="F301" t="s">
        <v>5325</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4" customHeight="1">
      <c r="A302" t="s">
        <v>641</v>
      </c>
      <c r="B302">
        <v>54</v>
      </c>
      <c r="C302" t="s">
        <v>19</v>
      </c>
      <c r="D302">
        <v>61</v>
      </c>
      <c r="E302" t="s">
        <v>1051</v>
      </c>
      <c r="F302" t="s">
        <v>5322</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4" customHeight="1">
      <c r="A303" t="s">
        <v>641</v>
      </c>
      <c r="B303">
        <v>55</v>
      </c>
      <c r="C303" t="s">
        <v>19</v>
      </c>
      <c r="D303">
        <v>62</v>
      </c>
      <c r="E303" t="s">
        <v>1051</v>
      </c>
      <c r="F303" t="s">
        <v>5323</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4" customHeight="1">
      <c r="A304" t="s">
        <v>641</v>
      </c>
      <c r="B304">
        <v>56</v>
      </c>
      <c r="C304" t="s">
        <v>19</v>
      </c>
      <c r="D304">
        <v>63</v>
      </c>
      <c r="E304" t="s">
        <v>1051</v>
      </c>
      <c r="F304" t="s">
        <v>5324</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4" customHeight="1">
      <c r="A305" t="s">
        <v>641</v>
      </c>
      <c r="B305">
        <v>57</v>
      </c>
      <c r="C305" t="s">
        <v>19</v>
      </c>
      <c r="D305">
        <v>64</v>
      </c>
      <c r="E305" t="s">
        <v>1051</v>
      </c>
      <c r="F305" t="s">
        <v>5324</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4" customHeight="1">
      <c r="A306" t="s">
        <v>641</v>
      </c>
      <c r="B306">
        <v>58</v>
      </c>
      <c r="C306" t="s">
        <v>19</v>
      </c>
      <c r="D306">
        <v>65</v>
      </c>
      <c r="E306" t="s">
        <v>1051</v>
      </c>
      <c r="F306" t="s">
        <v>5324</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4" customHeight="1">
      <c r="A307" t="s">
        <v>641</v>
      </c>
      <c r="B307">
        <v>59</v>
      </c>
      <c r="C307" t="s">
        <v>19</v>
      </c>
      <c r="D307">
        <v>66</v>
      </c>
      <c r="E307" t="s">
        <v>1051</v>
      </c>
      <c r="F307" t="s">
        <v>5324</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4" customHeight="1">
      <c r="A308" t="s">
        <v>641</v>
      </c>
      <c r="B308">
        <v>60</v>
      </c>
      <c r="C308" t="s">
        <v>19</v>
      </c>
      <c r="D308">
        <v>67</v>
      </c>
      <c r="E308" t="s">
        <v>1051</v>
      </c>
      <c r="F308" t="s">
        <v>5324</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4" customHeight="1">
      <c r="A309" t="s">
        <v>641</v>
      </c>
      <c r="B309">
        <v>61</v>
      </c>
      <c r="C309" t="s">
        <v>19</v>
      </c>
      <c r="D309">
        <v>68</v>
      </c>
      <c r="E309" t="s">
        <v>1051</v>
      </c>
      <c r="F309" t="s">
        <v>5324</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4" customHeight="1">
      <c r="A310" t="s">
        <v>641</v>
      </c>
      <c r="B310">
        <v>62</v>
      </c>
      <c r="C310" t="s">
        <v>19</v>
      </c>
      <c r="D310">
        <v>69</v>
      </c>
      <c r="E310" t="s">
        <v>1051</v>
      </c>
      <c r="F310" t="s">
        <v>5324</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4" customHeight="1">
      <c r="A311" t="s">
        <v>641</v>
      </c>
      <c r="B311">
        <v>63</v>
      </c>
      <c r="C311" t="s">
        <v>19</v>
      </c>
      <c r="D311">
        <v>70</v>
      </c>
      <c r="E311" t="s">
        <v>1051</v>
      </c>
      <c r="F311" t="s">
        <v>5324</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4" customHeight="1">
      <c r="A312" t="s">
        <v>641</v>
      </c>
      <c r="B312">
        <v>64</v>
      </c>
      <c r="C312" t="s">
        <v>19</v>
      </c>
      <c r="D312">
        <v>71</v>
      </c>
      <c r="E312" t="s">
        <v>1051</v>
      </c>
      <c r="F312" t="s">
        <v>5325</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4" customHeight="1">
      <c r="A313" t="s">
        <v>641</v>
      </c>
      <c r="B313">
        <v>65</v>
      </c>
      <c r="C313" t="s">
        <v>19</v>
      </c>
      <c r="D313">
        <v>72</v>
      </c>
      <c r="E313" t="s">
        <v>1052</v>
      </c>
      <c r="F313" t="s">
        <v>5322</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4" customHeight="1">
      <c r="A314" t="s">
        <v>641</v>
      </c>
      <c r="B314">
        <v>66</v>
      </c>
      <c r="C314" t="s">
        <v>19</v>
      </c>
      <c r="D314">
        <v>73</v>
      </c>
      <c r="E314" t="s">
        <v>1052</v>
      </c>
      <c r="F314" t="s">
        <v>5323</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4" customHeight="1">
      <c r="A315" t="s">
        <v>641</v>
      </c>
      <c r="B315">
        <v>67</v>
      </c>
      <c r="C315" t="s">
        <v>19</v>
      </c>
      <c r="D315">
        <v>74</v>
      </c>
      <c r="E315" t="s">
        <v>1052</v>
      </c>
      <c r="F315" t="s">
        <v>5324</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4" customHeight="1">
      <c r="A316" t="s">
        <v>641</v>
      </c>
      <c r="B316">
        <v>68</v>
      </c>
      <c r="C316" t="s">
        <v>19</v>
      </c>
      <c r="D316">
        <v>75</v>
      </c>
      <c r="E316" t="s">
        <v>1052</v>
      </c>
      <c r="F316" t="s">
        <v>5324</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4" customHeight="1">
      <c r="A317" t="s">
        <v>641</v>
      </c>
      <c r="B317">
        <v>69</v>
      </c>
      <c r="C317" t="s">
        <v>19</v>
      </c>
      <c r="D317">
        <v>76</v>
      </c>
      <c r="E317" t="s">
        <v>1052</v>
      </c>
      <c r="F317" t="s">
        <v>5324</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4" customHeight="1">
      <c r="A318" t="s">
        <v>641</v>
      </c>
      <c r="B318">
        <v>70</v>
      </c>
      <c r="C318" t="s">
        <v>19</v>
      </c>
      <c r="D318">
        <v>77</v>
      </c>
      <c r="E318" t="s">
        <v>1052</v>
      </c>
      <c r="F318" t="s">
        <v>5324</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4" customHeight="1">
      <c r="A319" t="s">
        <v>641</v>
      </c>
      <c r="B319">
        <v>71</v>
      </c>
      <c r="C319" t="s">
        <v>19</v>
      </c>
      <c r="D319">
        <v>78</v>
      </c>
      <c r="E319" t="s">
        <v>1052</v>
      </c>
      <c r="F319" t="s">
        <v>5324</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4" customHeight="1">
      <c r="A320" t="s">
        <v>641</v>
      </c>
      <c r="B320">
        <v>72</v>
      </c>
      <c r="C320" t="s">
        <v>19</v>
      </c>
      <c r="D320">
        <v>79</v>
      </c>
      <c r="E320" t="s">
        <v>1052</v>
      </c>
      <c r="F320" t="s">
        <v>5324</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4" customHeight="1">
      <c r="A321" t="s">
        <v>641</v>
      </c>
      <c r="B321">
        <v>73</v>
      </c>
      <c r="C321" t="s">
        <v>19</v>
      </c>
      <c r="D321">
        <v>80</v>
      </c>
      <c r="E321" t="s">
        <v>1052</v>
      </c>
      <c r="F321" t="s">
        <v>5324</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4" customHeight="1">
      <c r="A322" t="s">
        <v>641</v>
      </c>
      <c r="B322">
        <v>74</v>
      </c>
      <c r="C322" t="s">
        <v>19</v>
      </c>
      <c r="D322">
        <v>81</v>
      </c>
      <c r="E322" t="s">
        <v>1052</v>
      </c>
      <c r="F322" t="s">
        <v>5324</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4" customHeight="1">
      <c r="A323" t="s">
        <v>641</v>
      </c>
      <c r="B323">
        <v>75</v>
      </c>
      <c r="C323" t="s">
        <v>19</v>
      </c>
      <c r="D323">
        <v>82</v>
      </c>
      <c r="E323" t="s">
        <v>1052</v>
      </c>
      <c r="F323" t="s">
        <v>5325</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4" customHeight="1">
      <c r="A324" t="s">
        <v>1462</v>
      </c>
      <c r="B324">
        <v>1</v>
      </c>
      <c r="C324" t="s">
        <v>21</v>
      </c>
      <c r="D324">
        <v>8</v>
      </c>
      <c r="E324" t="s">
        <v>918</v>
      </c>
      <c r="F324" t="s">
        <v>5322</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4" customHeight="1">
      <c r="A325" t="s">
        <v>1462</v>
      </c>
      <c r="B325">
        <v>2</v>
      </c>
      <c r="C325" t="s">
        <v>21</v>
      </c>
      <c r="D325">
        <v>9</v>
      </c>
      <c r="E325" t="s">
        <v>918</v>
      </c>
      <c r="F325" t="s">
        <v>5323</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4" customHeight="1">
      <c r="A326" t="s">
        <v>1462</v>
      </c>
      <c r="B326">
        <v>3</v>
      </c>
      <c r="C326" t="s">
        <v>21</v>
      </c>
      <c r="D326">
        <v>10</v>
      </c>
      <c r="E326" t="s">
        <v>918</v>
      </c>
      <c r="F326" t="s">
        <v>5324</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4" customHeight="1">
      <c r="A327" t="s">
        <v>1462</v>
      </c>
      <c r="B327">
        <v>4</v>
      </c>
      <c r="C327" t="s">
        <v>21</v>
      </c>
      <c r="D327">
        <v>11</v>
      </c>
      <c r="E327" t="s">
        <v>918</v>
      </c>
      <c r="F327" t="s">
        <v>5324</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4" customHeight="1">
      <c r="A328" t="s">
        <v>1462</v>
      </c>
      <c r="B328">
        <v>5</v>
      </c>
      <c r="C328" t="s">
        <v>21</v>
      </c>
      <c r="D328">
        <v>12</v>
      </c>
      <c r="E328" t="s">
        <v>918</v>
      </c>
      <c r="F328" t="s">
        <v>5325</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4" customHeight="1">
      <c r="A329" t="s">
        <v>1462</v>
      </c>
      <c r="B329">
        <v>6</v>
      </c>
      <c r="C329" t="s">
        <v>21</v>
      </c>
      <c r="D329">
        <v>13</v>
      </c>
      <c r="E329" t="s">
        <v>936</v>
      </c>
      <c r="F329" t="s">
        <v>5322</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4" customHeight="1">
      <c r="A330" t="s">
        <v>1462</v>
      </c>
      <c r="B330">
        <v>7</v>
      </c>
      <c r="C330" t="s">
        <v>21</v>
      </c>
      <c r="D330">
        <v>14</v>
      </c>
      <c r="E330" t="s">
        <v>936</v>
      </c>
      <c r="F330" t="s">
        <v>5323</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4" customHeight="1">
      <c r="A331" t="s">
        <v>1462</v>
      </c>
      <c r="B331">
        <v>8</v>
      </c>
      <c r="C331" t="s">
        <v>21</v>
      </c>
      <c r="D331">
        <v>15</v>
      </c>
      <c r="E331" t="s">
        <v>936</v>
      </c>
      <c r="F331" t="s">
        <v>5324</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4" customHeight="1">
      <c r="A332" t="s">
        <v>1462</v>
      </c>
      <c r="B332">
        <v>9</v>
      </c>
      <c r="C332" t="s">
        <v>21</v>
      </c>
      <c r="D332">
        <v>16</v>
      </c>
      <c r="E332" t="s">
        <v>936</v>
      </c>
      <c r="F332" t="s">
        <v>5324</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4" customHeight="1">
      <c r="A333" t="s">
        <v>1462</v>
      </c>
      <c r="B333">
        <v>10</v>
      </c>
      <c r="C333" t="s">
        <v>21</v>
      </c>
      <c r="D333">
        <v>17</v>
      </c>
      <c r="E333" t="s">
        <v>936</v>
      </c>
      <c r="F333" t="s">
        <v>5325</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4" customHeight="1">
      <c r="A334" t="s">
        <v>1462</v>
      </c>
      <c r="B334">
        <v>11</v>
      </c>
      <c r="C334" t="s">
        <v>21</v>
      </c>
      <c r="D334">
        <v>18</v>
      </c>
      <c r="E334" t="s">
        <v>951</v>
      </c>
      <c r="F334" t="s">
        <v>5322</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4" customHeight="1">
      <c r="A335" t="s">
        <v>1462</v>
      </c>
      <c r="B335">
        <v>12</v>
      </c>
      <c r="C335" t="s">
        <v>21</v>
      </c>
      <c r="D335">
        <v>19</v>
      </c>
      <c r="E335" t="s">
        <v>951</v>
      </c>
      <c r="F335" t="s">
        <v>5323</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4" customHeight="1">
      <c r="A336" t="s">
        <v>1462</v>
      </c>
      <c r="B336">
        <v>13</v>
      </c>
      <c r="C336" t="s">
        <v>21</v>
      </c>
      <c r="D336">
        <v>20</v>
      </c>
      <c r="E336" t="s">
        <v>951</v>
      </c>
      <c r="F336" t="s">
        <v>5324</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4" customHeight="1">
      <c r="A337" t="s">
        <v>1462</v>
      </c>
      <c r="B337">
        <v>14</v>
      </c>
      <c r="C337" t="s">
        <v>21</v>
      </c>
      <c r="D337">
        <v>21</v>
      </c>
      <c r="E337" t="s">
        <v>951</v>
      </c>
      <c r="F337" t="s">
        <v>5324</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4" customHeight="1">
      <c r="A338" t="s">
        <v>1462</v>
      </c>
      <c r="B338">
        <v>15</v>
      </c>
      <c r="C338" t="s">
        <v>21</v>
      </c>
      <c r="D338">
        <v>22</v>
      </c>
      <c r="E338" t="s">
        <v>951</v>
      </c>
      <c r="F338" t="s">
        <v>5325</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4" customHeight="1">
      <c r="A339" t="s">
        <v>1462</v>
      </c>
      <c r="B339">
        <v>16</v>
      </c>
      <c r="C339" t="s">
        <v>21</v>
      </c>
      <c r="D339">
        <v>23</v>
      </c>
      <c r="E339" t="s">
        <v>964</v>
      </c>
      <c r="F339" t="s">
        <v>5322</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4" customHeight="1">
      <c r="A340" t="s">
        <v>1462</v>
      </c>
      <c r="B340">
        <v>17</v>
      </c>
      <c r="C340" t="s">
        <v>21</v>
      </c>
      <c r="D340">
        <v>24</v>
      </c>
      <c r="E340" t="s">
        <v>964</v>
      </c>
      <c r="F340" t="s">
        <v>5323</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4" customHeight="1">
      <c r="A341" t="s">
        <v>1462</v>
      </c>
      <c r="B341">
        <v>18</v>
      </c>
      <c r="C341" t="s">
        <v>21</v>
      </c>
      <c r="D341">
        <v>25</v>
      </c>
      <c r="E341" t="s">
        <v>964</v>
      </c>
      <c r="F341" t="s">
        <v>5324</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4" customHeight="1">
      <c r="A342" t="s">
        <v>1462</v>
      </c>
      <c r="B342">
        <v>19</v>
      </c>
      <c r="C342" t="s">
        <v>21</v>
      </c>
      <c r="D342">
        <v>26</v>
      </c>
      <c r="E342" t="s">
        <v>964</v>
      </c>
      <c r="F342" t="s">
        <v>5324</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4" customHeight="1">
      <c r="A343" t="s">
        <v>1462</v>
      </c>
      <c r="B343">
        <v>20</v>
      </c>
      <c r="C343" t="s">
        <v>21</v>
      </c>
      <c r="D343">
        <v>27</v>
      </c>
      <c r="E343" t="s">
        <v>964</v>
      </c>
      <c r="F343" t="s">
        <v>5325</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4" customHeight="1">
      <c r="A344" t="s">
        <v>1462</v>
      </c>
      <c r="B344">
        <v>21</v>
      </c>
      <c r="C344" t="s">
        <v>21</v>
      </c>
      <c r="D344">
        <v>28</v>
      </c>
      <c r="E344" t="s">
        <v>977</v>
      </c>
      <c r="F344" t="s">
        <v>5322</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4" customHeight="1">
      <c r="A345" t="s">
        <v>1462</v>
      </c>
      <c r="B345">
        <v>22</v>
      </c>
      <c r="C345" t="s">
        <v>21</v>
      </c>
      <c r="D345">
        <v>29</v>
      </c>
      <c r="E345" t="s">
        <v>977</v>
      </c>
      <c r="F345" t="s">
        <v>5323</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4" customHeight="1">
      <c r="A346" t="s">
        <v>1462</v>
      </c>
      <c r="B346">
        <v>23</v>
      </c>
      <c r="C346" t="s">
        <v>21</v>
      </c>
      <c r="D346">
        <v>30</v>
      </c>
      <c r="E346" t="s">
        <v>977</v>
      </c>
      <c r="F346" t="s">
        <v>5324</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4" customHeight="1">
      <c r="A347" t="s">
        <v>1462</v>
      </c>
      <c r="B347">
        <v>24</v>
      </c>
      <c r="C347" t="s">
        <v>21</v>
      </c>
      <c r="D347">
        <v>31</v>
      </c>
      <c r="E347" t="s">
        <v>977</v>
      </c>
      <c r="F347" t="s">
        <v>5324</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4" customHeight="1">
      <c r="A348" t="s">
        <v>1462</v>
      </c>
      <c r="B348">
        <v>25</v>
      </c>
      <c r="C348" t="s">
        <v>21</v>
      </c>
      <c r="D348">
        <v>32</v>
      </c>
      <c r="E348" t="s">
        <v>977</v>
      </c>
      <c r="F348" t="s">
        <v>5325</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4" customHeight="1">
      <c r="A349" t="s">
        <v>1462</v>
      </c>
      <c r="B349">
        <v>26</v>
      </c>
      <c r="C349" t="s">
        <v>21</v>
      </c>
      <c r="D349">
        <v>33</v>
      </c>
      <c r="E349" t="s">
        <v>994</v>
      </c>
      <c r="F349" t="s">
        <v>5322</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4" customHeight="1">
      <c r="A350" t="s">
        <v>1462</v>
      </c>
      <c r="B350">
        <v>27</v>
      </c>
      <c r="C350" t="s">
        <v>21</v>
      </c>
      <c r="D350">
        <v>34</v>
      </c>
      <c r="E350" t="s">
        <v>994</v>
      </c>
      <c r="F350" t="s">
        <v>5323</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4" customHeight="1">
      <c r="A351" t="s">
        <v>1462</v>
      </c>
      <c r="B351">
        <v>28</v>
      </c>
      <c r="C351" t="s">
        <v>21</v>
      </c>
      <c r="D351">
        <v>35</v>
      </c>
      <c r="E351" t="s">
        <v>994</v>
      </c>
      <c r="F351" t="s">
        <v>5324</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4" customHeight="1">
      <c r="A352" t="s">
        <v>1462</v>
      </c>
      <c r="B352">
        <v>29</v>
      </c>
      <c r="C352" t="s">
        <v>21</v>
      </c>
      <c r="D352">
        <v>36</v>
      </c>
      <c r="E352" t="s">
        <v>994</v>
      </c>
      <c r="F352" t="s">
        <v>5324</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4" customHeight="1">
      <c r="A353" t="s">
        <v>1462</v>
      </c>
      <c r="B353">
        <v>30</v>
      </c>
      <c r="C353" t="s">
        <v>21</v>
      </c>
      <c r="D353">
        <v>37</v>
      </c>
      <c r="E353" t="s">
        <v>994</v>
      </c>
      <c r="F353" t="s">
        <v>5325</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4" customHeight="1">
      <c r="A354" t="s">
        <v>1462</v>
      </c>
      <c r="B354">
        <v>31</v>
      </c>
      <c r="C354" t="s">
        <v>21</v>
      </c>
      <c r="D354">
        <v>38</v>
      </c>
      <c r="E354" t="s">
        <v>1007</v>
      </c>
      <c r="F354" t="s">
        <v>5322</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4" customHeight="1">
      <c r="A355" t="s">
        <v>1462</v>
      </c>
      <c r="B355">
        <v>32</v>
      </c>
      <c r="C355" t="s">
        <v>21</v>
      </c>
      <c r="D355">
        <v>39</v>
      </c>
      <c r="E355" t="s">
        <v>1007</v>
      </c>
      <c r="F355" t="s">
        <v>5323</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4" customHeight="1">
      <c r="A356" t="s">
        <v>1462</v>
      </c>
      <c r="B356">
        <v>33</v>
      </c>
      <c r="C356" t="s">
        <v>21</v>
      </c>
      <c r="D356">
        <v>40</v>
      </c>
      <c r="E356" t="s">
        <v>1007</v>
      </c>
      <c r="F356" t="s">
        <v>5324</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4" customHeight="1">
      <c r="A357" t="s">
        <v>1462</v>
      </c>
      <c r="B357">
        <v>34</v>
      </c>
      <c r="C357" t="s">
        <v>21</v>
      </c>
      <c r="D357">
        <v>41</v>
      </c>
      <c r="E357" t="s">
        <v>1007</v>
      </c>
      <c r="F357" t="s">
        <v>5324</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4" customHeight="1">
      <c r="A358" t="s">
        <v>1462</v>
      </c>
      <c r="B358">
        <v>35</v>
      </c>
      <c r="C358" t="s">
        <v>21</v>
      </c>
      <c r="D358">
        <v>42</v>
      </c>
      <c r="E358" t="s">
        <v>1007</v>
      </c>
      <c r="F358" t="s">
        <v>5325</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4" customHeight="1">
      <c r="A359" t="s">
        <v>1462</v>
      </c>
      <c r="B359">
        <v>36</v>
      </c>
      <c r="C359" t="s">
        <v>21</v>
      </c>
      <c r="D359">
        <v>43</v>
      </c>
      <c r="E359" t="s">
        <v>1019</v>
      </c>
      <c r="F359" t="s">
        <v>5322</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4" customHeight="1">
      <c r="A360" t="s">
        <v>1462</v>
      </c>
      <c r="B360">
        <v>37</v>
      </c>
      <c r="C360" t="s">
        <v>21</v>
      </c>
      <c r="D360">
        <v>44</v>
      </c>
      <c r="E360" t="s">
        <v>1019</v>
      </c>
      <c r="F360" t="s">
        <v>5323</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4" customHeight="1">
      <c r="A361" t="s">
        <v>1462</v>
      </c>
      <c r="B361">
        <v>38</v>
      </c>
      <c r="C361" t="s">
        <v>21</v>
      </c>
      <c r="D361">
        <v>45</v>
      </c>
      <c r="E361" t="s">
        <v>1019</v>
      </c>
      <c r="F361" t="s">
        <v>5324</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4" customHeight="1">
      <c r="A362" t="s">
        <v>1462</v>
      </c>
      <c r="B362">
        <v>39</v>
      </c>
      <c r="C362" t="s">
        <v>21</v>
      </c>
      <c r="D362">
        <v>46</v>
      </c>
      <c r="E362" t="s">
        <v>1019</v>
      </c>
      <c r="F362" t="s">
        <v>5324</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4" customHeight="1">
      <c r="A363" t="s">
        <v>1462</v>
      </c>
      <c r="B363">
        <v>40</v>
      </c>
      <c r="C363" t="s">
        <v>21</v>
      </c>
      <c r="D363">
        <v>47</v>
      </c>
      <c r="E363" t="s">
        <v>1019</v>
      </c>
      <c r="F363" t="s">
        <v>5324</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4" customHeight="1">
      <c r="A364" t="s">
        <v>1462</v>
      </c>
      <c r="B364">
        <v>41</v>
      </c>
      <c r="C364" t="s">
        <v>21</v>
      </c>
      <c r="D364">
        <v>48</v>
      </c>
      <c r="E364" t="s">
        <v>1019</v>
      </c>
      <c r="F364" t="s">
        <v>5324</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4" customHeight="1">
      <c r="A365" t="s">
        <v>1462</v>
      </c>
      <c r="B365">
        <v>42</v>
      </c>
      <c r="C365" t="s">
        <v>21</v>
      </c>
      <c r="D365">
        <v>49</v>
      </c>
      <c r="E365" t="s">
        <v>1019</v>
      </c>
      <c r="F365" t="s">
        <v>5324</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4" customHeight="1">
      <c r="A366" t="s">
        <v>1462</v>
      </c>
      <c r="B366">
        <v>43</v>
      </c>
      <c r="C366" t="s">
        <v>21</v>
      </c>
      <c r="D366">
        <v>50</v>
      </c>
      <c r="E366" t="s">
        <v>1019</v>
      </c>
      <c r="F366" t="s">
        <v>5324</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4" customHeight="1">
      <c r="A367" t="s">
        <v>1462</v>
      </c>
      <c r="B367">
        <v>44</v>
      </c>
      <c r="C367" t="s">
        <v>21</v>
      </c>
      <c r="D367">
        <v>51</v>
      </c>
      <c r="E367" t="s">
        <v>1019</v>
      </c>
      <c r="F367" t="s">
        <v>5325</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4" customHeight="1">
      <c r="A368" t="s">
        <v>1462</v>
      </c>
      <c r="B368">
        <v>45</v>
      </c>
      <c r="C368" t="s">
        <v>21</v>
      </c>
      <c r="D368">
        <v>52</v>
      </c>
      <c r="E368" t="s">
        <v>1051</v>
      </c>
      <c r="F368" t="s">
        <v>5322</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4" customHeight="1">
      <c r="A369" t="s">
        <v>1462</v>
      </c>
      <c r="B369">
        <v>46</v>
      </c>
      <c r="C369" t="s">
        <v>21</v>
      </c>
      <c r="D369">
        <v>53</v>
      </c>
      <c r="E369" t="s">
        <v>1051</v>
      </c>
      <c r="F369" t="s">
        <v>5323</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4" customHeight="1">
      <c r="A370" t="s">
        <v>1462</v>
      </c>
      <c r="B370">
        <v>47</v>
      </c>
      <c r="C370" t="s">
        <v>21</v>
      </c>
      <c r="D370">
        <v>54</v>
      </c>
      <c r="E370" t="s">
        <v>1051</v>
      </c>
      <c r="F370" t="s">
        <v>5324</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4" customHeight="1">
      <c r="A371" t="s">
        <v>1462</v>
      </c>
      <c r="B371">
        <v>48</v>
      </c>
      <c r="C371" t="s">
        <v>21</v>
      </c>
      <c r="D371">
        <v>55</v>
      </c>
      <c r="E371" t="s">
        <v>1051</v>
      </c>
      <c r="F371" t="s">
        <v>5324</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4" customHeight="1">
      <c r="A372" t="s">
        <v>1462</v>
      </c>
      <c r="B372">
        <v>49</v>
      </c>
      <c r="C372" t="s">
        <v>21</v>
      </c>
      <c r="D372">
        <v>56</v>
      </c>
      <c r="E372" t="s">
        <v>1051</v>
      </c>
      <c r="F372" t="s">
        <v>5324</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4" customHeight="1">
      <c r="A373" t="s">
        <v>1462</v>
      </c>
      <c r="B373">
        <v>50</v>
      </c>
      <c r="C373" t="s">
        <v>21</v>
      </c>
      <c r="D373">
        <v>57</v>
      </c>
      <c r="E373" t="s">
        <v>1051</v>
      </c>
      <c r="F373" t="s">
        <v>5324</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4" customHeight="1">
      <c r="A374" t="s">
        <v>1462</v>
      </c>
      <c r="B374">
        <v>51</v>
      </c>
      <c r="C374" t="s">
        <v>21</v>
      </c>
      <c r="D374">
        <v>58</v>
      </c>
      <c r="E374" t="s">
        <v>1051</v>
      </c>
      <c r="F374" t="s">
        <v>5324</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4" customHeight="1">
      <c r="A375" t="s">
        <v>1462</v>
      </c>
      <c r="B375">
        <v>52</v>
      </c>
      <c r="C375" t="s">
        <v>21</v>
      </c>
      <c r="D375">
        <v>59</v>
      </c>
      <c r="E375" t="s">
        <v>1051</v>
      </c>
      <c r="F375" t="s">
        <v>5324</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4" customHeight="1">
      <c r="A376" t="s">
        <v>1462</v>
      </c>
      <c r="B376">
        <v>53</v>
      </c>
      <c r="C376" t="s">
        <v>21</v>
      </c>
      <c r="D376">
        <v>60</v>
      </c>
      <c r="E376" t="s">
        <v>1051</v>
      </c>
      <c r="F376" t="s">
        <v>5324</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4" customHeight="1">
      <c r="A377" t="s">
        <v>1462</v>
      </c>
      <c r="B377">
        <v>54</v>
      </c>
      <c r="C377" t="s">
        <v>21</v>
      </c>
      <c r="D377">
        <v>61</v>
      </c>
      <c r="E377" t="s">
        <v>1051</v>
      </c>
      <c r="F377" t="s">
        <v>5325</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4" customHeight="1">
      <c r="A378" t="s">
        <v>1462</v>
      </c>
      <c r="B378">
        <v>55</v>
      </c>
      <c r="C378" t="s">
        <v>21</v>
      </c>
      <c r="D378">
        <v>62</v>
      </c>
      <c r="E378" t="s">
        <v>1052</v>
      </c>
      <c r="F378" t="s">
        <v>5322</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4" customHeight="1">
      <c r="A379" t="s">
        <v>1462</v>
      </c>
      <c r="B379">
        <v>56</v>
      </c>
      <c r="C379" t="s">
        <v>21</v>
      </c>
      <c r="D379">
        <v>63</v>
      </c>
      <c r="E379" t="s">
        <v>1052</v>
      </c>
      <c r="F379" t="s">
        <v>5323</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4" customHeight="1">
      <c r="A380" t="s">
        <v>1462</v>
      </c>
      <c r="B380">
        <v>57</v>
      </c>
      <c r="C380" t="s">
        <v>21</v>
      </c>
      <c r="D380">
        <v>64</v>
      </c>
      <c r="E380" t="s">
        <v>1052</v>
      </c>
      <c r="F380" t="s">
        <v>5324</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4" customHeight="1">
      <c r="A381" t="s">
        <v>1462</v>
      </c>
      <c r="B381">
        <v>58</v>
      </c>
      <c r="C381" t="s">
        <v>21</v>
      </c>
      <c r="D381">
        <v>65</v>
      </c>
      <c r="E381" t="s">
        <v>1052</v>
      </c>
      <c r="F381" t="s">
        <v>5324</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4" customHeight="1">
      <c r="A382" t="s">
        <v>1462</v>
      </c>
      <c r="B382">
        <v>59</v>
      </c>
      <c r="C382" t="s">
        <v>21</v>
      </c>
      <c r="D382">
        <v>66</v>
      </c>
      <c r="E382" t="s">
        <v>1052</v>
      </c>
      <c r="F382" t="s">
        <v>5324</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4" customHeight="1">
      <c r="A383" t="s">
        <v>1462</v>
      </c>
      <c r="B383">
        <v>60</v>
      </c>
      <c r="C383" t="s">
        <v>21</v>
      </c>
      <c r="D383">
        <v>67</v>
      </c>
      <c r="E383" t="s">
        <v>1052</v>
      </c>
      <c r="F383" t="s">
        <v>5324</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4" customHeight="1">
      <c r="A384" t="s">
        <v>1462</v>
      </c>
      <c r="B384">
        <v>61</v>
      </c>
      <c r="C384" t="s">
        <v>21</v>
      </c>
      <c r="D384">
        <v>68</v>
      </c>
      <c r="E384" t="s">
        <v>1052</v>
      </c>
      <c r="F384" t="s">
        <v>5324</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4" customHeight="1">
      <c r="A385" t="s">
        <v>1462</v>
      </c>
      <c r="B385">
        <v>62</v>
      </c>
      <c r="C385" t="s">
        <v>21</v>
      </c>
      <c r="D385">
        <v>69</v>
      </c>
      <c r="E385" t="s">
        <v>1052</v>
      </c>
      <c r="F385" t="s">
        <v>5324</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4" customHeight="1">
      <c r="A386" t="s">
        <v>1462</v>
      </c>
      <c r="B386">
        <v>63</v>
      </c>
      <c r="C386" t="s">
        <v>21</v>
      </c>
      <c r="D386">
        <v>70</v>
      </c>
      <c r="E386" t="s">
        <v>1052</v>
      </c>
      <c r="F386" t="s">
        <v>5325</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4" customHeight="1">
      <c r="A387" t="s">
        <v>1566</v>
      </c>
      <c r="B387">
        <v>1</v>
      </c>
      <c r="C387" t="s">
        <v>23</v>
      </c>
      <c r="D387">
        <v>8</v>
      </c>
      <c r="E387" t="s">
        <v>918</v>
      </c>
      <c r="F387" t="s">
        <v>5322</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4" customHeight="1">
      <c r="A388" t="s">
        <v>1566</v>
      </c>
      <c r="B388">
        <v>2</v>
      </c>
      <c r="C388" t="s">
        <v>23</v>
      </c>
      <c r="D388">
        <v>9</v>
      </c>
      <c r="E388" t="s">
        <v>918</v>
      </c>
      <c r="F388" t="s">
        <v>5323</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4" customHeight="1">
      <c r="A389" t="s">
        <v>1566</v>
      </c>
      <c r="B389">
        <v>3</v>
      </c>
      <c r="C389" t="s">
        <v>23</v>
      </c>
      <c r="D389">
        <v>10</v>
      </c>
      <c r="E389" t="s">
        <v>918</v>
      </c>
      <c r="F389" t="s">
        <v>5324</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4" customHeight="1">
      <c r="A390" t="s">
        <v>1566</v>
      </c>
      <c r="B390">
        <v>4</v>
      </c>
      <c r="C390" t="s">
        <v>23</v>
      </c>
      <c r="D390">
        <v>11</v>
      </c>
      <c r="E390" t="s">
        <v>918</v>
      </c>
      <c r="F390" t="s">
        <v>5324</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4" customHeight="1">
      <c r="A391" t="s">
        <v>1566</v>
      </c>
      <c r="B391">
        <v>5</v>
      </c>
      <c r="C391" t="s">
        <v>23</v>
      </c>
      <c r="D391">
        <v>12</v>
      </c>
      <c r="E391" t="s">
        <v>918</v>
      </c>
      <c r="F391" t="s">
        <v>5324</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4" customHeight="1">
      <c r="A392" t="s">
        <v>1566</v>
      </c>
      <c r="B392">
        <v>6</v>
      </c>
      <c r="C392" t="s">
        <v>23</v>
      </c>
      <c r="D392">
        <v>13</v>
      </c>
      <c r="E392" t="s">
        <v>918</v>
      </c>
      <c r="F392" t="s">
        <v>5325</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4" customHeight="1">
      <c r="A393" t="s">
        <v>1566</v>
      </c>
      <c r="B393">
        <v>7</v>
      </c>
      <c r="C393" t="s">
        <v>23</v>
      </c>
      <c r="D393">
        <v>14</v>
      </c>
      <c r="E393" t="s">
        <v>936</v>
      </c>
      <c r="F393" t="s">
        <v>5322</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4" customHeight="1">
      <c r="A394" t="s">
        <v>1566</v>
      </c>
      <c r="B394">
        <v>8</v>
      </c>
      <c r="C394" t="s">
        <v>23</v>
      </c>
      <c r="D394">
        <v>15</v>
      </c>
      <c r="E394" t="s">
        <v>936</v>
      </c>
      <c r="F394" t="s">
        <v>5323</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4" customHeight="1">
      <c r="A395" t="s">
        <v>1566</v>
      </c>
      <c r="B395">
        <v>9</v>
      </c>
      <c r="C395" t="s">
        <v>23</v>
      </c>
      <c r="D395">
        <v>16</v>
      </c>
      <c r="E395" t="s">
        <v>936</v>
      </c>
      <c r="F395" t="s">
        <v>5324</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4" customHeight="1">
      <c r="A396" t="s">
        <v>1566</v>
      </c>
      <c r="B396">
        <v>10</v>
      </c>
      <c r="C396" t="s">
        <v>23</v>
      </c>
      <c r="D396">
        <v>17</v>
      </c>
      <c r="E396" t="s">
        <v>936</v>
      </c>
      <c r="F396" t="s">
        <v>5324</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4" customHeight="1">
      <c r="A397" t="s">
        <v>1566</v>
      </c>
      <c r="B397">
        <v>11</v>
      </c>
      <c r="C397" t="s">
        <v>23</v>
      </c>
      <c r="D397">
        <v>18</v>
      </c>
      <c r="E397" t="s">
        <v>936</v>
      </c>
      <c r="F397" t="s">
        <v>5324</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4" customHeight="1">
      <c r="A398" t="s">
        <v>1566</v>
      </c>
      <c r="B398">
        <v>12</v>
      </c>
      <c r="C398" t="s">
        <v>23</v>
      </c>
      <c r="D398">
        <v>19</v>
      </c>
      <c r="E398" t="s">
        <v>936</v>
      </c>
      <c r="F398" t="s">
        <v>5325</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4" customHeight="1">
      <c r="A399" t="s">
        <v>1566</v>
      </c>
      <c r="B399">
        <v>13</v>
      </c>
      <c r="C399" t="s">
        <v>23</v>
      </c>
      <c r="D399">
        <v>20</v>
      </c>
      <c r="E399" t="s">
        <v>951</v>
      </c>
      <c r="F399" t="s">
        <v>5322</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4" customHeight="1">
      <c r="A400" t="s">
        <v>1566</v>
      </c>
      <c r="B400">
        <v>14</v>
      </c>
      <c r="C400" t="s">
        <v>23</v>
      </c>
      <c r="D400">
        <v>21</v>
      </c>
      <c r="E400" t="s">
        <v>951</v>
      </c>
      <c r="F400" t="s">
        <v>5323</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4" customHeight="1">
      <c r="A401" t="s">
        <v>1566</v>
      </c>
      <c r="B401">
        <v>15</v>
      </c>
      <c r="C401" t="s">
        <v>23</v>
      </c>
      <c r="D401">
        <v>22</v>
      </c>
      <c r="E401" t="s">
        <v>951</v>
      </c>
      <c r="F401" t="s">
        <v>5324</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4" customHeight="1">
      <c r="A402" t="s">
        <v>1566</v>
      </c>
      <c r="B402">
        <v>16</v>
      </c>
      <c r="C402" t="s">
        <v>23</v>
      </c>
      <c r="D402">
        <v>23</v>
      </c>
      <c r="E402" t="s">
        <v>951</v>
      </c>
      <c r="F402" t="s">
        <v>5324</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4" customHeight="1">
      <c r="A403" t="s">
        <v>1566</v>
      </c>
      <c r="B403">
        <v>17</v>
      </c>
      <c r="C403" t="s">
        <v>23</v>
      </c>
      <c r="D403">
        <v>24</v>
      </c>
      <c r="E403" t="s">
        <v>951</v>
      </c>
      <c r="F403" t="s">
        <v>5324</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4" customHeight="1">
      <c r="A404" t="s">
        <v>1566</v>
      </c>
      <c r="B404">
        <v>18</v>
      </c>
      <c r="C404" t="s">
        <v>23</v>
      </c>
      <c r="D404">
        <v>25</v>
      </c>
      <c r="E404" t="s">
        <v>951</v>
      </c>
      <c r="F404" t="s">
        <v>5325</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4" customHeight="1">
      <c r="A405" t="s">
        <v>1566</v>
      </c>
      <c r="B405">
        <v>19</v>
      </c>
      <c r="C405" t="s">
        <v>23</v>
      </c>
      <c r="D405">
        <v>26</v>
      </c>
      <c r="E405" t="s">
        <v>964</v>
      </c>
      <c r="F405" t="s">
        <v>5322</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4" customHeight="1">
      <c r="A406" t="s">
        <v>1566</v>
      </c>
      <c r="B406">
        <v>20</v>
      </c>
      <c r="C406" t="s">
        <v>23</v>
      </c>
      <c r="D406">
        <v>27</v>
      </c>
      <c r="E406" t="s">
        <v>964</v>
      </c>
      <c r="F406" t="s">
        <v>5323</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4" customHeight="1">
      <c r="A407" t="s">
        <v>1566</v>
      </c>
      <c r="B407">
        <v>21</v>
      </c>
      <c r="C407" t="s">
        <v>23</v>
      </c>
      <c r="D407">
        <v>28</v>
      </c>
      <c r="E407" t="s">
        <v>964</v>
      </c>
      <c r="F407" t="s">
        <v>5324</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4" customHeight="1">
      <c r="A408" t="s">
        <v>1566</v>
      </c>
      <c r="B408">
        <v>22</v>
      </c>
      <c r="C408" t="s">
        <v>23</v>
      </c>
      <c r="D408">
        <v>29</v>
      </c>
      <c r="E408" t="s">
        <v>964</v>
      </c>
      <c r="F408" t="s">
        <v>5324</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4" customHeight="1">
      <c r="A409" t="s">
        <v>1566</v>
      </c>
      <c r="B409">
        <v>23</v>
      </c>
      <c r="C409" t="s">
        <v>23</v>
      </c>
      <c r="D409">
        <v>30</v>
      </c>
      <c r="E409" t="s">
        <v>964</v>
      </c>
      <c r="F409" t="s">
        <v>5324</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4" customHeight="1">
      <c r="A410" t="s">
        <v>1566</v>
      </c>
      <c r="B410">
        <v>24</v>
      </c>
      <c r="C410" t="s">
        <v>23</v>
      </c>
      <c r="D410">
        <v>31</v>
      </c>
      <c r="E410" t="s">
        <v>964</v>
      </c>
      <c r="F410" t="s">
        <v>5325</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4" customHeight="1">
      <c r="A411" t="s">
        <v>1566</v>
      </c>
      <c r="B411">
        <v>25</v>
      </c>
      <c r="C411" t="s">
        <v>23</v>
      </c>
      <c r="D411">
        <v>32</v>
      </c>
      <c r="E411" t="s">
        <v>977</v>
      </c>
      <c r="F411" t="s">
        <v>5322</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4" customHeight="1">
      <c r="A412" t="s">
        <v>1566</v>
      </c>
      <c r="B412">
        <v>26</v>
      </c>
      <c r="C412" t="s">
        <v>23</v>
      </c>
      <c r="D412">
        <v>33</v>
      </c>
      <c r="E412" t="s">
        <v>977</v>
      </c>
      <c r="F412" t="s">
        <v>5323</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4" customHeight="1">
      <c r="A413" t="s">
        <v>1566</v>
      </c>
      <c r="B413">
        <v>27</v>
      </c>
      <c r="C413" t="s">
        <v>23</v>
      </c>
      <c r="D413">
        <v>34</v>
      </c>
      <c r="E413" t="s">
        <v>977</v>
      </c>
      <c r="F413" t="s">
        <v>5324</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4" customHeight="1">
      <c r="A414" t="s">
        <v>1566</v>
      </c>
      <c r="B414">
        <v>28</v>
      </c>
      <c r="C414" t="s">
        <v>23</v>
      </c>
      <c r="D414">
        <v>35</v>
      </c>
      <c r="E414" t="s">
        <v>977</v>
      </c>
      <c r="F414" t="s">
        <v>5324</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4" customHeight="1">
      <c r="A415" t="s">
        <v>1566</v>
      </c>
      <c r="B415">
        <v>29</v>
      </c>
      <c r="C415" t="s">
        <v>23</v>
      </c>
      <c r="D415">
        <v>36</v>
      </c>
      <c r="E415" t="s">
        <v>977</v>
      </c>
      <c r="F415" t="s">
        <v>5324</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4" customHeight="1">
      <c r="A416" t="s">
        <v>1566</v>
      </c>
      <c r="B416">
        <v>30</v>
      </c>
      <c r="C416" t="s">
        <v>23</v>
      </c>
      <c r="D416">
        <v>37</v>
      </c>
      <c r="E416" t="s">
        <v>977</v>
      </c>
      <c r="F416" t="s">
        <v>5325</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4" customHeight="1">
      <c r="A417" t="s">
        <v>1566</v>
      </c>
      <c r="B417">
        <v>31</v>
      </c>
      <c r="C417" t="s">
        <v>23</v>
      </c>
      <c r="D417">
        <v>38</v>
      </c>
      <c r="E417" t="s">
        <v>994</v>
      </c>
      <c r="F417" t="s">
        <v>5322</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4" customHeight="1">
      <c r="A418" t="s">
        <v>1566</v>
      </c>
      <c r="B418">
        <v>32</v>
      </c>
      <c r="C418" t="s">
        <v>23</v>
      </c>
      <c r="D418">
        <v>39</v>
      </c>
      <c r="E418" t="s">
        <v>994</v>
      </c>
      <c r="F418" t="s">
        <v>5323</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4" customHeight="1">
      <c r="A419" t="s">
        <v>1566</v>
      </c>
      <c r="B419">
        <v>33</v>
      </c>
      <c r="C419" t="s">
        <v>23</v>
      </c>
      <c r="D419">
        <v>40</v>
      </c>
      <c r="E419" t="s">
        <v>994</v>
      </c>
      <c r="F419" t="s">
        <v>5324</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4" customHeight="1">
      <c r="A420" t="s">
        <v>1566</v>
      </c>
      <c r="B420">
        <v>34</v>
      </c>
      <c r="C420" t="s">
        <v>23</v>
      </c>
      <c r="D420">
        <v>41</v>
      </c>
      <c r="E420" t="s">
        <v>994</v>
      </c>
      <c r="F420" t="s">
        <v>5324</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4" customHeight="1">
      <c r="A421" t="s">
        <v>1566</v>
      </c>
      <c r="B421">
        <v>35</v>
      </c>
      <c r="C421" t="s">
        <v>23</v>
      </c>
      <c r="D421">
        <v>42</v>
      </c>
      <c r="E421" t="s">
        <v>994</v>
      </c>
      <c r="F421" t="s">
        <v>5324</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4" customHeight="1">
      <c r="A422" t="s">
        <v>1566</v>
      </c>
      <c r="B422">
        <v>36</v>
      </c>
      <c r="C422" t="s">
        <v>23</v>
      </c>
      <c r="D422">
        <v>43</v>
      </c>
      <c r="E422" t="s">
        <v>994</v>
      </c>
      <c r="F422" t="s">
        <v>5325</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4" customHeight="1">
      <c r="A423" t="s">
        <v>1566</v>
      </c>
      <c r="B423">
        <v>37</v>
      </c>
      <c r="C423" t="s">
        <v>23</v>
      </c>
      <c r="D423">
        <v>44</v>
      </c>
      <c r="E423" t="s">
        <v>1007</v>
      </c>
      <c r="F423" t="s">
        <v>5322</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4" customHeight="1">
      <c r="A424" t="s">
        <v>1566</v>
      </c>
      <c r="B424">
        <v>38</v>
      </c>
      <c r="C424" t="s">
        <v>23</v>
      </c>
      <c r="D424">
        <v>45</v>
      </c>
      <c r="E424" t="s">
        <v>1007</v>
      </c>
      <c r="F424" t="s">
        <v>5323</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4" customHeight="1">
      <c r="A425" t="s">
        <v>1566</v>
      </c>
      <c r="B425">
        <v>39</v>
      </c>
      <c r="C425" t="s">
        <v>23</v>
      </c>
      <c r="D425">
        <v>46</v>
      </c>
      <c r="E425" t="s">
        <v>1007</v>
      </c>
      <c r="F425" t="s">
        <v>5324</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4" customHeight="1">
      <c r="A426" t="s">
        <v>1566</v>
      </c>
      <c r="B426">
        <v>40</v>
      </c>
      <c r="C426" t="s">
        <v>23</v>
      </c>
      <c r="D426">
        <v>47</v>
      </c>
      <c r="E426" t="s">
        <v>1007</v>
      </c>
      <c r="F426" t="s">
        <v>5324</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4" customHeight="1">
      <c r="A427" t="s">
        <v>1566</v>
      </c>
      <c r="B427">
        <v>41</v>
      </c>
      <c r="C427" t="s">
        <v>23</v>
      </c>
      <c r="D427">
        <v>48</v>
      </c>
      <c r="E427" t="s">
        <v>1007</v>
      </c>
      <c r="F427" t="s">
        <v>5324</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4" customHeight="1">
      <c r="A428" t="s">
        <v>1566</v>
      </c>
      <c r="B428">
        <v>42</v>
      </c>
      <c r="C428" t="s">
        <v>23</v>
      </c>
      <c r="D428">
        <v>49</v>
      </c>
      <c r="E428" t="s">
        <v>1007</v>
      </c>
      <c r="F428" t="s">
        <v>5325</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4" customHeight="1">
      <c r="A429" t="s">
        <v>1566</v>
      </c>
      <c r="B429">
        <v>43</v>
      </c>
      <c r="C429" t="s">
        <v>23</v>
      </c>
      <c r="D429">
        <v>50</v>
      </c>
      <c r="E429" t="s">
        <v>1019</v>
      </c>
      <c r="F429" t="s">
        <v>5322</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4" customHeight="1">
      <c r="A430" t="s">
        <v>1566</v>
      </c>
      <c r="B430">
        <v>44</v>
      </c>
      <c r="C430" t="s">
        <v>23</v>
      </c>
      <c r="D430">
        <v>51</v>
      </c>
      <c r="E430" t="s">
        <v>1019</v>
      </c>
      <c r="F430" t="s">
        <v>5323</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4" customHeight="1">
      <c r="A431" t="s">
        <v>1566</v>
      </c>
      <c r="B431">
        <v>45</v>
      </c>
      <c r="C431" t="s">
        <v>23</v>
      </c>
      <c r="D431">
        <v>52</v>
      </c>
      <c r="E431" t="s">
        <v>1019</v>
      </c>
      <c r="F431" t="s">
        <v>5324</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4" customHeight="1">
      <c r="A432" t="s">
        <v>1566</v>
      </c>
      <c r="B432">
        <v>46</v>
      </c>
      <c r="C432" t="s">
        <v>23</v>
      </c>
      <c r="D432">
        <v>53</v>
      </c>
      <c r="E432" t="s">
        <v>1019</v>
      </c>
      <c r="F432" t="s">
        <v>5324</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4" customHeight="1">
      <c r="A433" t="s">
        <v>1566</v>
      </c>
      <c r="B433">
        <v>47</v>
      </c>
      <c r="C433" t="s">
        <v>23</v>
      </c>
      <c r="D433">
        <v>54</v>
      </c>
      <c r="E433" t="s">
        <v>1019</v>
      </c>
      <c r="F433" t="s">
        <v>5324</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4" customHeight="1">
      <c r="A434" t="s">
        <v>1566</v>
      </c>
      <c r="B434">
        <v>48</v>
      </c>
      <c r="C434" t="s">
        <v>23</v>
      </c>
      <c r="D434">
        <v>55</v>
      </c>
      <c r="E434" t="s">
        <v>1019</v>
      </c>
      <c r="F434" t="s">
        <v>5324</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4" customHeight="1">
      <c r="A435" t="s">
        <v>1566</v>
      </c>
      <c r="B435">
        <v>49</v>
      </c>
      <c r="C435" t="s">
        <v>23</v>
      </c>
      <c r="D435">
        <v>56</v>
      </c>
      <c r="E435" t="s">
        <v>1019</v>
      </c>
      <c r="F435" t="s">
        <v>5324</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4" customHeight="1">
      <c r="A436" t="s">
        <v>1566</v>
      </c>
      <c r="B436">
        <v>50</v>
      </c>
      <c r="C436" t="s">
        <v>23</v>
      </c>
      <c r="D436">
        <v>57</v>
      </c>
      <c r="E436" t="s">
        <v>1019</v>
      </c>
      <c r="F436" t="s">
        <v>5324</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4" customHeight="1">
      <c r="A437" t="s">
        <v>1566</v>
      </c>
      <c r="B437">
        <v>51</v>
      </c>
      <c r="C437" t="s">
        <v>23</v>
      </c>
      <c r="D437">
        <v>58</v>
      </c>
      <c r="E437" t="s">
        <v>1019</v>
      </c>
      <c r="F437" t="s">
        <v>5324</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4" customHeight="1">
      <c r="A438" t="s">
        <v>1566</v>
      </c>
      <c r="B438">
        <v>52</v>
      </c>
      <c r="C438" t="s">
        <v>23</v>
      </c>
      <c r="D438">
        <v>59</v>
      </c>
      <c r="E438" t="s">
        <v>1019</v>
      </c>
      <c r="F438" t="s">
        <v>5324</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4" customHeight="1">
      <c r="A439" t="s">
        <v>1566</v>
      </c>
      <c r="B439">
        <v>53</v>
      </c>
      <c r="C439" t="s">
        <v>23</v>
      </c>
      <c r="D439">
        <v>60</v>
      </c>
      <c r="E439" t="s">
        <v>1019</v>
      </c>
      <c r="F439" t="s">
        <v>5325</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4" customHeight="1">
      <c r="A440" t="s">
        <v>1566</v>
      </c>
      <c r="B440">
        <v>54</v>
      </c>
      <c r="C440" t="s">
        <v>23</v>
      </c>
      <c r="D440">
        <v>61</v>
      </c>
      <c r="E440" t="s">
        <v>1051</v>
      </c>
      <c r="F440" t="s">
        <v>5322</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4" customHeight="1">
      <c r="A441" t="s">
        <v>1566</v>
      </c>
      <c r="B441">
        <v>55</v>
      </c>
      <c r="C441" t="s">
        <v>23</v>
      </c>
      <c r="D441">
        <v>62</v>
      </c>
      <c r="E441" t="s">
        <v>1051</v>
      </c>
      <c r="F441" t="s">
        <v>5323</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4" customHeight="1">
      <c r="A442" t="s">
        <v>1566</v>
      </c>
      <c r="B442">
        <v>56</v>
      </c>
      <c r="C442" t="s">
        <v>23</v>
      </c>
      <c r="D442">
        <v>63</v>
      </c>
      <c r="E442" t="s">
        <v>1051</v>
      </c>
      <c r="F442" t="s">
        <v>5324</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4" customHeight="1">
      <c r="A443" t="s">
        <v>1566</v>
      </c>
      <c r="B443">
        <v>57</v>
      </c>
      <c r="C443" t="s">
        <v>23</v>
      </c>
      <c r="D443">
        <v>64</v>
      </c>
      <c r="E443" t="s">
        <v>1051</v>
      </c>
      <c r="F443" t="s">
        <v>5324</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4" customHeight="1">
      <c r="A444" t="s">
        <v>1566</v>
      </c>
      <c r="B444">
        <v>58</v>
      </c>
      <c r="C444" t="s">
        <v>23</v>
      </c>
      <c r="D444">
        <v>65</v>
      </c>
      <c r="E444" t="s">
        <v>1051</v>
      </c>
      <c r="F444" t="s">
        <v>5324</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4" customHeight="1">
      <c r="A445" t="s">
        <v>1566</v>
      </c>
      <c r="B445">
        <v>59</v>
      </c>
      <c r="C445" t="s">
        <v>23</v>
      </c>
      <c r="D445">
        <v>66</v>
      </c>
      <c r="E445" t="s">
        <v>1051</v>
      </c>
      <c r="F445" t="s">
        <v>5324</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4" customHeight="1">
      <c r="A446" t="s">
        <v>1566</v>
      </c>
      <c r="B446">
        <v>60</v>
      </c>
      <c r="C446" t="s">
        <v>23</v>
      </c>
      <c r="D446">
        <v>67</v>
      </c>
      <c r="E446" t="s">
        <v>1051</v>
      </c>
      <c r="F446" t="s">
        <v>5324</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4" customHeight="1">
      <c r="A447" t="s">
        <v>1566</v>
      </c>
      <c r="B447">
        <v>61</v>
      </c>
      <c r="C447" t="s">
        <v>23</v>
      </c>
      <c r="D447">
        <v>68</v>
      </c>
      <c r="E447" t="s">
        <v>1051</v>
      </c>
      <c r="F447" t="s">
        <v>5324</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4" customHeight="1">
      <c r="A448" t="s">
        <v>1566</v>
      </c>
      <c r="B448">
        <v>62</v>
      </c>
      <c r="C448" t="s">
        <v>23</v>
      </c>
      <c r="D448">
        <v>69</v>
      </c>
      <c r="E448" t="s">
        <v>1051</v>
      </c>
      <c r="F448" t="s">
        <v>5324</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4" customHeight="1">
      <c r="A449" t="s">
        <v>1566</v>
      </c>
      <c r="B449">
        <v>63</v>
      </c>
      <c r="C449" t="s">
        <v>23</v>
      </c>
      <c r="D449">
        <v>70</v>
      </c>
      <c r="E449" t="s">
        <v>1051</v>
      </c>
      <c r="F449" t="s">
        <v>5324</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4" customHeight="1">
      <c r="A450" t="s">
        <v>1566</v>
      </c>
      <c r="B450">
        <v>64</v>
      </c>
      <c r="C450" t="s">
        <v>23</v>
      </c>
      <c r="D450">
        <v>71</v>
      </c>
      <c r="E450" t="s">
        <v>1051</v>
      </c>
      <c r="F450" t="s">
        <v>5325</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4" customHeight="1">
      <c r="A451" t="s">
        <v>1566</v>
      </c>
      <c r="B451">
        <v>65</v>
      </c>
      <c r="C451" t="s">
        <v>23</v>
      </c>
      <c r="D451">
        <v>72</v>
      </c>
      <c r="E451" t="s">
        <v>1052</v>
      </c>
      <c r="F451" t="s">
        <v>5322</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4" customHeight="1">
      <c r="A452" t="s">
        <v>1566</v>
      </c>
      <c r="B452">
        <v>66</v>
      </c>
      <c r="C452" t="s">
        <v>23</v>
      </c>
      <c r="D452">
        <v>73</v>
      </c>
      <c r="E452" t="s">
        <v>1052</v>
      </c>
      <c r="F452" t="s">
        <v>5323</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4" customHeight="1">
      <c r="A453" t="s">
        <v>1566</v>
      </c>
      <c r="B453">
        <v>67</v>
      </c>
      <c r="C453" t="s">
        <v>23</v>
      </c>
      <c r="D453">
        <v>74</v>
      </c>
      <c r="E453" t="s">
        <v>1052</v>
      </c>
      <c r="F453" t="s">
        <v>5324</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4" customHeight="1">
      <c r="A454" t="s">
        <v>1566</v>
      </c>
      <c r="B454">
        <v>68</v>
      </c>
      <c r="C454" t="s">
        <v>23</v>
      </c>
      <c r="D454">
        <v>75</v>
      </c>
      <c r="E454" t="s">
        <v>1052</v>
      </c>
      <c r="F454" t="s">
        <v>5324</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4" customHeight="1">
      <c r="A455" t="s">
        <v>1566</v>
      </c>
      <c r="B455">
        <v>69</v>
      </c>
      <c r="C455" t="s">
        <v>23</v>
      </c>
      <c r="D455">
        <v>76</v>
      </c>
      <c r="E455" t="s">
        <v>1052</v>
      </c>
      <c r="F455" t="s">
        <v>5324</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4" customHeight="1">
      <c r="A456" t="s">
        <v>1566</v>
      </c>
      <c r="B456">
        <v>70</v>
      </c>
      <c r="C456" t="s">
        <v>23</v>
      </c>
      <c r="D456">
        <v>77</v>
      </c>
      <c r="E456" t="s">
        <v>1052</v>
      </c>
      <c r="F456" t="s">
        <v>5324</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4" customHeight="1">
      <c r="A457" t="s">
        <v>1566</v>
      </c>
      <c r="B457">
        <v>71</v>
      </c>
      <c r="C457" t="s">
        <v>23</v>
      </c>
      <c r="D457">
        <v>78</v>
      </c>
      <c r="E457" t="s">
        <v>1052</v>
      </c>
      <c r="F457" t="s">
        <v>5324</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4" customHeight="1">
      <c r="A458" t="s">
        <v>1566</v>
      </c>
      <c r="B458">
        <v>72</v>
      </c>
      <c r="C458" t="s">
        <v>23</v>
      </c>
      <c r="D458">
        <v>79</v>
      </c>
      <c r="E458" t="s">
        <v>1052</v>
      </c>
      <c r="F458" t="s">
        <v>5324</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4" customHeight="1">
      <c r="A459" t="s">
        <v>1566</v>
      </c>
      <c r="B459">
        <v>73</v>
      </c>
      <c r="C459" t="s">
        <v>23</v>
      </c>
      <c r="D459">
        <v>80</v>
      </c>
      <c r="E459" t="s">
        <v>1052</v>
      </c>
      <c r="F459" t="s">
        <v>5324</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4" customHeight="1">
      <c r="A460" t="s">
        <v>1566</v>
      </c>
      <c r="B460">
        <v>74</v>
      </c>
      <c r="C460" t="s">
        <v>23</v>
      </c>
      <c r="D460">
        <v>81</v>
      </c>
      <c r="E460" t="s">
        <v>1052</v>
      </c>
      <c r="F460" t="s">
        <v>5324</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4" customHeight="1">
      <c r="A461" t="s">
        <v>1566</v>
      </c>
      <c r="B461">
        <v>75</v>
      </c>
      <c r="C461" t="s">
        <v>23</v>
      </c>
      <c r="D461">
        <v>82</v>
      </c>
      <c r="E461" t="s">
        <v>1052</v>
      </c>
      <c r="F461" t="s">
        <v>5325</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4" customHeight="1">
      <c r="A462" t="s">
        <v>1680</v>
      </c>
      <c r="B462">
        <v>1</v>
      </c>
      <c r="C462" t="s">
        <v>25</v>
      </c>
      <c r="D462">
        <v>8</v>
      </c>
      <c r="E462" t="s">
        <v>918</v>
      </c>
      <c r="F462" t="s">
        <v>5322</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4" customHeight="1">
      <c r="A463" t="s">
        <v>1680</v>
      </c>
      <c r="B463">
        <v>2</v>
      </c>
      <c r="C463" t="s">
        <v>25</v>
      </c>
      <c r="D463">
        <v>9</v>
      </c>
      <c r="E463" t="s">
        <v>918</v>
      </c>
      <c r="F463" t="s">
        <v>5323</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4" customHeight="1">
      <c r="A464" t="s">
        <v>1680</v>
      </c>
      <c r="B464">
        <v>3</v>
      </c>
      <c r="C464" t="s">
        <v>25</v>
      </c>
      <c r="D464">
        <v>10</v>
      </c>
      <c r="E464" t="s">
        <v>918</v>
      </c>
      <c r="F464" t="s">
        <v>5324</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4" customHeight="1">
      <c r="A465" t="s">
        <v>1680</v>
      </c>
      <c r="B465">
        <v>4</v>
      </c>
      <c r="C465" t="s">
        <v>25</v>
      </c>
      <c r="D465">
        <v>11</v>
      </c>
      <c r="E465" t="s">
        <v>918</v>
      </c>
      <c r="F465" t="s">
        <v>5324</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4" customHeight="1">
      <c r="A466" t="s">
        <v>1680</v>
      </c>
      <c r="B466">
        <v>5</v>
      </c>
      <c r="C466" t="s">
        <v>25</v>
      </c>
      <c r="D466">
        <v>12</v>
      </c>
      <c r="E466" t="s">
        <v>918</v>
      </c>
      <c r="F466" t="s">
        <v>5325</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4" customHeight="1">
      <c r="A467" t="s">
        <v>1680</v>
      </c>
      <c r="B467">
        <v>6</v>
      </c>
      <c r="C467" t="s">
        <v>25</v>
      </c>
      <c r="D467">
        <v>13</v>
      </c>
      <c r="E467" t="s">
        <v>936</v>
      </c>
      <c r="F467" t="s">
        <v>5322</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4" customHeight="1">
      <c r="A468" t="s">
        <v>1680</v>
      </c>
      <c r="B468">
        <v>7</v>
      </c>
      <c r="C468" t="s">
        <v>25</v>
      </c>
      <c r="D468">
        <v>14</v>
      </c>
      <c r="E468" t="s">
        <v>936</v>
      </c>
      <c r="F468" t="s">
        <v>5323</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4" customHeight="1">
      <c r="A469" t="s">
        <v>1680</v>
      </c>
      <c r="B469">
        <v>8</v>
      </c>
      <c r="C469" t="s">
        <v>25</v>
      </c>
      <c r="D469">
        <v>15</v>
      </c>
      <c r="E469" t="s">
        <v>936</v>
      </c>
      <c r="F469" t="s">
        <v>5324</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4" customHeight="1">
      <c r="A470" t="s">
        <v>1680</v>
      </c>
      <c r="B470">
        <v>9</v>
      </c>
      <c r="C470" t="s">
        <v>25</v>
      </c>
      <c r="D470">
        <v>16</v>
      </c>
      <c r="E470" t="s">
        <v>936</v>
      </c>
      <c r="F470" t="s">
        <v>5324</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4" customHeight="1">
      <c r="A471" t="s">
        <v>1680</v>
      </c>
      <c r="B471">
        <v>10</v>
      </c>
      <c r="C471" t="s">
        <v>25</v>
      </c>
      <c r="D471">
        <v>17</v>
      </c>
      <c r="E471" t="s">
        <v>936</v>
      </c>
      <c r="F471" t="s">
        <v>5325</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4" customHeight="1">
      <c r="A472" t="s">
        <v>1680</v>
      </c>
      <c r="B472">
        <v>11</v>
      </c>
      <c r="C472" t="s">
        <v>25</v>
      </c>
      <c r="D472">
        <v>18</v>
      </c>
      <c r="E472" t="s">
        <v>951</v>
      </c>
      <c r="F472" t="s">
        <v>5322</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4" customHeight="1">
      <c r="A473" t="s">
        <v>1680</v>
      </c>
      <c r="B473">
        <v>12</v>
      </c>
      <c r="C473" t="s">
        <v>25</v>
      </c>
      <c r="D473">
        <v>19</v>
      </c>
      <c r="E473" t="s">
        <v>951</v>
      </c>
      <c r="F473" t="s">
        <v>5323</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4" customHeight="1">
      <c r="A474" t="s">
        <v>1680</v>
      </c>
      <c r="B474">
        <v>13</v>
      </c>
      <c r="C474" t="s">
        <v>25</v>
      </c>
      <c r="D474">
        <v>20</v>
      </c>
      <c r="E474" t="s">
        <v>951</v>
      </c>
      <c r="F474" t="s">
        <v>5324</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4" customHeight="1">
      <c r="A475" t="s">
        <v>1680</v>
      </c>
      <c r="B475">
        <v>14</v>
      </c>
      <c r="C475" t="s">
        <v>25</v>
      </c>
      <c r="D475">
        <v>21</v>
      </c>
      <c r="E475" t="s">
        <v>951</v>
      </c>
      <c r="F475" t="s">
        <v>5324</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4" customHeight="1">
      <c r="A476" t="s">
        <v>1680</v>
      </c>
      <c r="B476">
        <v>15</v>
      </c>
      <c r="C476" t="s">
        <v>25</v>
      </c>
      <c r="D476">
        <v>22</v>
      </c>
      <c r="E476" t="s">
        <v>951</v>
      </c>
      <c r="F476" t="s">
        <v>5325</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4" customHeight="1">
      <c r="A477" t="s">
        <v>1680</v>
      </c>
      <c r="B477">
        <v>16</v>
      </c>
      <c r="C477" t="s">
        <v>25</v>
      </c>
      <c r="D477">
        <v>23</v>
      </c>
      <c r="E477" t="s">
        <v>964</v>
      </c>
      <c r="F477" t="s">
        <v>5322</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4" customHeight="1">
      <c r="A478" t="s">
        <v>1680</v>
      </c>
      <c r="B478">
        <v>17</v>
      </c>
      <c r="C478" t="s">
        <v>25</v>
      </c>
      <c r="D478">
        <v>24</v>
      </c>
      <c r="E478" t="s">
        <v>964</v>
      </c>
      <c r="F478" t="s">
        <v>5323</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4" customHeight="1">
      <c r="A479" t="s">
        <v>1680</v>
      </c>
      <c r="B479">
        <v>18</v>
      </c>
      <c r="C479" t="s">
        <v>25</v>
      </c>
      <c r="D479">
        <v>25</v>
      </c>
      <c r="E479" t="s">
        <v>964</v>
      </c>
      <c r="F479" t="s">
        <v>5324</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4" customHeight="1">
      <c r="A480" t="s">
        <v>1680</v>
      </c>
      <c r="B480">
        <v>19</v>
      </c>
      <c r="C480" t="s">
        <v>25</v>
      </c>
      <c r="D480">
        <v>26</v>
      </c>
      <c r="E480" t="s">
        <v>964</v>
      </c>
      <c r="F480" t="s">
        <v>5324</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4" customHeight="1">
      <c r="A481" t="s">
        <v>1680</v>
      </c>
      <c r="B481">
        <v>20</v>
      </c>
      <c r="C481" t="s">
        <v>25</v>
      </c>
      <c r="D481">
        <v>27</v>
      </c>
      <c r="E481" t="s">
        <v>964</v>
      </c>
      <c r="F481" t="s">
        <v>5325</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4" customHeight="1">
      <c r="A482" t="s">
        <v>1680</v>
      </c>
      <c r="B482">
        <v>21</v>
      </c>
      <c r="C482" t="s">
        <v>25</v>
      </c>
      <c r="D482">
        <v>28</v>
      </c>
      <c r="E482" t="s">
        <v>977</v>
      </c>
      <c r="F482" t="s">
        <v>5322</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4" customHeight="1">
      <c r="A483" t="s">
        <v>1680</v>
      </c>
      <c r="B483">
        <v>22</v>
      </c>
      <c r="C483" t="s">
        <v>25</v>
      </c>
      <c r="D483">
        <v>29</v>
      </c>
      <c r="E483" t="s">
        <v>977</v>
      </c>
      <c r="F483" t="s">
        <v>5323</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4" customHeight="1">
      <c r="A484" t="s">
        <v>1680</v>
      </c>
      <c r="B484">
        <v>23</v>
      </c>
      <c r="C484" t="s">
        <v>25</v>
      </c>
      <c r="D484">
        <v>30</v>
      </c>
      <c r="E484" t="s">
        <v>977</v>
      </c>
      <c r="F484" t="s">
        <v>5324</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4" customHeight="1">
      <c r="A485" t="s">
        <v>1680</v>
      </c>
      <c r="B485">
        <v>24</v>
      </c>
      <c r="C485" t="s">
        <v>25</v>
      </c>
      <c r="D485">
        <v>31</v>
      </c>
      <c r="E485" t="s">
        <v>977</v>
      </c>
      <c r="F485" t="s">
        <v>5324</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4" customHeight="1">
      <c r="A486" t="s">
        <v>1680</v>
      </c>
      <c r="B486">
        <v>25</v>
      </c>
      <c r="C486" t="s">
        <v>25</v>
      </c>
      <c r="D486">
        <v>32</v>
      </c>
      <c r="E486" t="s">
        <v>977</v>
      </c>
      <c r="F486" t="s">
        <v>5325</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4" customHeight="1">
      <c r="A487" t="s">
        <v>1680</v>
      </c>
      <c r="B487">
        <v>26</v>
      </c>
      <c r="C487" t="s">
        <v>25</v>
      </c>
      <c r="D487">
        <v>33</v>
      </c>
      <c r="E487" t="s">
        <v>994</v>
      </c>
      <c r="F487" t="s">
        <v>5322</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4" customHeight="1">
      <c r="A488" t="s">
        <v>1680</v>
      </c>
      <c r="B488">
        <v>27</v>
      </c>
      <c r="C488" t="s">
        <v>25</v>
      </c>
      <c r="D488">
        <v>34</v>
      </c>
      <c r="E488" t="s">
        <v>994</v>
      </c>
      <c r="F488" t="s">
        <v>5323</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4" customHeight="1">
      <c r="A489" t="s">
        <v>1680</v>
      </c>
      <c r="B489">
        <v>28</v>
      </c>
      <c r="C489" t="s">
        <v>25</v>
      </c>
      <c r="D489">
        <v>35</v>
      </c>
      <c r="E489" t="s">
        <v>994</v>
      </c>
      <c r="F489" t="s">
        <v>5324</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4" customHeight="1">
      <c r="A490" t="s">
        <v>1680</v>
      </c>
      <c r="B490">
        <v>29</v>
      </c>
      <c r="C490" t="s">
        <v>25</v>
      </c>
      <c r="D490">
        <v>36</v>
      </c>
      <c r="E490" t="s">
        <v>994</v>
      </c>
      <c r="F490" t="s">
        <v>5324</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4" customHeight="1">
      <c r="A491" t="s">
        <v>1680</v>
      </c>
      <c r="B491">
        <v>30</v>
      </c>
      <c r="C491" t="s">
        <v>25</v>
      </c>
      <c r="D491">
        <v>37</v>
      </c>
      <c r="E491" t="s">
        <v>994</v>
      </c>
      <c r="F491" t="s">
        <v>5325</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4" customHeight="1">
      <c r="A492" t="s">
        <v>1680</v>
      </c>
      <c r="B492">
        <v>31</v>
      </c>
      <c r="C492" t="s">
        <v>25</v>
      </c>
      <c r="D492">
        <v>38</v>
      </c>
      <c r="E492" t="s">
        <v>1007</v>
      </c>
      <c r="F492" t="s">
        <v>5322</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4" customHeight="1">
      <c r="A493" t="s">
        <v>1680</v>
      </c>
      <c r="B493">
        <v>32</v>
      </c>
      <c r="C493" t="s">
        <v>25</v>
      </c>
      <c r="D493">
        <v>39</v>
      </c>
      <c r="E493" t="s">
        <v>1007</v>
      </c>
      <c r="F493" t="s">
        <v>5323</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4" customHeight="1">
      <c r="A494" t="s">
        <v>1680</v>
      </c>
      <c r="B494">
        <v>33</v>
      </c>
      <c r="C494" t="s">
        <v>25</v>
      </c>
      <c r="D494">
        <v>40</v>
      </c>
      <c r="E494" t="s">
        <v>1007</v>
      </c>
      <c r="F494" t="s">
        <v>5324</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4" customHeight="1">
      <c r="A495" t="s">
        <v>1680</v>
      </c>
      <c r="B495">
        <v>34</v>
      </c>
      <c r="C495" t="s">
        <v>25</v>
      </c>
      <c r="D495">
        <v>41</v>
      </c>
      <c r="E495" t="s">
        <v>1007</v>
      </c>
      <c r="F495" t="s">
        <v>5324</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4" customHeight="1">
      <c r="A496" t="s">
        <v>1680</v>
      </c>
      <c r="B496">
        <v>35</v>
      </c>
      <c r="C496" t="s">
        <v>25</v>
      </c>
      <c r="D496">
        <v>42</v>
      </c>
      <c r="E496" t="s">
        <v>1007</v>
      </c>
      <c r="F496" t="s">
        <v>5325</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4" customHeight="1">
      <c r="A497" t="s">
        <v>1680</v>
      </c>
      <c r="B497">
        <v>36</v>
      </c>
      <c r="C497" t="s">
        <v>25</v>
      </c>
      <c r="D497">
        <v>43</v>
      </c>
      <c r="E497" t="s">
        <v>1019</v>
      </c>
      <c r="F497" t="s">
        <v>5322</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4" customHeight="1">
      <c r="A498" t="s">
        <v>1680</v>
      </c>
      <c r="B498">
        <v>37</v>
      </c>
      <c r="C498" t="s">
        <v>25</v>
      </c>
      <c r="D498">
        <v>44</v>
      </c>
      <c r="E498" t="s">
        <v>1019</v>
      </c>
      <c r="F498" t="s">
        <v>5323</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4" customHeight="1">
      <c r="A499" t="s">
        <v>1680</v>
      </c>
      <c r="B499">
        <v>38</v>
      </c>
      <c r="C499" t="s">
        <v>25</v>
      </c>
      <c r="D499">
        <v>45</v>
      </c>
      <c r="E499" t="s">
        <v>1019</v>
      </c>
      <c r="F499" t="s">
        <v>5324</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4" customHeight="1">
      <c r="A500" t="s">
        <v>1680</v>
      </c>
      <c r="B500">
        <v>39</v>
      </c>
      <c r="C500" t="s">
        <v>25</v>
      </c>
      <c r="D500">
        <v>46</v>
      </c>
      <c r="E500" t="s">
        <v>1019</v>
      </c>
      <c r="F500" t="s">
        <v>5324</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4" customHeight="1">
      <c r="A501" t="s">
        <v>1680</v>
      </c>
      <c r="B501">
        <v>40</v>
      </c>
      <c r="C501" t="s">
        <v>25</v>
      </c>
      <c r="D501">
        <v>47</v>
      </c>
      <c r="E501" t="s">
        <v>1019</v>
      </c>
      <c r="F501" t="s">
        <v>5324</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4" customHeight="1">
      <c r="A502" t="s">
        <v>1680</v>
      </c>
      <c r="B502">
        <v>41</v>
      </c>
      <c r="C502" t="s">
        <v>25</v>
      </c>
      <c r="D502">
        <v>48</v>
      </c>
      <c r="E502" t="s">
        <v>1019</v>
      </c>
      <c r="F502" t="s">
        <v>5324</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4" customHeight="1">
      <c r="A503" t="s">
        <v>1680</v>
      </c>
      <c r="B503">
        <v>42</v>
      </c>
      <c r="C503" t="s">
        <v>25</v>
      </c>
      <c r="D503">
        <v>49</v>
      </c>
      <c r="E503" t="s">
        <v>1019</v>
      </c>
      <c r="F503" t="s">
        <v>5324</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4" customHeight="1">
      <c r="A504" t="s">
        <v>1680</v>
      </c>
      <c r="B504">
        <v>43</v>
      </c>
      <c r="C504" t="s">
        <v>25</v>
      </c>
      <c r="D504">
        <v>50</v>
      </c>
      <c r="E504" t="s">
        <v>1019</v>
      </c>
      <c r="F504" t="s">
        <v>5324</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4" customHeight="1">
      <c r="A505" t="s">
        <v>1680</v>
      </c>
      <c r="B505">
        <v>44</v>
      </c>
      <c r="C505" t="s">
        <v>25</v>
      </c>
      <c r="D505">
        <v>51</v>
      </c>
      <c r="E505" t="s">
        <v>1019</v>
      </c>
      <c r="F505" t="s">
        <v>5324</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4" customHeight="1">
      <c r="A506" t="s">
        <v>1680</v>
      </c>
      <c r="B506">
        <v>45</v>
      </c>
      <c r="C506" t="s">
        <v>25</v>
      </c>
      <c r="D506">
        <v>52</v>
      </c>
      <c r="E506" t="s">
        <v>1019</v>
      </c>
      <c r="F506" t="s">
        <v>5324</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4" customHeight="1">
      <c r="A507" t="s">
        <v>1680</v>
      </c>
      <c r="B507">
        <v>46</v>
      </c>
      <c r="C507" t="s">
        <v>25</v>
      </c>
      <c r="D507">
        <v>53</v>
      </c>
      <c r="E507" t="s">
        <v>1019</v>
      </c>
      <c r="F507" t="s">
        <v>5325</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4" customHeight="1">
      <c r="A508" t="s">
        <v>1680</v>
      </c>
      <c r="B508">
        <v>47</v>
      </c>
      <c r="C508" t="s">
        <v>25</v>
      </c>
      <c r="D508">
        <v>54</v>
      </c>
      <c r="E508" t="s">
        <v>1051</v>
      </c>
      <c r="F508" t="s">
        <v>5322</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4" customHeight="1">
      <c r="A509" t="s">
        <v>1680</v>
      </c>
      <c r="B509">
        <v>48</v>
      </c>
      <c r="C509" t="s">
        <v>25</v>
      </c>
      <c r="D509">
        <v>55</v>
      </c>
      <c r="E509" t="s">
        <v>1051</v>
      </c>
      <c r="F509" t="s">
        <v>5323</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4" customHeight="1">
      <c r="A510" t="s">
        <v>1680</v>
      </c>
      <c r="B510">
        <v>49</v>
      </c>
      <c r="C510" t="s">
        <v>25</v>
      </c>
      <c r="D510">
        <v>56</v>
      </c>
      <c r="E510" t="s">
        <v>1051</v>
      </c>
      <c r="F510" t="s">
        <v>5324</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4" customHeight="1">
      <c r="A511" t="s">
        <v>1680</v>
      </c>
      <c r="B511">
        <v>50</v>
      </c>
      <c r="C511" t="s">
        <v>25</v>
      </c>
      <c r="D511">
        <v>57</v>
      </c>
      <c r="E511" t="s">
        <v>1051</v>
      </c>
      <c r="F511" t="s">
        <v>5324</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4" customHeight="1">
      <c r="A512" t="s">
        <v>1680</v>
      </c>
      <c r="B512">
        <v>51</v>
      </c>
      <c r="C512" t="s">
        <v>25</v>
      </c>
      <c r="D512">
        <v>58</v>
      </c>
      <c r="E512" t="s">
        <v>1051</v>
      </c>
      <c r="F512" t="s">
        <v>5324</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4" customHeight="1">
      <c r="A513" t="s">
        <v>1680</v>
      </c>
      <c r="B513">
        <v>52</v>
      </c>
      <c r="C513" t="s">
        <v>25</v>
      </c>
      <c r="D513">
        <v>59</v>
      </c>
      <c r="E513" t="s">
        <v>1051</v>
      </c>
      <c r="F513" t="s">
        <v>5324</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4" customHeight="1">
      <c r="A514" t="s">
        <v>1680</v>
      </c>
      <c r="B514">
        <v>53</v>
      </c>
      <c r="C514" t="s">
        <v>25</v>
      </c>
      <c r="D514">
        <v>60</v>
      </c>
      <c r="E514" t="s">
        <v>1051</v>
      </c>
      <c r="F514" t="s">
        <v>5324</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4" customHeight="1">
      <c r="A515" t="s">
        <v>1680</v>
      </c>
      <c r="B515">
        <v>54</v>
      </c>
      <c r="C515" t="s">
        <v>25</v>
      </c>
      <c r="D515">
        <v>61</v>
      </c>
      <c r="E515" t="s">
        <v>1051</v>
      </c>
      <c r="F515" t="s">
        <v>5324</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4" customHeight="1">
      <c r="A516" t="s">
        <v>1680</v>
      </c>
      <c r="B516">
        <v>55</v>
      </c>
      <c r="C516" t="s">
        <v>25</v>
      </c>
      <c r="D516">
        <v>62</v>
      </c>
      <c r="E516" t="s">
        <v>1051</v>
      </c>
      <c r="F516" t="s">
        <v>5324</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4" customHeight="1">
      <c r="A517" t="s">
        <v>1680</v>
      </c>
      <c r="B517">
        <v>56</v>
      </c>
      <c r="C517" t="s">
        <v>25</v>
      </c>
      <c r="D517">
        <v>63</v>
      </c>
      <c r="E517" t="s">
        <v>1051</v>
      </c>
      <c r="F517" t="s">
        <v>5324</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4" customHeight="1">
      <c r="A518" t="s">
        <v>1680</v>
      </c>
      <c r="B518">
        <v>57</v>
      </c>
      <c r="C518" t="s">
        <v>25</v>
      </c>
      <c r="D518">
        <v>64</v>
      </c>
      <c r="E518" t="s">
        <v>1051</v>
      </c>
      <c r="F518" t="s">
        <v>5325</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4" customHeight="1">
      <c r="A519" t="s">
        <v>1680</v>
      </c>
      <c r="B519">
        <v>58</v>
      </c>
      <c r="C519" t="s">
        <v>25</v>
      </c>
      <c r="D519">
        <v>65</v>
      </c>
      <c r="E519" t="s">
        <v>1052</v>
      </c>
      <c r="F519" t="s">
        <v>5322</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4" customHeight="1">
      <c r="A520" t="s">
        <v>1680</v>
      </c>
      <c r="B520">
        <v>59</v>
      </c>
      <c r="C520" t="s">
        <v>25</v>
      </c>
      <c r="D520">
        <v>66</v>
      </c>
      <c r="E520" t="s">
        <v>1052</v>
      </c>
      <c r="F520" t="s">
        <v>5323</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4" customHeight="1">
      <c r="A521" t="s">
        <v>1680</v>
      </c>
      <c r="B521">
        <v>60</v>
      </c>
      <c r="C521" t="s">
        <v>25</v>
      </c>
      <c r="D521">
        <v>67</v>
      </c>
      <c r="E521" t="s">
        <v>1052</v>
      </c>
      <c r="F521" t="s">
        <v>5324</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4" customHeight="1">
      <c r="A522" t="s">
        <v>1680</v>
      </c>
      <c r="B522">
        <v>61</v>
      </c>
      <c r="C522" t="s">
        <v>25</v>
      </c>
      <c r="D522">
        <v>68</v>
      </c>
      <c r="E522" t="s">
        <v>1052</v>
      </c>
      <c r="F522" t="s">
        <v>5324</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4" customHeight="1">
      <c r="A523" t="s">
        <v>1680</v>
      </c>
      <c r="B523">
        <v>62</v>
      </c>
      <c r="C523" t="s">
        <v>25</v>
      </c>
      <c r="D523">
        <v>69</v>
      </c>
      <c r="E523" t="s">
        <v>1052</v>
      </c>
      <c r="F523" t="s">
        <v>5324</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4" customHeight="1">
      <c r="A524" t="s">
        <v>1680</v>
      </c>
      <c r="B524">
        <v>63</v>
      </c>
      <c r="C524" t="s">
        <v>25</v>
      </c>
      <c r="D524">
        <v>70</v>
      </c>
      <c r="E524" t="s">
        <v>1052</v>
      </c>
      <c r="F524" t="s">
        <v>5324</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4" customHeight="1">
      <c r="A525" t="s">
        <v>1680</v>
      </c>
      <c r="B525">
        <v>64</v>
      </c>
      <c r="C525" t="s">
        <v>25</v>
      </c>
      <c r="D525">
        <v>71</v>
      </c>
      <c r="E525" t="s">
        <v>1052</v>
      </c>
      <c r="F525" t="s">
        <v>5324</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4" customHeight="1">
      <c r="A526" t="s">
        <v>1680</v>
      </c>
      <c r="B526">
        <v>65</v>
      </c>
      <c r="C526" t="s">
        <v>25</v>
      </c>
      <c r="D526">
        <v>72</v>
      </c>
      <c r="E526" t="s">
        <v>1052</v>
      </c>
      <c r="F526" t="s">
        <v>5324</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4" customHeight="1">
      <c r="A527" t="s">
        <v>1680</v>
      </c>
      <c r="B527">
        <v>66</v>
      </c>
      <c r="C527" t="s">
        <v>25</v>
      </c>
      <c r="D527">
        <v>73</v>
      </c>
      <c r="E527" t="s">
        <v>1052</v>
      </c>
      <c r="F527" t="s">
        <v>5324</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4" customHeight="1">
      <c r="A528" t="s">
        <v>1680</v>
      </c>
      <c r="B528">
        <v>67</v>
      </c>
      <c r="C528" t="s">
        <v>25</v>
      </c>
      <c r="D528">
        <v>74</v>
      </c>
      <c r="E528" t="s">
        <v>1052</v>
      </c>
      <c r="F528" t="s">
        <v>5325</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4" customHeight="1">
      <c r="A529" t="s">
        <v>1778</v>
      </c>
      <c r="B529">
        <v>1</v>
      </c>
      <c r="C529" t="s">
        <v>27</v>
      </c>
      <c r="D529">
        <v>8</v>
      </c>
      <c r="E529" t="s">
        <v>918</v>
      </c>
      <c r="F529" t="s">
        <v>5322</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4" customHeight="1">
      <c r="A530" t="s">
        <v>1778</v>
      </c>
      <c r="B530">
        <v>2</v>
      </c>
      <c r="C530" t="s">
        <v>27</v>
      </c>
      <c r="D530">
        <v>9</v>
      </c>
      <c r="E530" t="s">
        <v>918</v>
      </c>
      <c r="F530" t="s">
        <v>5323</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4" customHeight="1">
      <c r="A531" t="s">
        <v>1778</v>
      </c>
      <c r="B531">
        <v>3</v>
      </c>
      <c r="C531" t="s">
        <v>27</v>
      </c>
      <c r="D531">
        <v>10</v>
      </c>
      <c r="E531" t="s">
        <v>918</v>
      </c>
      <c r="F531" t="s">
        <v>5324</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4" customHeight="1">
      <c r="A532" t="s">
        <v>1778</v>
      </c>
      <c r="B532">
        <v>4</v>
      </c>
      <c r="C532" t="s">
        <v>27</v>
      </c>
      <c r="D532">
        <v>11</v>
      </c>
      <c r="E532" t="s">
        <v>918</v>
      </c>
      <c r="F532" t="s">
        <v>5324</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4" customHeight="1">
      <c r="A533" t="s">
        <v>1778</v>
      </c>
      <c r="B533">
        <v>5</v>
      </c>
      <c r="C533" t="s">
        <v>27</v>
      </c>
      <c r="D533">
        <v>12</v>
      </c>
      <c r="E533" t="s">
        <v>918</v>
      </c>
      <c r="F533" t="s">
        <v>5324</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4" customHeight="1">
      <c r="A534" t="s">
        <v>1778</v>
      </c>
      <c r="B534">
        <v>6</v>
      </c>
      <c r="C534" t="s">
        <v>27</v>
      </c>
      <c r="D534">
        <v>13</v>
      </c>
      <c r="E534" t="s">
        <v>918</v>
      </c>
      <c r="F534" t="s">
        <v>5325</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4" customHeight="1">
      <c r="A535" t="s">
        <v>1778</v>
      </c>
      <c r="B535">
        <v>7</v>
      </c>
      <c r="C535" t="s">
        <v>27</v>
      </c>
      <c r="D535">
        <v>14</v>
      </c>
      <c r="E535" t="s">
        <v>936</v>
      </c>
      <c r="F535" t="s">
        <v>5322</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4" customHeight="1">
      <c r="A536" t="s">
        <v>1778</v>
      </c>
      <c r="B536">
        <v>8</v>
      </c>
      <c r="C536" t="s">
        <v>27</v>
      </c>
      <c r="D536">
        <v>15</v>
      </c>
      <c r="E536" t="s">
        <v>936</v>
      </c>
      <c r="F536" t="s">
        <v>5323</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4" customHeight="1">
      <c r="A537" t="s">
        <v>1778</v>
      </c>
      <c r="B537">
        <v>9</v>
      </c>
      <c r="C537" t="s">
        <v>27</v>
      </c>
      <c r="D537">
        <v>16</v>
      </c>
      <c r="E537" t="s">
        <v>936</v>
      </c>
      <c r="F537" t="s">
        <v>5324</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4" customHeight="1">
      <c r="A538" t="s">
        <v>1778</v>
      </c>
      <c r="B538">
        <v>10</v>
      </c>
      <c r="C538" t="s">
        <v>27</v>
      </c>
      <c r="D538">
        <v>17</v>
      </c>
      <c r="E538" t="s">
        <v>936</v>
      </c>
      <c r="F538" t="s">
        <v>5324</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4" customHeight="1">
      <c r="A539" t="s">
        <v>1778</v>
      </c>
      <c r="B539">
        <v>11</v>
      </c>
      <c r="C539" t="s">
        <v>27</v>
      </c>
      <c r="D539">
        <v>18</v>
      </c>
      <c r="E539" t="s">
        <v>936</v>
      </c>
      <c r="F539" t="s">
        <v>5324</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4" customHeight="1">
      <c r="A540" t="s">
        <v>1778</v>
      </c>
      <c r="B540">
        <v>12</v>
      </c>
      <c r="C540" t="s">
        <v>27</v>
      </c>
      <c r="D540">
        <v>19</v>
      </c>
      <c r="E540" t="s">
        <v>936</v>
      </c>
      <c r="F540" t="s">
        <v>5325</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4" customHeight="1">
      <c r="A541" t="s">
        <v>1778</v>
      </c>
      <c r="B541">
        <v>13</v>
      </c>
      <c r="C541" t="s">
        <v>27</v>
      </c>
      <c r="D541">
        <v>20</v>
      </c>
      <c r="E541" t="s">
        <v>951</v>
      </c>
      <c r="F541" t="s">
        <v>5322</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4" customHeight="1">
      <c r="A542" t="s">
        <v>1778</v>
      </c>
      <c r="B542">
        <v>14</v>
      </c>
      <c r="C542" t="s">
        <v>27</v>
      </c>
      <c r="D542">
        <v>21</v>
      </c>
      <c r="E542" t="s">
        <v>951</v>
      </c>
      <c r="F542" t="s">
        <v>5323</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4" customHeight="1">
      <c r="A543" t="s">
        <v>1778</v>
      </c>
      <c r="B543">
        <v>15</v>
      </c>
      <c r="C543" t="s">
        <v>27</v>
      </c>
      <c r="D543">
        <v>22</v>
      </c>
      <c r="E543" t="s">
        <v>951</v>
      </c>
      <c r="F543" t="s">
        <v>5324</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4" customHeight="1">
      <c r="A544" t="s">
        <v>1778</v>
      </c>
      <c r="B544">
        <v>16</v>
      </c>
      <c r="C544" t="s">
        <v>27</v>
      </c>
      <c r="D544">
        <v>23</v>
      </c>
      <c r="E544" t="s">
        <v>951</v>
      </c>
      <c r="F544" t="s">
        <v>5324</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4" customHeight="1">
      <c r="A545" t="s">
        <v>1778</v>
      </c>
      <c r="B545">
        <v>17</v>
      </c>
      <c r="C545" t="s">
        <v>27</v>
      </c>
      <c r="D545">
        <v>24</v>
      </c>
      <c r="E545" t="s">
        <v>951</v>
      </c>
      <c r="F545" t="s">
        <v>5324</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4" customHeight="1">
      <c r="A546" t="s">
        <v>1778</v>
      </c>
      <c r="B546">
        <v>18</v>
      </c>
      <c r="C546" t="s">
        <v>27</v>
      </c>
      <c r="D546">
        <v>25</v>
      </c>
      <c r="E546" t="s">
        <v>951</v>
      </c>
      <c r="F546" t="s">
        <v>5325</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4" customHeight="1">
      <c r="A547" t="s">
        <v>1778</v>
      </c>
      <c r="B547">
        <v>19</v>
      </c>
      <c r="C547" t="s">
        <v>27</v>
      </c>
      <c r="D547">
        <v>26</v>
      </c>
      <c r="E547" t="s">
        <v>964</v>
      </c>
      <c r="F547" t="s">
        <v>5322</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4" customHeight="1">
      <c r="A548" t="s">
        <v>1778</v>
      </c>
      <c r="B548">
        <v>20</v>
      </c>
      <c r="C548" t="s">
        <v>27</v>
      </c>
      <c r="D548">
        <v>27</v>
      </c>
      <c r="E548" t="s">
        <v>964</v>
      </c>
      <c r="F548" t="s">
        <v>5323</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4" customHeight="1">
      <c r="A549" t="s">
        <v>1778</v>
      </c>
      <c r="B549">
        <v>21</v>
      </c>
      <c r="C549" t="s">
        <v>27</v>
      </c>
      <c r="D549">
        <v>28</v>
      </c>
      <c r="E549" t="s">
        <v>964</v>
      </c>
      <c r="F549" t="s">
        <v>5324</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4" customHeight="1">
      <c r="A550" t="s">
        <v>1778</v>
      </c>
      <c r="B550">
        <v>22</v>
      </c>
      <c r="C550" t="s">
        <v>27</v>
      </c>
      <c r="D550">
        <v>29</v>
      </c>
      <c r="E550" t="s">
        <v>964</v>
      </c>
      <c r="F550" t="s">
        <v>5324</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4" customHeight="1">
      <c r="A551" t="s">
        <v>1778</v>
      </c>
      <c r="B551">
        <v>23</v>
      </c>
      <c r="C551" t="s">
        <v>27</v>
      </c>
      <c r="D551">
        <v>30</v>
      </c>
      <c r="E551" t="s">
        <v>964</v>
      </c>
      <c r="F551" t="s">
        <v>5324</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4" customHeight="1">
      <c r="A552" t="s">
        <v>1778</v>
      </c>
      <c r="B552">
        <v>24</v>
      </c>
      <c r="C552" t="s">
        <v>27</v>
      </c>
      <c r="D552">
        <v>31</v>
      </c>
      <c r="E552" t="s">
        <v>964</v>
      </c>
      <c r="F552" t="s">
        <v>5325</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4" customHeight="1">
      <c r="A553" t="s">
        <v>1778</v>
      </c>
      <c r="B553">
        <v>25</v>
      </c>
      <c r="C553" t="s">
        <v>27</v>
      </c>
      <c r="D553">
        <v>32</v>
      </c>
      <c r="E553" t="s">
        <v>977</v>
      </c>
      <c r="F553" t="s">
        <v>5322</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4" customHeight="1">
      <c r="A554" t="s">
        <v>1778</v>
      </c>
      <c r="B554">
        <v>26</v>
      </c>
      <c r="C554" t="s">
        <v>27</v>
      </c>
      <c r="D554">
        <v>33</v>
      </c>
      <c r="E554" t="s">
        <v>977</v>
      </c>
      <c r="F554" t="s">
        <v>5323</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4" customHeight="1">
      <c r="A555" t="s">
        <v>1778</v>
      </c>
      <c r="B555">
        <v>27</v>
      </c>
      <c r="C555" t="s">
        <v>27</v>
      </c>
      <c r="D555">
        <v>34</v>
      </c>
      <c r="E555" t="s">
        <v>977</v>
      </c>
      <c r="F555" t="s">
        <v>5324</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4" customHeight="1">
      <c r="A556" t="s">
        <v>1778</v>
      </c>
      <c r="B556">
        <v>28</v>
      </c>
      <c r="C556" t="s">
        <v>27</v>
      </c>
      <c r="D556">
        <v>35</v>
      </c>
      <c r="E556" t="s">
        <v>977</v>
      </c>
      <c r="F556" t="s">
        <v>5324</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4" customHeight="1">
      <c r="A557" t="s">
        <v>1778</v>
      </c>
      <c r="B557">
        <v>29</v>
      </c>
      <c r="C557" t="s">
        <v>27</v>
      </c>
      <c r="D557">
        <v>36</v>
      </c>
      <c r="E557" t="s">
        <v>977</v>
      </c>
      <c r="F557" t="s">
        <v>5324</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4" customHeight="1">
      <c r="A558" t="s">
        <v>1778</v>
      </c>
      <c r="B558">
        <v>30</v>
      </c>
      <c r="C558" t="s">
        <v>27</v>
      </c>
      <c r="D558">
        <v>37</v>
      </c>
      <c r="E558" t="s">
        <v>977</v>
      </c>
      <c r="F558" t="s">
        <v>5325</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4" customHeight="1">
      <c r="A559" t="s">
        <v>1778</v>
      </c>
      <c r="B559">
        <v>31</v>
      </c>
      <c r="C559" t="s">
        <v>27</v>
      </c>
      <c r="D559">
        <v>38</v>
      </c>
      <c r="E559" t="s">
        <v>994</v>
      </c>
      <c r="F559" t="s">
        <v>5322</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4" customHeight="1">
      <c r="A560" t="s">
        <v>1778</v>
      </c>
      <c r="B560">
        <v>32</v>
      </c>
      <c r="C560" t="s">
        <v>27</v>
      </c>
      <c r="D560">
        <v>39</v>
      </c>
      <c r="E560" t="s">
        <v>994</v>
      </c>
      <c r="F560" t="s">
        <v>5323</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4" customHeight="1">
      <c r="A561" t="s">
        <v>1778</v>
      </c>
      <c r="B561">
        <v>33</v>
      </c>
      <c r="C561" t="s">
        <v>27</v>
      </c>
      <c r="D561">
        <v>40</v>
      </c>
      <c r="E561" t="s">
        <v>994</v>
      </c>
      <c r="F561" t="s">
        <v>5324</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4" customHeight="1">
      <c r="A562" t="s">
        <v>1778</v>
      </c>
      <c r="B562">
        <v>34</v>
      </c>
      <c r="C562" t="s">
        <v>27</v>
      </c>
      <c r="D562">
        <v>41</v>
      </c>
      <c r="E562" t="s">
        <v>994</v>
      </c>
      <c r="F562" t="s">
        <v>5324</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4" customHeight="1">
      <c r="A563" t="s">
        <v>1778</v>
      </c>
      <c r="B563">
        <v>35</v>
      </c>
      <c r="C563" t="s">
        <v>27</v>
      </c>
      <c r="D563">
        <v>42</v>
      </c>
      <c r="E563" t="s">
        <v>994</v>
      </c>
      <c r="F563" t="s">
        <v>5324</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4" customHeight="1">
      <c r="A564" t="s">
        <v>1778</v>
      </c>
      <c r="B564">
        <v>36</v>
      </c>
      <c r="C564" t="s">
        <v>27</v>
      </c>
      <c r="D564">
        <v>43</v>
      </c>
      <c r="E564" t="s">
        <v>994</v>
      </c>
      <c r="F564" t="s">
        <v>5325</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4" customHeight="1">
      <c r="A565" t="s">
        <v>1778</v>
      </c>
      <c r="B565">
        <v>37</v>
      </c>
      <c r="C565" t="s">
        <v>27</v>
      </c>
      <c r="D565">
        <v>44</v>
      </c>
      <c r="E565" t="s">
        <v>1007</v>
      </c>
      <c r="F565" t="s">
        <v>5322</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4" customHeight="1">
      <c r="A566" t="s">
        <v>1778</v>
      </c>
      <c r="B566">
        <v>38</v>
      </c>
      <c r="C566" t="s">
        <v>27</v>
      </c>
      <c r="D566">
        <v>45</v>
      </c>
      <c r="E566" t="s">
        <v>1007</v>
      </c>
      <c r="F566" t="s">
        <v>5323</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4" customHeight="1">
      <c r="A567" t="s">
        <v>1778</v>
      </c>
      <c r="B567">
        <v>39</v>
      </c>
      <c r="C567" t="s">
        <v>27</v>
      </c>
      <c r="D567">
        <v>46</v>
      </c>
      <c r="E567" t="s">
        <v>1007</v>
      </c>
      <c r="F567" t="s">
        <v>5324</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4" customHeight="1">
      <c r="A568" t="s">
        <v>1778</v>
      </c>
      <c r="B568">
        <v>40</v>
      </c>
      <c r="C568" t="s">
        <v>27</v>
      </c>
      <c r="D568">
        <v>47</v>
      </c>
      <c r="E568" t="s">
        <v>1007</v>
      </c>
      <c r="F568" t="s">
        <v>5324</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4" customHeight="1">
      <c r="A569" t="s">
        <v>1778</v>
      </c>
      <c r="B569">
        <v>41</v>
      </c>
      <c r="C569" t="s">
        <v>27</v>
      </c>
      <c r="D569">
        <v>48</v>
      </c>
      <c r="E569" t="s">
        <v>1007</v>
      </c>
      <c r="F569" t="s">
        <v>5324</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4" customHeight="1">
      <c r="A570" t="s">
        <v>1778</v>
      </c>
      <c r="B570">
        <v>42</v>
      </c>
      <c r="C570" t="s">
        <v>27</v>
      </c>
      <c r="D570">
        <v>49</v>
      </c>
      <c r="E570" t="s">
        <v>1007</v>
      </c>
      <c r="F570" t="s">
        <v>5325</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4" customHeight="1">
      <c r="A571" t="s">
        <v>1778</v>
      </c>
      <c r="B571">
        <v>43</v>
      </c>
      <c r="C571" t="s">
        <v>27</v>
      </c>
      <c r="D571">
        <v>50</v>
      </c>
      <c r="E571" t="s">
        <v>1019</v>
      </c>
      <c r="F571" t="s">
        <v>5322</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4" customHeight="1">
      <c r="A572" t="s">
        <v>1778</v>
      </c>
      <c r="B572">
        <v>44</v>
      </c>
      <c r="C572" t="s">
        <v>27</v>
      </c>
      <c r="D572">
        <v>51</v>
      </c>
      <c r="E572" t="s">
        <v>1019</v>
      </c>
      <c r="F572" t="s">
        <v>5323</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4" customHeight="1">
      <c r="A573" t="s">
        <v>1778</v>
      </c>
      <c r="B573">
        <v>45</v>
      </c>
      <c r="C573" t="s">
        <v>27</v>
      </c>
      <c r="D573">
        <v>52</v>
      </c>
      <c r="E573" t="s">
        <v>1019</v>
      </c>
      <c r="F573" t="s">
        <v>5324</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4" customHeight="1">
      <c r="A574" t="s">
        <v>1778</v>
      </c>
      <c r="B574">
        <v>46</v>
      </c>
      <c r="C574" t="s">
        <v>27</v>
      </c>
      <c r="D574">
        <v>53</v>
      </c>
      <c r="E574" t="s">
        <v>1019</v>
      </c>
      <c r="F574" t="s">
        <v>5324</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4" customHeight="1">
      <c r="A575" t="s">
        <v>1778</v>
      </c>
      <c r="B575">
        <v>47</v>
      </c>
      <c r="C575" t="s">
        <v>27</v>
      </c>
      <c r="D575">
        <v>54</v>
      </c>
      <c r="E575" t="s">
        <v>1019</v>
      </c>
      <c r="F575" t="s">
        <v>5324</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4" customHeight="1">
      <c r="A576" t="s">
        <v>1778</v>
      </c>
      <c r="B576">
        <v>48</v>
      </c>
      <c r="C576" t="s">
        <v>27</v>
      </c>
      <c r="D576">
        <v>55</v>
      </c>
      <c r="E576" t="s">
        <v>1019</v>
      </c>
      <c r="F576" t="s">
        <v>5324</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4" customHeight="1">
      <c r="A577" t="s">
        <v>1778</v>
      </c>
      <c r="B577">
        <v>49</v>
      </c>
      <c r="C577" t="s">
        <v>27</v>
      </c>
      <c r="D577">
        <v>56</v>
      </c>
      <c r="E577" t="s">
        <v>1019</v>
      </c>
      <c r="F577" t="s">
        <v>5324</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4" customHeight="1">
      <c r="A578" t="s">
        <v>1778</v>
      </c>
      <c r="B578">
        <v>50</v>
      </c>
      <c r="C578" t="s">
        <v>27</v>
      </c>
      <c r="D578">
        <v>57</v>
      </c>
      <c r="E578" t="s">
        <v>1019</v>
      </c>
      <c r="F578" t="s">
        <v>5324</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4" customHeight="1">
      <c r="A579" t="s">
        <v>1778</v>
      </c>
      <c r="B579">
        <v>51</v>
      </c>
      <c r="C579" t="s">
        <v>27</v>
      </c>
      <c r="D579">
        <v>58</v>
      </c>
      <c r="E579" t="s">
        <v>1019</v>
      </c>
      <c r="F579" t="s">
        <v>5324</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4" customHeight="1">
      <c r="A580" t="s">
        <v>1778</v>
      </c>
      <c r="B580">
        <v>52</v>
      </c>
      <c r="C580" t="s">
        <v>27</v>
      </c>
      <c r="D580">
        <v>59</v>
      </c>
      <c r="E580" t="s">
        <v>1019</v>
      </c>
      <c r="F580" t="s">
        <v>5324</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4" customHeight="1">
      <c r="A581" t="s">
        <v>1778</v>
      </c>
      <c r="B581">
        <v>53</v>
      </c>
      <c r="C581" t="s">
        <v>27</v>
      </c>
      <c r="D581">
        <v>60</v>
      </c>
      <c r="E581" t="s">
        <v>1019</v>
      </c>
      <c r="F581" t="s">
        <v>5325</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4" customHeight="1">
      <c r="A582" t="s">
        <v>1778</v>
      </c>
      <c r="B582">
        <v>54</v>
      </c>
      <c r="C582" t="s">
        <v>27</v>
      </c>
      <c r="D582">
        <v>61</v>
      </c>
      <c r="E582" t="s">
        <v>1051</v>
      </c>
      <c r="F582" t="s">
        <v>5322</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4" customHeight="1">
      <c r="A583" t="s">
        <v>1778</v>
      </c>
      <c r="B583">
        <v>55</v>
      </c>
      <c r="C583" t="s">
        <v>27</v>
      </c>
      <c r="D583">
        <v>62</v>
      </c>
      <c r="E583" t="s">
        <v>1051</v>
      </c>
      <c r="F583" t="s">
        <v>5323</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4" customHeight="1">
      <c r="A584" t="s">
        <v>1778</v>
      </c>
      <c r="B584">
        <v>56</v>
      </c>
      <c r="C584" t="s">
        <v>27</v>
      </c>
      <c r="D584">
        <v>63</v>
      </c>
      <c r="E584" t="s">
        <v>1051</v>
      </c>
      <c r="F584" t="s">
        <v>5324</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4" customHeight="1">
      <c r="A585" t="s">
        <v>1778</v>
      </c>
      <c r="B585">
        <v>57</v>
      </c>
      <c r="C585" t="s">
        <v>27</v>
      </c>
      <c r="D585">
        <v>64</v>
      </c>
      <c r="E585" t="s">
        <v>1051</v>
      </c>
      <c r="F585" t="s">
        <v>5324</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4" customHeight="1">
      <c r="A586" t="s">
        <v>1778</v>
      </c>
      <c r="B586">
        <v>58</v>
      </c>
      <c r="C586" t="s">
        <v>27</v>
      </c>
      <c r="D586">
        <v>65</v>
      </c>
      <c r="E586" t="s">
        <v>1051</v>
      </c>
      <c r="F586" t="s">
        <v>5324</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4" customHeight="1">
      <c r="A587" t="s">
        <v>1778</v>
      </c>
      <c r="B587">
        <v>59</v>
      </c>
      <c r="C587" t="s">
        <v>27</v>
      </c>
      <c r="D587">
        <v>66</v>
      </c>
      <c r="E587" t="s">
        <v>1051</v>
      </c>
      <c r="F587" t="s">
        <v>5324</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4" customHeight="1">
      <c r="A588" t="s">
        <v>1778</v>
      </c>
      <c r="B588">
        <v>60</v>
      </c>
      <c r="C588" t="s">
        <v>27</v>
      </c>
      <c r="D588">
        <v>67</v>
      </c>
      <c r="E588" t="s">
        <v>1051</v>
      </c>
      <c r="F588" t="s">
        <v>5324</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4" customHeight="1">
      <c r="A589" t="s">
        <v>1778</v>
      </c>
      <c r="B589">
        <v>61</v>
      </c>
      <c r="C589" t="s">
        <v>27</v>
      </c>
      <c r="D589">
        <v>68</v>
      </c>
      <c r="E589" t="s">
        <v>1051</v>
      </c>
      <c r="F589" t="s">
        <v>5324</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4" customHeight="1">
      <c r="A590" t="s">
        <v>1778</v>
      </c>
      <c r="B590">
        <v>62</v>
      </c>
      <c r="C590" t="s">
        <v>27</v>
      </c>
      <c r="D590">
        <v>69</v>
      </c>
      <c r="E590" t="s">
        <v>1051</v>
      </c>
      <c r="F590" t="s">
        <v>5324</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4" customHeight="1">
      <c r="A591" t="s">
        <v>1778</v>
      </c>
      <c r="B591">
        <v>63</v>
      </c>
      <c r="C591" t="s">
        <v>27</v>
      </c>
      <c r="D591">
        <v>70</v>
      </c>
      <c r="E591" t="s">
        <v>1051</v>
      </c>
      <c r="F591" t="s">
        <v>5324</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4" customHeight="1">
      <c r="A592" t="s">
        <v>1778</v>
      </c>
      <c r="B592">
        <v>64</v>
      </c>
      <c r="C592" t="s">
        <v>27</v>
      </c>
      <c r="D592">
        <v>71</v>
      </c>
      <c r="E592" t="s">
        <v>1051</v>
      </c>
      <c r="F592" t="s">
        <v>5325</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4" customHeight="1">
      <c r="A593" t="s">
        <v>1778</v>
      </c>
      <c r="B593">
        <v>65</v>
      </c>
      <c r="C593" t="s">
        <v>27</v>
      </c>
      <c r="D593">
        <v>72</v>
      </c>
      <c r="E593" t="s">
        <v>1052</v>
      </c>
      <c r="F593" t="s">
        <v>5322</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4" customHeight="1">
      <c r="A594" t="s">
        <v>1778</v>
      </c>
      <c r="B594">
        <v>66</v>
      </c>
      <c r="C594" t="s">
        <v>27</v>
      </c>
      <c r="D594">
        <v>73</v>
      </c>
      <c r="E594" t="s">
        <v>1052</v>
      </c>
      <c r="F594" t="s">
        <v>5323</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4" customHeight="1">
      <c r="A595" t="s">
        <v>1778</v>
      </c>
      <c r="B595">
        <v>67</v>
      </c>
      <c r="C595" t="s">
        <v>27</v>
      </c>
      <c r="D595">
        <v>74</v>
      </c>
      <c r="E595" t="s">
        <v>1052</v>
      </c>
      <c r="F595" t="s">
        <v>5324</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4" customHeight="1">
      <c r="A596" t="s">
        <v>1778</v>
      </c>
      <c r="B596">
        <v>68</v>
      </c>
      <c r="C596" t="s">
        <v>27</v>
      </c>
      <c r="D596">
        <v>75</v>
      </c>
      <c r="E596" t="s">
        <v>1052</v>
      </c>
      <c r="F596" t="s">
        <v>5324</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4" customHeight="1">
      <c r="A597" t="s">
        <v>1778</v>
      </c>
      <c r="B597">
        <v>69</v>
      </c>
      <c r="C597" t="s">
        <v>27</v>
      </c>
      <c r="D597">
        <v>76</v>
      </c>
      <c r="E597" t="s">
        <v>1052</v>
      </c>
      <c r="F597" t="s">
        <v>5324</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4" customHeight="1">
      <c r="A598" t="s">
        <v>1778</v>
      </c>
      <c r="B598">
        <v>70</v>
      </c>
      <c r="C598" t="s">
        <v>27</v>
      </c>
      <c r="D598">
        <v>77</v>
      </c>
      <c r="E598" t="s">
        <v>1052</v>
      </c>
      <c r="F598" t="s">
        <v>5324</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4" customHeight="1">
      <c r="A599" t="s">
        <v>1778</v>
      </c>
      <c r="B599">
        <v>71</v>
      </c>
      <c r="C599" t="s">
        <v>27</v>
      </c>
      <c r="D599">
        <v>78</v>
      </c>
      <c r="E599" t="s">
        <v>1052</v>
      </c>
      <c r="F599" t="s">
        <v>5324</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4" customHeight="1">
      <c r="A600" t="s">
        <v>1778</v>
      </c>
      <c r="B600">
        <v>72</v>
      </c>
      <c r="C600" t="s">
        <v>27</v>
      </c>
      <c r="D600">
        <v>79</v>
      </c>
      <c r="E600" t="s">
        <v>1052</v>
      </c>
      <c r="F600" t="s">
        <v>5324</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4" customHeight="1">
      <c r="A601" t="s">
        <v>1778</v>
      </c>
      <c r="B601">
        <v>73</v>
      </c>
      <c r="C601" t="s">
        <v>27</v>
      </c>
      <c r="D601">
        <v>80</v>
      </c>
      <c r="E601" t="s">
        <v>1052</v>
      </c>
      <c r="F601" t="s">
        <v>5324</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4" customHeight="1">
      <c r="A602" t="s">
        <v>1778</v>
      </c>
      <c r="B602">
        <v>74</v>
      </c>
      <c r="C602" t="s">
        <v>27</v>
      </c>
      <c r="D602">
        <v>81</v>
      </c>
      <c r="E602" t="s">
        <v>1052</v>
      </c>
      <c r="F602" t="s">
        <v>5324</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4" customHeight="1">
      <c r="A603" t="s">
        <v>1778</v>
      </c>
      <c r="B603">
        <v>75</v>
      </c>
      <c r="C603" t="s">
        <v>27</v>
      </c>
      <c r="D603">
        <v>82</v>
      </c>
      <c r="E603" t="s">
        <v>1052</v>
      </c>
      <c r="F603" t="s">
        <v>5325</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4" customHeight="1">
      <c r="A604" t="s">
        <v>1884</v>
      </c>
      <c r="B604">
        <v>1</v>
      </c>
      <c r="C604" t="s">
        <v>29</v>
      </c>
      <c r="D604">
        <v>8</v>
      </c>
      <c r="E604" t="s">
        <v>918</v>
      </c>
      <c r="F604" t="s">
        <v>5322</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4" customHeight="1">
      <c r="A605" t="s">
        <v>1884</v>
      </c>
      <c r="B605">
        <v>2</v>
      </c>
      <c r="C605" t="s">
        <v>29</v>
      </c>
      <c r="D605">
        <v>9</v>
      </c>
      <c r="E605" t="s">
        <v>918</v>
      </c>
      <c r="F605" t="s">
        <v>5323</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4" customHeight="1">
      <c r="A606" t="s">
        <v>1884</v>
      </c>
      <c r="B606">
        <v>3</v>
      </c>
      <c r="C606" t="s">
        <v>29</v>
      </c>
      <c r="D606">
        <v>10</v>
      </c>
      <c r="E606" t="s">
        <v>918</v>
      </c>
      <c r="F606" t="s">
        <v>5324</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4" customHeight="1">
      <c r="A607" t="s">
        <v>1884</v>
      </c>
      <c r="B607">
        <v>4</v>
      </c>
      <c r="C607" t="s">
        <v>29</v>
      </c>
      <c r="D607">
        <v>11</v>
      </c>
      <c r="E607" t="s">
        <v>918</v>
      </c>
      <c r="F607" t="s">
        <v>5324</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4" customHeight="1">
      <c r="A608" t="s">
        <v>1884</v>
      </c>
      <c r="B608">
        <v>5</v>
      </c>
      <c r="C608" t="s">
        <v>29</v>
      </c>
      <c r="D608">
        <v>12</v>
      </c>
      <c r="E608" t="s">
        <v>918</v>
      </c>
      <c r="F608" t="s">
        <v>5324</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4" customHeight="1">
      <c r="A609" t="s">
        <v>1884</v>
      </c>
      <c r="B609">
        <v>6</v>
      </c>
      <c r="C609" t="s">
        <v>29</v>
      </c>
      <c r="D609">
        <v>13</v>
      </c>
      <c r="E609" t="s">
        <v>918</v>
      </c>
      <c r="F609" t="s">
        <v>5325</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4" customHeight="1">
      <c r="A610" t="s">
        <v>1884</v>
      </c>
      <c r="B610">
        <v>7</v>
      </c>
      <c r="C610" t="s">
        <v>29</v>
      </c>
      <c r="D610">
        <v>14</v>
      </c>
      <c r="E610" t="s">
        <v>936</v>
      </c>
      <c r="F610" t="s">
        <v>5322</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4" customHeight="1">
      <c r="A611" t="s">
        <v>1884</v>
      </c>
      <c r="B611">
        <v>8</v>
      </c>
      <c r="C611" t="s">
        <v>29</v>
      </c>
      <c r="D611">
        <v>15</v>
      </c>
      <c r="E611" t="s">
        <v>936</v>
      </c>
      <c r="F611" t="s">
        <v>5323</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4" customHeight="1">
      <c r="A612" t="s">
        <v>1884</v>
      </c>
      <c r="B612">
        <v>9</v>
      </c>
      <c r="C612" t="s">
        <v>29</v>
      </c>
      <c r="D612">
        <v>16</v>
      </c>
      <c r="E612" t="s">
        <v>936</v>
      </c>
      <c r="F612" t="s">
        <v>5324</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4" customHeight="1">
      <c r="A613" t="s">
        <v>1884</v>
      </c>
      <c r="B613">
        <v>10</v>
      </c>
      <c r="C613" t="s">
        <v>29</v>
      </c>
      <c r="D613">
        <v>17</v>
      </c>
      <c r="E613" t="s">
        <v>936</v>
      </c>
      <c r="F613" t="s">
        <v>5324</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4" customHeight="1">
      <c r="A614" t="s">
        <v>1884</v>
      </c>
      <c r="B614">
        <v>11</v>
      </c>
      <c r="C614" t="s">
        <v>29</v>
      </c>
      <c r="D614">
        <v>18</v>
      </c>
      <c r="E614" t="s">
        <v>936</v>
      </c>
      <c r="F614" t="s">
        <v>5324</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4" customHeight="1">
      <c r="A615" t="s">
        <v>1884</v>
      </c>
      <c r="B615">
        <v>12</v>
      </c>
      <c r="C615" t="s">
        <v>29</v>
      </c>
      <c r="D615">
        <v>19</v>
      </c>
      <c r="E615" t="s">
        <v>936</v>
      </c>
      <c r="F615" t="s">
        <v>5325</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4" customHeight="1">
      <c r="A616" t="s">
        <v>1884</v>
      </c>
      <c r="B616">
        <v>13</v>
      </c>
      <c r="C616" t="s">
        <v>29</v>
      </c>
      <c r="D616">
        <v>20</v>
      </c>
      <c r="E616" t="s">
        <v>951</v>
      </c>
      <c r="F616" t="s">
        <v>5322</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4" customHeight="1">
      <c r="A617" t="s">
        <v>1884</v>
      </c>
      <c r="B617">
        <v>14</v>
      </c>
      <c r="C617" t="s">
        <v>29</v>
      </c>
      <c r="D617">
        <v>21</v>
      </c>
      <c r="E617" t="s">
        <v>951</v>
      </c>
      <c r="F617" t="s">
        <v>5323</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4" customHeight="1">
      <c r="A618" t="s">
        <v>1884</v>
      </c>
      <c r="B618">
        <v>15</v>
      </c>
      <c r="C618" t="s">
        <v>29</v>
      </c>
      <c r="D618">
        <v>22</v>
      </c>
      <c r="E618" t="s">
        <v>951</v>
      </c>
      <c r="F618" t="s">
        <v>5324</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4" customHeight="1">
      <c r="A619" t="s">
        <v>1884</v>
      </c>
      <c r="B619">
        <v>16</v>
      </c>
      <c r="C619" t="s">
        <v>29</v>
      </c>
      <c r="D619">
        <v>23</v>
      </c>
      <c r="E619" t="s">
        <v>951</v>
      </c>
      <c r="F619" t="s">
        <v>5324</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4" customHeight="1">
      <c r="A620" t="s">
        <v>1884</v>
      </c>
      <c r="B620">
        <v>17</v>
      </c>
      <c r="C620" t="s">
        <v>29</v>
      </c>
      <c r="D620">
        <v>24</v>
      </c>
      <c r="E620" t="s">
        <v>951</v>
      </c>
      <c r="F620" t="s">
        <v>5324</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4" customHeight="1">
      <c r="A621" t="s">
        <v>1884</v>
      </c>
      <c r="B621">
        <v>18</v>
      </c>
      <c r="C621" t="s">
        <v>29</v>
      </c>
      <c r="D621">
        <v>25</v>
      </c>
      <c r="E621" t="s">
        <v>951</v>
      </c>
      <c r="F621" t="s">
        <v>5325</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4" customHeight="1">
      <c r="A622" t="s">
        <v>1884</v>
      </c>
      <c r="B622">
        <v>19</v>
      </c>
      <c r="C622" t="s">
        <v>29</v>
      </c>
      <c r="D622">
        <v>26</v>
      </c>
      <c r="E622" t="s">
        <v>964</v>
      </c>
      <c r="F622" t="s">
        <v>5322</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4" customHeight="1">
      <c r="A623" t="s">
        <v>1884</v>
      </c>
      <c r="B623">
        <v>20</v>
      </c>
      <c r="C623" t="s">
        <v>29</v>
      </c>
      <c r="D623">
        <v>27</v>
      </c>
      <c r="E623" t="s">
        <v>964</v>
      </c>
      <c r="F623" t="s">
        <v>5323</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4" customHeight="1">
      <c r="A624" t="s">
        <v>1884</v>
      </c>
      <c r="B624">
        <v>21</v>
      </c>
      <c r="C624" t="s">
        <v>29</v>
      </c>
      <c r="D624">
        <v>28</v>
      </c>
      <c r="E624" t="s">
        <v>964</v>
      </c>
      <c r="F624" t="s">
        <v>5324</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4" customHeight="1">
      <c r="A625" t="s">
        <v>1884</v>
      </c>
      <c r="B625">
        <v>22</v>
      </c>
      <c r="C625" t="s">
        <v>29</v>
      </c>
      <c r="D625">
        <v>29</v>
      </c>
      <c r="E625" t="s">
        <v>964</v>
      </c>
      <c r="F625" t="s">
        <v>5324</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4" customHeight="1">
      <c r="A626" t="s">
        <v>1884</v>
      </c>
      <c r="B626">
        <v>23</v>
      </c>
      <c r="C626" t="s">
        <v>29</v>
      </c>
      <c r="D626">
        <v>30</v>
      </c>
      <c r="E626" t="s">
        <v>964</v>
      </c>
      <c r="F626" t="s">
        <v>5324</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4" customHeight="1">
      <c r="A627" t="s">
        <v>1884</v>
      </c>
      <c r="B627">
        <v>24</v>
      </c>
      <c r="C627" t="s">
        <v>29</v>
      </c>
      <c r="D627">
        <v>31</v>
      </c>
      <c r="E627" t="s">
        <v>964</v>
      </c>
      <c r="F627" t="s">
        <v>5325</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4" customHeight="1">
      <c r="A628" t="s">
        <v>1884</v>
      </c>
      <c r="B628">
        <v>25</v>
      </c>
      <c r="C628" t="s">
        <v>29</v>
      </c>
      <c r="D628">
        <v>32</v>
      </c>
      <c r="E628" t="s">
        <v>977</v>
      </c>
      <c r="F628" t="s">
        <v>5322</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4" customHeight="1">
      <c r="A629" t="s">
        <v>1884</v>
      </c>
      <c r="B629">
        <v>26</v>
      </c>
      <c r="C629" t="s">
        <v>29</v>
      </c>
      <c r="D629">
        <v>33</v>
      </c>
      <c r="E629" t="s">
        <v>977</v>
      </c>
      <c r="F629" t="s">
        <v>5323</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4" customHeight="1">
      <c r="A630" t="s">
        <v>1884</v>
      </c>
      <c r="B630">
        <v>27</v>
      </c>
      <c r="C630" t="s">
        <v>29</v>
      </c>
      <c r="D630">
        <v>34</v>
      </c>
      <c r="E630" t="s">
        <v>977</v>
      </c>
      <c r="F630" t="s">
        <v>5324</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4" customHeight="1">
      <c r="A631" t="s">
        <v>1884</v>
      </c>
      <c r="B631">
        <v>28</v>
      </c>
      <c r="C631" t="s">
        <v>29</v>
      </c>
      <c r="D631">
        <v>35</v>
      </c>
      <c r="E631" t="s">
        <v>977</v>
      </c>
      <c r="F631" t="s">
        <v>5324</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4" customHeight="1">
      <c r="A632" t="s">
        <v>1884</v>
      </c>
      <c r="B632">
        <v>29</v>
      </c>
      <c r="C632" t="s">
        <v>29</v>
      </c>
      <c r="D632">
        <v>36</v>
      </c>
      <c r="E632" t="s">
        <v>977</v>
      </c>
      <c r="F632" t="s">
        <v>5324</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4" customHeight="1">
      <c r="A633" t="s">
        <v>1884</v>
      </c>
      <c r="B633">
        <v>30</v>
      </c>
      <c r="C633" t="s">
        <v>29</v>
      </c>
      <c r="D633">
        <v>37</v>
      </c>
      <c r="E633" t="s">
        <v>977</v>
      </c>
      <c r="F633" t="s">
        <v>5325</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4" customHeight="1">
      <c r="A634" t="s">
        <v>1884</v>
      </c>
      <c r="B634">
        <v>31</v>
      </c>
      <c r="C634" t="s">
        <v>29</v>
      </c>
      <c r="D634">
        <v>38</v>
      </c>
      <c r="E634" t="s">
        <v>994</v>
      </c>
      <c r="F634" t="s">
        <v>5322</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4" customHeight="1">
      <c r="A635" t="s">
        <v>1884</v>
      </c>
      <c r="B635">
        <v>32</v>
      </c>
      <c r="C635" t="s">
        <v>29</v>
      </c>
      <c r="D635">
        <v>39</v>
      </c>
      <c r="E635" t="s">
        <v>994</v>
      </c>
      <c r="F635" t="s">
        <v>5323</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4" customHeight="1">
      <c r="A636" t="s">
        <v>1884</v>
      </c>
      <c r="B636">
        <v>33</v>
      </c>
      <c r="C636" t="s">
        <v>29</v>
      </c>
      <c r="D636">
        <v>40</v>
      </c>
      <c r="E636" t="s">
        <v>994</v>
      </c>
      <c r="F636" t="s">
        <v>5324</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4" customHeight="1">
      <c r="A637" t="s">
        <v>1884</v>
      </c>
      <c r="B637">
        <v>34</v>
      </c>
      <c r="C637" t="s">
        <v>29</v>
      </c>
      <c r="D637">
        <v>41</v>
      </c>
      <c r="E637" t="s">
        <v>994</v>
      </c>
      <c r="F637" t="s">
        <v>5324</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4" customHeight="1">
      <c r="A638" t="s">
        <v>1884</v>
      </c>
      <c r="B638">
        <v>35</v>
      </c>
      <c r="C638" t="s">
        <v>29</v>
      </c>
      <c r="D638">
        <v>42</v>
      </c>
      <c r="E638" t="s">
        <v>994</v>
      </c>
      <c r="F638" t="s">
        <v>5324</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4" customHeight="1">
      <c r="A639" t="s">
        <v>1884</v>
      </c>
      <c r="B639">
        <v>36</v>
      </c>
      <c r="C639" t="s">
        <v>29</v>
      </c>
      <c r="D639">
        <v>43</v>
      </c>
      <c r="E639" t="s">
        <v>994</v>
      </c>
      <c r="F639" t="s">
        <v>5325</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4" customHeight="1">
      <c r="A640" t="s">
        <v>1884</v>
      </c>
      <c r="B640">
        <v>37</v>
      </c>
      <c r="C640" t="s">
        <v>29</v>
      </c>
      <c r="D640">
        <v>44</v>
      </c>
      <c r="E640" t="s">
        <v>1007</v>
      </c>
      <c r="F640" t="s">
        <v>5322</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4" customHeight="1">
      <c r="A641" t="s">
        <v>1884</v>
      </c>
      <c r="B641">
        <v>38</v>
      </c>
      <c r="C641" t="s">
        <v>29</v>
      </c>
      <c r="D641">
        <v>45</v>
      </c>
      <c r="E641" t="s">
        <v>1007</v>
      </c>
      <c r="F641" t="s">
        <v>5323</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4" customHeight="1">
      <c r="A642" t="s">
        <v>1884</v>
      </c>
      <c r="B642">
        <v>39</v>
      </c>
      <c r="C642" t="s">
        <v>29</v>
      </c>
      <c r="D642">
        <v>46</v>
      </c>
      <c r="E642" t="s">
        <v>1007</v>
      </c>
      <c r="F642" t="s">
        <v>5324</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4" customHeight="1">
      <c r="A643" t="s">
        <v>1884</v>
      </c>
      <c r="B643">
        <v>40</v>
      </c>
      <c r="C643" t="s">
        <v>29</v>
      </c>
      <c r="D643">
        <v>47</v>
      </c>
      <c r="E643" t="s">
        <v>1007</v>
      </c>
      <c r="F643" t="s">
        <v>5324</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4" customHeight="1">
      <c r="A644" t="s">
        <v>1884</v>
      </c>
      <c r="B644">
        <v>41</v>
      </c>
      <c r="C644" t="s">
        <v>29</v>
      </c>
      <c r="D644">
        <v>48</v>
      </c>
      <c r="E644" t="s">
        <v>1007</v>
      </c>
      <c r="F644" t="s">
        <v>5324</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4" customHeight="1">
      <c r="A645" t="s">
        <v>1884</v>
      </c>
      <c r="B645">
        <v>42</v>
      </c>
      <c r="C645" t="s">
        <v>29</v>
      </c>
      <c r="D645">
        <v>49</v>
      </c>
      <c r="E645" t="s">
        <v>1007</v>
      </c>
      <c r="F645" t="s">
        <v>5325</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4" customHeight="1">
      <c r="A646" t="s">
        <v>1884</v>
      </c>
      <c r="B646">
        <v>43</v>
      </c>
      <c r="C646" t="s">
        <v>29</v>
      </c>
      <c r="D646">
        <v>50</v>
      </c>
      <c r="E646" t="s">
        <v>1019</v>
      </c>
      <c r="F646" t="s">
        <v>5322</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4" customHeight="1">
      <c r="A647" t="s">
        <v>1884</v>
      </c>
      <c r="B647">
        <v>44</v>
      </c>
      <c r="C647" t="s">
        <v>29</v>
      </c>
      <c r="D647">
        <v>51</v>
      </c>
      <c r="E647" t="s">
        <v>1019</v>
      </c>
      <c r="F647" t="s">
        <v>5323</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4" customHeight="1">
      <c r="A648" t="s">
        <v>1884</v>
      </c>
      <c r="B648">
        <v>45</v>
      </c>
      <c r="C648" t="s">
        <v>29</v>
      </c>
      <c r="D648">
        <v>52</v>
      </c>
      <c r="E648" t="s">
        <v>1019</v>
      </c>
      <c r="F648" t="s">
        <v>5324</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4" customHeight="1">
      <c r="A649" t="s">
        <v>1884</v>
      </c>
      <c r="B649">
        <v>46</v>
      </c>
      <c r="C649" t="s">
        <v>29</v>
      </c>
      <c r="D649">
        <v>53</v>
      </c>
      <c r="E649" t="s">
        <v>1019</v>
      </c>
      <c r="F649" t="s">
        <v>5324</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4" customHeight="1">
      <c r="A650" t="s">
        <v>1884</v>
      </c>
      <c r="B650">
        <v>47</v>
      </c>
      <c r="C650" t="s">
        <v>29</v>
      </c>
      <c r="D650">
        <v>54</v>
      </c>
      <c r="E650" t="s">
        <v>1019</v>
      </c>
      <c r="F650" t="s">
        <v>5324</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4" customHeight="1">
      <c r="A651" t="s">
        <v>1884</v>
      </c>
      <c r="B651">
        <v>48</v>
      </c>
      <c r="C651" t="s">
        <v>29</v>
      </c>
      <c r="D651">
        <v>55</v>
      </c>
      <c r="E651" t="s">
        <v>1019</v>
      </c>
      <c r="F651" t="s">
        <v>5324</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4" customHeight="1">
      <c r="A652" t="s">
        <v>1884</v>
      </c>
      <c r="B652">
        <v>49</v>
      </c>
      <c r="C652" t="s">
        <v>29</v>
      </c>
      <c r="D652">
        <v>56</v>
      </c>
      <c r="E652" t="s">
        <v>1019</v>
      </c>
      <c r="F652" t="s">
        <v>5324</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4" customHeight="1">
      <c r="A653" t="s">
        <v>1884</v>
      </c>
      <c r="B653">
        <v>50</v>
      </c>
      <c r="C653" t="s">
        <v>29</v>
      </c>
      <c r="D653">
        <v>57</v>
      </c>
      <c r="E653" t="s">
        <v>1019</v>
      </c>
      <c r="F653" t="s">
        <v>5324</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4" customHeight="1">
      <c r="A654" t="s">
        <v>1884</v>
      </c>
      <c r="B654">
        <v>51</v>
      </c>
      <c r="C654" t="s">
        <v>29</v>
      </c>
      <c r="D654">
        <v>58</v>
      </c>
      <c r="E654" t="s">
        <v>1019</v>
      </c>
      <c r="F654" t="s">
        <v>5324</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4" customHeight="1">
      <c r="A655" t="s">
        <v>1884</v>
      </c>
      <c r="B655">
        <v>52</v>
      </c>
      <c r="C655" t="s">
        <v>29</v>
      </c>
      <c r="D655">
        <v>59</v>
      </c>
      <c r="E655" t="s">
        <v>1019</v>
      </c>
      <c r="F655" t="s">
        <v>5324</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4" customHeight="1">
      <c r="A656" t="s">
        <v>1884</v>
      </c>
      <c r="B656">
        <v>53</v>
      </c>
      <c r="C656" t="s">
        <v>29</v>
      </c>
      <c r="D656">
        <v>60</v>
      </c>
      <c r="E656" t="s">
        <v>1019</v>
      </c>
      <c r="F656" t="s">
        <v>5325</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4" customHeight="1">
      <c r="A657" t="s">
        <v>1884</v>
      </c>
      <c r="B657">
        <v>54</v>
      </c>
      <c r="C657" t="s">
        <v>29</v>
      </c>
      <c r="D657">
        <v>61</v>
      </c>
      <c r="E657" t="s">
        <v>1051</v>
      </c>
      <c r="F657" t="s">
        <v>5322</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4" customHeight="1">
      <c r="A658" t="s">
        <v>1884</v>
      </c>
      <c r="B658">
        <v>55</v>
      </c>
      <c r="C658" t="s">
        <v>29</v>
      </c>
      <c r="D658">
        <v>62</v>
      </c>
      <c r="E658" t="s">
        <v>1051</v>
      </c>
      <c r="F658" t="s">
        <v>5323</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4" customHeight="1">
      <c r="A659" t="s">
        <v>1884</v>
      </c>
      <c r="B659">
        <v>56</v>
      </c>
      <c r="C659" t="s">
        <v>29</v>
      </c>
      <c r="D659">
        <v>63</v>
      </c>
      <c r="E659" t="s">
        <v>1051</v>
      </c>
      <c r="F659" t="s">
        <v>5324</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4" customHeight="1">
      <c r="A660" t="s">
        <v>1884</v>
      </c>
      <c r="B660">
        <v>57</v>
      </c>
      <c r="C660" t="s">
        <v>29</v>
      </c>
      <c r="D660">
        <v>64</v>
      </c>
      <c r="E660" t="s">
        <v>1051</v>
      </c>
      <c r="F660" t="s">
        <v>5324</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4" customHeight="1">
      <c r="A661" t="s">
        <v>1884</v>
      </c>
      <c r="B661">
        <v>58</v>
      </c>
      <c r="C661" t="s">
        <v>29</v>
      </c>
      <c r="D661">
        <v>65</v>
      </c>
      <c r="E661" t="s">
        <v>1051</v>
      </c>
      <c r="F661" t="s">
        <v>5324</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4" customHeight="1">
      <c r="A662" t="s">
        <v>1884</v>
      </c>
      <c r="B662">
        <v>59</v>
      </c>
      <c r="C662" t="s">
        <v>29</v>
      </c>
      <c r="D662">
        <v>66</v>
      </c>
      <c r="E662" t="s">
        <v>1051</v>
      </c>
      <c r="F662" t="s">
        <v>5324</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4" customHeight="1">
      <c r="A663" t="s">
        <v>1884</v>
      </c>
      <c r="B663">
        <v>60</v>
      </c>
      <c r="C663" t="s">
        <v>29</v>
      </c>
      <c r="D663">
        <v>67</v>
      </c>
      <c r="E663" t="s">
        <v>1051</v>
      </c>
      <c r="F663" t="s">
        <v>5324</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4" customHeight="1">
      <c r="A664" t="s">
        <v>1884</v>
      </c>
      <c r="B664">
        <v>61</v>
      </c>
      <c r="C664" t="s">
        <v>29</v>
      </c>
      <c r="D664">
        <v>68</v>
      </c>
      <c r="E664" t="s">
        <v>1051</v>
      </c>
      <c r="F664" t="s">
        <v>5324</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4" customHeight="1">
      <c r="A665" t="s">
        <v>1884</v>
      </c>
      <c r="B665">
        <v>62</v>
      </c>
      <c r="C665" t="s">
        <v>29</v>
      </c>
      <c r="D665">
        <v>69</v>
      </c>
      <c r="E665" t="s">
        <v>1051</v>
      </c>
      <c r="F665" t="s">
        <v>5324</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4" customHeight="1">
      <c r="A666" t="s">
        <v>1884</v>
      </c>
      <c r="B666">
        <v>63</v>
      </c>
      <c r="C666" t="s">
        <v>29</v>
      </c>
      <c r="D666">
        <v>70</v>
      </c>
      <c r="E666" t="s">
        <v>1051</v>
      </c>
      <c r="F666" t="s">
        <v>5324</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4" customHeight="1">
      <c r="A667" t="s">
        <v>1884</v>
      </c>
      <c r="B667">
        <v>64</v>
      </c>
      <c r="C667" t="s">
        <v>29</v>
      </c>
      <c r="D667">
        <v>71</v>
      </c>
      <c r="E667" t="s">
        <v>1051</v>
      </c>
      <c r="F667" t="s">
        <v>5325</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4" customHeight="1">
      <c r="A668" t="s">
        <v>1884</v>
      </c>
      <c r="B668">
        <v>65</v>
      </c>
      <c r="C668" t="s">
        <v>29</v>
      </c>
      <c r="D668">
        <v>72</v>
      </c>
      <c r="E668" t="s">
        <v>1052</v>
      </c>
      <c r="F668" t="s">
        <v>5322</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4" customHeight="1">
      <c r="A669" t="s">
        <v>1884</v>
      </c>
      <c r="B669">
        <v>66</v>
      </c>
      <c r="C669" t="s">
        <v>29</v>
      </c>
      <c r="D669">
        <v>73</v>
      </c>
      <c r="E669" t="s">
        <v>1052</v>
      </c>
      <c r="F669" t="s">
        <v>5323</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4" customHeight="1">
      <c r="A670" t="s">
        <v>1884</v>
      </c>
      <c r="B670">
        <v>67</v>
      </c>
      <c r="C670" t="s">
        <v>29</v>
      </c>
      <c r="D670">
        <v>74</v>
      </c>
      <c r="E670" t="s">
        <v>1052</v>
      </c>
      <c r="F670" t="s">
        <v>5324</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4" customHeight="1">
      <c r="A671" t="s">
        <v>1884</v>
      </c>
      <c r="B671">
        <v>68</v>
      </c>
      <c r="C671" t="s">
        <v>29</v>
      </c>
      <c r="D671">
        <v>75</v>
      </c>
      <c r="E671" t="s">
        <v>1052</v>
      </c>
      <c r="F671" t="s">
        <v>5324</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4" customHeight="1">
      <c r="A672" t="s">
        <v>1884</v>
      </c>
      <c r="B672">
        <v>69</v>
      </c>
      <c r="C672" t="s">
        <v>29</v>
      </c>
      <c r="D672">
        <v>76</v>
      </c>
      <c r="E672" t="s">
        <v>1052</v>
      </c>
      <c r="F672" t="s">
        <v>5324</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4" customHeight="1">
      <c r="A673" t="s">
        <v>1884</v>
      </c>
      <c r="B673">
        <v>70</v>
      </c>
      <c r="C673" t="s">
        <v>29</v>
      </c>
      <c r="D673">
        <v>77</v>
      </c>
      <c r="E673" t="s">
        <v>1052</v>
      </c>
      <c r="F673" t="s">
        <v>5324</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4" customHeight="1">
      <c r="A674" t="s">
        <v>1884</v>
      </c>
      <c r="B674">
        <v>71</v>
      </c>
      <c r="C674" t="s">
        <v>29</v>
      </c>
      <c r="D674">
        <v>78</v>
      </c>
      <c r="E674" t="s">
        <v>1052</v>
      </c>
      <c r="F674" t="s">
        <v>5324</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4" customHeight="1">
      <c r="A675" t="s">
        <v>1884</v>
      </c>
      <c r="B675">
        <v>72</v>
      </c>
      <c r="C675" t="s">
        <v>29</v>
      </c>
      <c r="D675">
        <v>79</v>
      </c>
      <c r="E675" t="s">
        <v>1052</v>
      </c>
      <c r="F675" t="s">
        <v>5324</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4" customHeight="1">
      <c r="A676" t="s">
        <v>1884</v>
      </c>
      <c r="B676">
        <v>73</v>
      </c>
      <c r="C676" t="s">
        <v>29</v>
      </c>
      <c r="D676">
        <v>80</v>
      </c>
      <c r="E676" t="s">
        <v>1052</v>
      </c>
      <c r="F676" t="s">
        <v>5324</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4" customHeight="1">
      <c r="A677" t="s">
        <v>1884</v>
      </c>
      <c r="B677">
        <v>74</v>
      </c>
      <c r="C677" t="s">
        <v>29</v>
      </c>
      <c r="D677">
        <v>81</v>
      </c>
      <c r="E677" t="s">
        <v>1052</v>
      </c>
      <c r="F677" t="s">
        <v>5324</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4" customHeight="1">
      <c r="A678" t="s">
        <v>1884</v>
      </c>
      <c r="B678">
        <v>75</v>
      </c>
      <c r="C678" t="s">
        <v>29</v>
      </c>
      <c r="D678">
        <v>82</v>
      </c>
      <c r="E678" t="s">
        <v>1052</v>
      </c>
      <c r="F678" t="s">
        <v>5325</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4" customHeight="1">
      <c r="A679" t="s">
        <v>697</v>
      </c>
      <c r="B679">
        <v>1</v>
      </c>
      <c r="C679" t="s">
        <v>31</v>
      </c>
      <c r="D679">
        <v>8</v>
      </c>
      <c r="E679" t="s">
        <v>918</v>
      </c>
      <c r="F679" t="s">
        <v>5322</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4" customHeight="1">
      <c r="A680" t="s">
        <v>697</v>
      </c>
      <c r="B680">
        <v>2</v>
      </c>
      <c r="C680" t="s">
        <v>31</v>
      </c>
      <c r="D680">
        <v>9</v>
      </c>
      <c r="E680" t="s">
        <v>918</v>
      </c>
      <c r="F680" t="s">
        <v>5323</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4" customHeight="1">
      <c r="A681" t="s">
        <v>697</v>
      </c>
      <c r="B681">
        <v>3</v>
      </c>
      <c r="C681" t="s">
        <v>31</v>
      </c>
      <c r="D681">
        <v>10</v>
      </c>
      <c r="E681" t="s">
        <v>918</v>
      </c>
      <c r="F681" t="s">
        <v>5324</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4" customHeight="1">
      <c r="A682" t="s">
        <v>697</v>
      </c>
      <c r="B682">
        <v>4</v>
      </c>
      <c r="C682" t="s">
        <v>31</v>
      </c>
      <c r="D682">
        <v>11</v>
      </c>
      <c r="E682" t="s">
        <v>918</v>
      </c>
      <c r="F682" t="s">
        <v>5324</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4" customHeight="1">
      <c r="A683" t="s">
        <v>697</v>
      </c>
      <c r="B683">
        <v>5</v>
      </c>
      <c r="C683" t="s">
        <v>31</v>
      </c>
      <c r="D683">
        <v>12</v>
      </c>
      <c r="E683" t="s">
        <v>918</v>
      </c>
      <c r="F683" t="s">
        <v>5324</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4" customHeight="1">
      <c r="A684" t="s">
        <v>697</v>
      </c>
      <c r="B684">
        <v>6</v>
      </c>
      <c r="C684" t="s">
        <v>31</v>
      </c>
      <c r="D684">
        <v>13</v>
      </c>
      <c r="E684" t="s">
        <v>918</v>
      </c>
      <c r="F684" t="s">
        <v>5325</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4" customHeight="1">
      <c r="A685" t="s">
        <v>697</v>
      </c>
      <c r="B685">
        <v>7</v>
      </c>
      <c r="C685" t="s">
        <v>31</v>
      </c>
      <c r="D685">
        <v>14</v>
      </c>
      <c r="E685" t="s">
        <v>936</v>
      </c>
      <c r="F685" t="s">
        <v>5322</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4" customHeight="1">
      <c r="A686" t="s">
        <v>697</v>
      </c>
      <c r="B686">
        <v>8</v>
      </c>
      <c r="C686" t="s">
        <v>31</v>
      </c>
      <c r="D686">
        <v>15</v>
      </c>
      <c r="E686" t="s">
        <v>936</v>
      </c>
      <c r="F686" t="s">
        <v>5323</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4" customHeight="1">
      <c r="A687" t="s">
        <v>697</v>
      </c>
      <c r="B687">
        <v>9</v>
      </c>
      <c r="C687" t="s">
        <v>31</v>
      </c>
      <c r="D687">
        <v>16</v>
      </c>
      <c r="E687" t="s">
        <v>936</v>
      </c>
      <c r="F687" t="s">
        <v>5324</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4" customHeight="1">
      <c r="A688" t="s">
        <v>697</v>
      </c>
      <c r="B688">
        <v>10</v>
      </c>
      <c r="C688" t="s">
        <v>31</v>
      </c>
      <c r="D688">
        <v>17</v>
      </c>
      <c r="E688" t="s">
        <v>936</v>
      </c>
      <c r="F688" t="s">
        <v>5324</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4" customHeight="1">
      <c r="A689" t="s">
        <v>697</v>
      </c>
      <c r="B689">
        <v>11</v>
      </c>
      <c r="C689" t="s">
        <v>31</v>
      </c>
      <c r="D689">
        <v>18</v>
      </c>
      <c r="E689" t="s">
        <v>936</v>
      </c>
      <c r="F689" t="s">
        <v>5324</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4" customHeight="1">
      <c r="A690" t="s">
        <v>697</v>
      </c>
      <c r="B690">
        <v>12</v>
      </c>
      <c r="C690" t="s">
        <v>31</v>
      </c>
      <c r="D690">
        <v>19</v>
      </c>
      <c r="E690" t="s">
        <v>936</v>
      </c>
      <c r="F690" t="s">
        <v>5325</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4" customHeight="1">
      <c r="A691" t="s">
        <v>697</v>
      </c>
      <c r="B691">
        <v>13</v>
      </c>
      <c r="C691" t="s">
        <v>31</v>
      </c>
      <c r="D691">
        <v>20</v>
      </c>
      <c r="E691" t="s">
        <v>951</v>
      </c>
      <c r="F691" t="s">
        <v>5322</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4" customHeight="1">
      <c r="A692" t="s">
        <v>697</v>
      </c>
      <c r="B692">
        <v>14</v>
      </c>
      <c r="C692" t="s">
        <v>31</v>
      </c>
      <c r="D692">
        <v>21</v>
      </c>
      <c r="E692" t="s">
        <v>951</v>
      </c>
      <c r="F692" t="s">
        <v>5323</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4" customHeight="1">
      <c r="A693" t="s">
        <v>697</v>
      </c>
      <c r="B693">
        <v>15</v>
      </c>
      <c r="C693" t="s">
        <v>31</v>
      </c>
      <c r="D693">
        <v>22</v>
      </c>
      <c r="E693" t="s">
        <v>951</v>
      </c>
      <c r="F693" t="s">
        <v>5324</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4" customHeight="1">
      <c r="A694" t="s">
        <v>697</v>
      </c>
      <c r="B694">
        <v>16</v>
      </c>
      <c r="C694" t="s">
        <v>31</v>
      </c>
      <c r="D694">
        <v>23</v>
      </c>
      <c r="E694" t="s">
        <v>951</v>
      </c>
      <c r="F694" t="s">
        <v>5324</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4" customHeight="1">
      <c r="A695" t="s">
        <v>697</v>
      </c>
      <c r="B695">
        <v>17</v>
      </c>
      <c r="C695" t="s">
        <v>31</v>
      </c>
      <c r="D695">
        <v>24</v>
      </c>
      <c r="E695" t="s">
        <v>951</v>
      </c>
      <c r="F695" t="s">
        <v>5324</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4" customHeight="1">
      <c r="A696" t="s">
        <v>697</v>
      </c>
      <c r="B696">
        <v>18</v>
      </c>
      <c r="C696" t="s">
        <v>31</v>
      </c>
      <c r="D696">
        <v>25</v>
      </c>
      <c r="E696" t="s">
        <v>951</v>
      </c>
      <c r="F696" t="s">
        <v>5325</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4" customHeight="1">
      <c r="A697" t="s">
        <v>697</v>
      </c>
      <c r="B697">
        <v>19</v>
      </c>
      <c r="C697" t="s">
        <v>31</v>
      </c>
      <c r="D697">
        <v>26</v>
      </c>
      <c r="E697" t="s">
        <v>964</v>
      </c>
      <c r="F697" t="s">
        <v>5322</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4" customHeight="1">
      <c r="A698" t="s">
        <v>697</v>
      </c>
      <c r="B698">
        <v>20</v>
      </c>
      <c r="C698" t="s">
        <v>31</v>
      </c>
      <c r="D698">
        <v>27</v>
      </c>
      <c r="E698" t="s">
        <v>964</v>
      </c>
      <c r="F698" t="s">
        <v>5323</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4" customHeight="1">
      <c r="A699" t="s">
        <v>697</v>
      </c>
      <c r="B699">
        <v>21</v>
      </c>
      <c r="C699" t="s">
        <v>31</v>
      </c>
      <c r="D699">
        <v>28</v>
      </c>
      <c r="E699" t="s">
        <v>964</v>
      </c>
      <c r="F699" t="s">
        <v>5324</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4" customHeight="1">
      <c r="A700" t="s">
        <v>697</v>
      </c>
      <c r="B700">
        <v>22</v>
      </c>
      <c r="C700" t="s">
        <v>31</v>
      </c>
      <c r="D700">
        <v>29</v>
      </c>
      <c r="E700" t="s">
        <v>964</v>
      </c>
      <c r="F700" t="s">
        <v>5324</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4" customHeight="1">
      <c r="A701" t="s">
        <v>697</v>
      </c>
      <c r="B701">
        <v>23</v>
      </c>
      <c r="C701" t="s">
        <v>31</v>
      </c>
      <c r="D701">
        <v>30</v>
      </c>
      <c r="E701" t="s">
        <v>964</v>
      </c>
      <c r="F701" t="s">
        <v>5324</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4" customHeight="1">
      <c r="A702" t="s">
        <v>697</v>
      </c>
      <c r="B702">
        <v>24</v>
      </c>
      <c r="C702" t="s">
        <v>31</v>
      </c>
      <c r="D702">
        <v>31</v>
      </c>
      <c r="E702" t="s">
        <v>964</v>
      </c>
      <c r="F702" t="s">
        <v>5325</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4" customHeight="1">
      <c r="A703" t="s">
        <v>697</v>
      </c>
      <c r="B703">
        <v>25</v>
      </c>
      <c r="C703" t="s">
        <v>31</v>
      </c>
      <c r="D703">
        <v>32</v>
      </c>
      <c r="E703" t="s">
        <v>977</v>
      </c>
      <c r="F703" t="s">
        <v>5322</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4" customHeight="1">
      <c r="A704" t="s">
        <v>697</v>
      </c>
      <c r="B704">
        <v>26</v>
      </c>
      <c r="C704" t="s">
        <v>31</v>
      </c>
      <c r="D704">
        <v>33</v>
      </c>
      <c r="E704" t="s">
        <v>977</v>
      </c>
      <c r="F704" t="s">
        <v>5323</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4" customHeight="1">
      <c r="A705" t="s">
        <v>697</v>
      </c>
      <c r="B705">
        <v>27</v>
      </c>
      <c r="C705" t="s">
        <v>31</v>
      </c>
      <c r="D705">
        <v>34</v>
      </c>
      <c r="E705" t="s">
        <v>977</v>
      </c>
      <c r="F705" t="s">
        <v>5324</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4" customHeight="1">
      <c r="A706" t="s">
        <v>697</v>
      </c>
      <c r="B706">
        <v>28</v>
      </c>
      <c r="C706" t="s">
        <v>31</v>
      </c>
      <c r="D706">
        <v>35</v>
      </c>
      <c r="E706" t="s">
        <v>977</v>
      </c>
      <c r="F706" t="s">
        <v>5324</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4" customHeight="1">
      <c r="A707" t="s">
        <v>697</v>
      </c>
      <c r="B707">
        <v>29</v>
      </c>
      <c r="C707" t="s">
        <v>31</v>
      </c>
      <c r="D707">
        <v>36</v>
      </c>
      <c r="E707" t="s">
        <v>977</v>
      </c>
      <c r="F707" t="s">
        <v>5324</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4" customHeight="1">
      <c r="A708" t="s">
        <v>697</v>
      </c>
      <c r="B708">
        <v>30</v>
      </c>
      <c r="C708" t="s">
        <v>31</v>
      </c>
      <c r="D708">
        <v>37</v>
      </c>
      <c r="E708" t="s">
        <v>977</v>
      </c>
      <c r="F708" t="s">
        <v>5325</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4" customHeight="1">
      <c r="A709" t="s">
        <v>697</v>
      </c>
      <c r="B709">
        <v>31</v>
      </c>
      <c r="C709" t="s">
        <v>31</v>
      </c>
      <c r="D709">
        <v>38</v>
      </c>
      <c r="E709" t="s">
        <v>994</v>
      </c>
      <c r="F709" t="s">
        <v>5322</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4" customHeight="1">
      <c r="A710" t="s">
        <v>697</v>
      </c>
      <c r="B710">
        <v>32</v>
      </c>
      <c r="C710" t="s">
        <v>31</v>
      </c>
      <c r="D710">
        <v>39</v>
      </c>
      <c r="E710" t="s">
        <v>994</v>
      </c>
      <c r="F710" t="s">
        <v>5323</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4" customHeight="1">
      <c r="A711" t="s">
        <v>697</v>
      </c>
      <c r="B711">
        <v>33</v>
      </c>
      <c r="C711" t="s">
        <v>31</v>
      </c>
      <c r="D711">
        <v>40</v>
      </c>
      <c r="E711" t="s">
        <v>994</v>
      </c>
      <c r="F711" t="s">
        <v>5324</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4" customHeight="1">
      <c r="A712" t="s">
        <v>697</v>
      </c>
      <c r="B712">
        <v>34</v>
      </c>
      <c r="C712" t="s">
        <v>31</v>
      </c>
      <c r="D712">
        <v>41</v>
      </c>
      <c r="E712" t="s">
        <v>994</v>
      </c>
      <c r="F712" t="s">
        <v>5324</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4" customHeight="1">
      <c r="A713" t="s">
        <v>697</v>
      </c>
      <c r="B713">
        <v>35</v>
      </c>
      <c r="C713" t="s">
        <v>31</v>
      </c>
      <c r="D713">
        <v>42</v>
      </c>
      <c r="E713" t="s">
        <v>994</v>
      </c>
      <c r="F713" t="s">
        <v>5324</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4" customHeight="1">
      <c r="A714" t="s">
        <v>697</v>
      </c>
      <c r="B714">
        <v>36</v>
      </c>
      <c r="C714" t="s">
        <v>31</v>
      </c>
      <c r="D714">
        <v>43</v>
      </c>
      <c r="E714" t="s">
        <v>994</v>
      </c>
      <c r="F714" t="s">
        <v>5325</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4" customHeight="1">
      <c r="A715" t="s">
        <v>697</v>
      </c>
      <c r="B715">
        <v>37</v>
      </c>
      <c r="C715" t="s">
        <v>31</v>
      </c>
      <c r="D715">
        <v>44</v>
      </c>
      <c r="E715" t="s">
        <v>1007</v>
      </c>
      <c r="F715" t="s">
        <v>5322</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4" customHeight="1">
      <c r="A716" t="s">
        <v>697</v>
      </c>
      <c r="B716">
        <v>38</v>
      </c>
      <c r="C716" t="s">
        <v>31</v>
      </c>
      <c r="D716">
        <v>45</v>
      </c>
      <c r="E716" t="s">
        <v>1007</v>
      </c>
      <c r="F716" t="s">
        <v>5323</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4" customHeight="1">
      <c r="A717" t="s">
        <v>697</v>
      </c>
      <c r="B717">
        <v>39</v>
      </c>
      <c r="C717" t="s">
        <v>31</v>
      </c>
      <c r="D717">
        <v>46</v>
      </c>
      <c r="E717" t="s">
        <v>1007</v>
      </c>
      <c r="F717" t="s">
        <v>5324</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4" customHeight="1">
      <c r="A718" t="s">
        <v>697</v>
      </c>
      <c r="B718">
        <v>40</v>
      </c>
      <c r="C718" t="s">
        <v>31</v>
      </c>
      <c r="D718">
        <v>47</v>
      </c>
      <c r="E718" t="s">
        <v>1007</v>
      </c>
      <c r="F718" t="s">
        <v>5324</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4" customHeight="1">
      <c r="A719" t="s">
        <v>697</v>
      </c>
      <c r="B719">
        <v>41</v>
      </c>
      <c r="C719" t="s">
        <v>31</v>
      </c>
      <c r="D719">
        <v>48</v>
      </c>
      <c r="E719" t="s">
        <v>1007</v>
      </c>
      <c r="F719" t="s">
        <v>5324</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4" customHeight="1">
      <c r="A720" t="s">
        <v>697</v>
      </c>
      <c r="B720">
        <v>42</v>
      </c>
      <c r="C720" t="s">
        <v>31</v>
      </c>
      <c r="D720">
        <v>49</v>
      </c>
      <c r="E720" t="s">
        <v>1007</v>
      </c>
      <c r="F720" t="s">
        <v>5325</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4" customHeight="1">
      <c r="A721" t="s">
        <v>697</v>
      </c>
      <c r="B721">
        <v>43</v>
      </c>
      <c r="C721" t="s">
        <v>31</v>
      </c>
      <c r="D721">
        <v>50</v>
      </c>
      <c r="E721" t="s">
        <v>1019</v>
      </c>
      <c r="F721" t="s">
        <v>5322</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4" customHeight="1">
      <c r="A722" t="s">
        <v>697</v>
      </c>
      <c r="B722">
        <v>44</v>
      </c>
      <c r="C722" t="s">
        <v>31</v>
      </c>
      <c r="D722">
        <v>51</v>
      </c>
      <c r="E722" t="s">
        <v>1019</v>
      </c>
      <c r="F722" t="s">
        <v>5323</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4" customHeight="1">
      <c r="A723" t="s">
        <v>697</v>
      </c>
      <c r="B723">
        <v>45</v>
      </c>
      <c r="C723" t="s">
        <v>31</v>
      </c>
      <c r="D723">
        <v>52</v>
      </c>
      <c r="E723" t="s">
        <v>1019</v>
      </c>
      <c r="F723" t="s">
        <v>5324</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4" customHeight="1">
      <c r="A724" t="s">
        <v>697</v>
      </c>
      <c r="B724">
        <v>46</v>
      </c>
      <c r="C724" t="s">
        <v>31</v>
      </c>
      <c r="D724">
        <v>53</v>
      </c>
      <c r="E724" t="s">
        <v>1019</v>
      </c>
      <c r="F724" t="s">
        <v>5324</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4" customHeight="1">
      <c r="A725" t="s">
        <v>697</v>
      </c>
      <c r="B725">
        <v>47</v>
      </c>
      <c r="C725" t="s">
        <v>31</v>
      </c>
      <c r="D725">
        <v>54</v>
      </c>
      <c r="E725" t="s">
        <v>1019</v>
      </c>
      <c r="F725" t="s">
        <v>5324</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4" customHeight="1">
      <c r="A726" t="s">
        <v>697</v>
      </c>
      <c r="B726">
        <v>48</v>
      </c>
      <c r="C726" t="s">
        <v>31</v>
      </c>
      <c r="D726">
        <v>55</v>
      </c>
      <c r="E726" t="s">
        <v>1019</v>
      </c>
      <c r="F726" t="s">
        <v>5324</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4" customHeight="1">
      <c r="A727" t="s">
        <v>697</v>
      </c>
      <c r="B727">
        <v>49</v>
      </c>
      <c r="C727" t="s">
        <v>31</v>
      </c>
      <c r="D727">
        <v>56</v>
      </c>
      <c r="E727" t="s">
        <v>1019</v>
      </c>
      <c r="F727" t="s">
        <v>5324</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4" customHeight="1">
      <c r="A728" t="s">
        <v>697</v>
      </c>
      <c r="B728">
        <v>50</v>
      </c>
      <c r="C728" t="s">
        <v>31</v>
      </c>
      <c r="D728">
        <v>57</v>
      </c>
      <c r="E728" t="s">
        <v>1019</v>
      </c>
      <c r="F728" t="s">
        <v>5324</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4" customHeight="1">
      <c r="A729" t="s">
        <v>697</v>
      </c>
      <c r="B729">
        <v>51</v>
      </c>
      <c r="C729" t="s">
        <v>31</v>
      </c>
      <c r="D729">
        <v>58</v>
      </c>
      <c r="E729" t="s">
        <v>1019</v>
      </c>
      <c r="F729" t="s">
        <v>5324</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4" customHeight="1">
      <c r="A730" t="s">
        <v>697</v>
      </c>
      <c r="B730">
        <v>52</v>
      </c>
      <c r="C730" t="s">
        <v>31</v>
      </c>
      <c r="D730">
        <v>59</v>
      </c>
      <c r="E730" t="s">
        <v>1019</v>
      </c>
      <c r="F730" t="s">
        <v>5324</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4" customHeight="1">
      <c r="A731" t="s">
        <v>697</v>
      </c>
      <c r="B731">
        <v>53</v>
      </c>
      <c r="C731" t="s">
        <v>31</v>
      </c>
      <c r="D731">
        <v>60</v>
      </c>
      <c r="E731" t="s">
        <v>1019</v>
      </c>
      <c r="F731" t="s">
        <v>5325</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4" customHeight="1">
      <c r="A732" t="s">
        <v>697</v>
      </c>
      <c r="B732">
        <v>54</v>
      </c>
      <c r="C732" t="s">
        <v>31</v>
      </c>
      <c r="D732">
        <v>61</v>
      </c>
      <c r="E732" t="s">
        <v>1051</v>
      </c>
      <c r="F732" t="s">
        <v>5322</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4" customHeight="1">
      <c r="A733" t="s">
        <v>697</v>
      </c>
      <c r="B733">
        <v>55</v>
      </c>
      <c r="C733" t="s">
        <v>31</v>
      </c>
      <c r="D733">
        <v>62</v>
      </c>
      <c r="E733" t="s">
        <v>1051</v>
      </c>
      <c r="F733" t="s">
        <v>5323</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4" customHeight="1">
      <c r="A734" t="s">
        <v>697</v>
      </c>
      <c r="B734">
        <v>56</v>
      </c>
      <c r="C734" t="s">
        <v>31</v>
      </c>
      <c r="D734">
        <v>63</v>
      </c>
      <c r="E734" t="s">
        <v>1051</v>
      </c>
      <c r="F734" t="s">
        <v>5324</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4" customHeight="1">
      <c r="A735" t="s">
        <v>697</v>
      </c>
      <c r="B735">
        <v>57</v>
      </c>
      <c r="C735" t="s">
        <v>31</v>
      </c>
      <c r="D735">
        <v>64</v>
      </c>
      <c r="E735" t="s">
        <v>1051</v>
      </c>
      <c r="F735" t="s">
        <v>5324</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4" customHeight="1">
      <c r="A736" t="s">
        <v>697</v>
      </c>
      <c r="B736">
        <v>58</v>
      </c>
      <c r="C736" t="s">
        <v>31</v>
      </c>
      <c r="D736">
        <v>65</v>
      </c>
      <c r="E736" t="s">
        <v>1051</v>
      </c>
      <c r="F736" t="s">
        <v>5324</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4" customHeight="1">
      <c r="A737" t="s">
        <v>697</v>
      </c>
      <c r="B737">
        <v>59</v>
      </c>
      <c r="C737" t="s">
        <v>31</v>
      </c>
      <c r="D737">
        <v>66</v>
      </c>
      <c r="E737" t="s">
        <v>1051</v>
      </c>
      <c r="F737" t="s">
        <v>5324</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4" customHeight="1">
      <c r="A738" t="s">
        <v>697</v>
      </c>
      <c r="B738">
        <v>60</v>
      </c>
      <c r="C738" t="s">
        <v>31</v>
      </c>
      <c r="D738">
        <v>67</v>
      </c>
      <c r="E738" t="s">
        <v>1051</v>
      </c>
      <c r="F738" t="s">
        <v>5324</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4" customHeight="1">
      <c r="A739" t="s">
        <v>697</v>
      </c>
      <c r="B739">
        <v>61</v>
      </c>
      <c r="C739" t="s">
        <v>31</v>
      </c>
      <c r="D739">
        <v>68</v>
      </c>
      <c r="E739" t="s">
        <v>1051</v>
      </c>
      <c r="F739" t="s">
        <v>5324</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4" customHeight="1">
      <c r="A740" t="s">
        <v>697</v>
      </c>
      <c r="B740">
        <v>62</v>
      </c>
      <c r="C740" t="s">
        <v>31</v>
      </c>
      <c r="D740">
        <v>69</v>
      </c>
      <c r="E740" t="s">
        <v>1051</v>
      </c>
      <c r="F740" t="s">
        <v>5324</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4" customHeight="1">
      <c r="A741" t="s">
        <v>697</v>
      </c>
      <c r="B741">
        <v>63</v>
      </c>
      <c r="C741" t="s">
        <v>31</v>
      </c>
      <c r="D741">
        <v>70</v>
      </c>
      <c r="E741" t="s">
        <v>1051</v>
      </c>
      <c r="F741" t="s">
        <v>5324</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4" customHeight="1">
      <c r="A742" t="s">
        <v>697</v>
      </c>
      <c r="B742">
        <v>64</v>
      </c>
      <c r="C742" t="s">
        <v>31</v>
      </c>
      <c r="D742">
        <v>71</v>
      </c>
      <c r="E742" t="s">
        <v>1051</v>
      </c>
      <c r="F742" t="s">
        <v>5325</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4" customHeight="1">
      <c r="A743" t="s">
        <v>697</v>
      </c>
      <c r="B743">
        <v>65</v>
      </c>
      <c r="C743" t="s">
        <v>31</v>
      </c>
      <c r="D743">
        <v>72</v>
      </c>
      <c r="E743" t="s">
        <v>1052</v>
      </c>
      <c r="F743" t="s">
        <v>5322</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4" customHeight="1">
      <c r="A744" t="s">
        <v>697</v>
      </c>
      <c r="B744">
        <v>66</v>
      </c>
      <c r="C744" t="s">
        <v>31</v>
      </c>
      <c r="D744">
        <v>73</v>
      </c>
      <c r="E744" t="s">
        <v>1052</v>
      </c>
      <c r="F744" t="s">
        <v>5323</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4" customHeight="1">
      <c r="A745" t="s">
        <v>697</v>
      </c>
      <c r="B745">
        <v>67</v>
      </c>
      <c r="C745" t="s">
        <v>31</v>
      </c>
      <c r="D745">
        <v>74</v>
      </c>
      <c r="E745" t="s">
        <v>1052</v>
      </c>
      <c r="F745" t="s">
        <v>5324</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4" customHeight="1">
      <c r="A746" t="s">
        <v>697</v>
      </c>
      <c r="B746">
        <v>68</v>
      </c>
      <c r="C746" t="s">
        <v>31</v>
      </c>
      <c r="D746">
        <v>75</v>
      </c>
      <c r="E746" t="s">
        <v>1052</v>
      </c>
      <c r="F746" t="s">
        <v>5324</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4" customHeight="1">
      <c r="A747" t="s">
        <v>697</v>
      </c>
      <c r="B747">
        <v>69</v>
      </c>
      <c r="C747" t="s">
        <v>31</v>
      </c>
      <c r="D747">
        <v>76</v>
      </c>
      <c r="E747" t="s">
        <v>1052</v>
      </c>
      <c r="F747" t="s">
        <v>5324</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4" customHeight="1">
      <c r="A748" t="s">
        <v>697</v>
      </c>
      <c r="B748">
        <v>70</v>
      </c>
      <c r="C748" t="s">
        <v>31</v>
      </c>
      <c r="D748">
        <v>77</v>
      </c>
      <c r="E748" t="s">
        <v>1052</v>
      </c>
      <c r="F748" t="s">
        <v>5324</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4" customHeight="1">
      <c r="A749" t="s">
        <v>697</v>
      </c>
      <c r="B749">
        <v>71</v>
      </c>
      <c r="C749" t="s">
        <v>31</v>
      </c>
      <c r="D749">
        <v>78</v>
      </c>
      <c r="E749" t="s">
        <v>1052</v>
      </c>
      <c r="F749" t="s">
        <v>5324</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4" customHeight="1">
      <c r="A750" t="s">
        <v>697</v>
      </c>
      <c r="B750">
        <v>72</v>
      </c>
      <c r="C750" t="s">
        <v>31</v>
      </c>
      <c r="D750">
        <v>79</v>
      </c>
      <c r="E750" t="s">
        <v>1052</v>
      </c>
      <c r="F750" t="s">
        <v>5324</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4" customHeight="1">
      <c r="A751" t="s">
        <v>697</v>
      </c>
      <c r="B751">
        <v>73</v>
      </c>
      <c r="C751" t="s">
        <v>31</v>
      </c>
      <c r="D751">
        <v>80</v>
      </c>
      <c r="E751" t="s">
        <v>1052</v>
      </c>
      <c r="F751" t="s">
        <v>5324</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4" customHeight="1">
      <c r="A752" t="s">
        <v>697</v>
      </c>
      <c r="B752">
        <v>74</v>
      </c>
      <c r="C752" t="s">
        <v>31</v>
      </c>
      <c r="D752">
        <v>81</v>
      </c>
      <c r="E752" t="s">
        <v>1052</v>
      </c>
      <c r="F752" t="s">
        <v>5324</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4" customHeight="1">
      <c r="A753" t="s">
        <v>697</v>
      </c>
      <c r="B753">
        <v>75</v>
      </c>
      <c r="C753" t="s">
        <v>31</v>
      </c>
      <c r="D753">
        <v>82</v>
      </c>
      <c r="E753" t="s">
        <v>1052</v>
      </c>
      <c r="F753" t="s">
        <v>5325</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4" customHeight="1">
      <c r="A754" t="s">
        <v>2096</v>
      </c>
      <c r="B754">
        <v>1</v>
      </c>
      <c r="C754" t="s">
        <v>33</v>
      </c>
      <c r="D754">
        <v>8</v>
      </c>
      <c r="E754" t="s">
        <v>918</v>
      </c>
      <c r="F754" t="s">
        <v>5322</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4" customHeight="1">
      <c r="A755" t="s">
        <v>2096</v>
      </c>
      <c r="B755">
        <v>2</v>
      </c>
      <c r="C755" t="s">
        <v>33</v>
      </c>
      <c r="D755">
        <v>9</v>
      </c>
      <c r="E755" t="s">
        <v>918</v>
      </c>
      <c r="F755" t="s">
        <v>5323</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4" customHeight="1">
      <c r="A756" t="s">
        <v>2096</v>
      </c>
      <c r="B756">
        <v>3</v>
      </c>
      <c r="C756" t="s">
        <v>33</v>
      </c>
      <c r="D756">
        <v>10</v>
      </c>
      <c r="E756" t="s">
        <v>918</v>
      </c>
      <c r="F756" t="s">
        <v>5324</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4" customHeight="1">
      <c r="A757" t="s">
        <v>2096</v>
      </c>
      <c r="B757">
        <v>4</v>
      </c>
      <c r="C757" t="s">
        <v>33</v>
      </c>
      <c r="D757">
        <v>11</v>
      </c>
      <c r="E757" t="s">
        <v>918</v>
      </c>
      <c r="F757" t="s">
        <v>5324</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4" customHeight="1">
      <c r="A758" t="s">
        <v>2096</v>
      </c>
      <c r="B758">
        <v>5</v>
      </c>
      <c r="C758" t="s">
        <v>33</v>
      </c>
      <c r="D758">
        <v>12</v>
      </c>
      <c r="E758" t="s">
        <v>918</v>
      </c>
      <c r="F758" t="s">
        <v>5325</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4" customHeight="1">
      <c r="A759" t="s">
        <v>2096</v>
      </c>
      <c r="B759">
        <v>6</v>
      </c>
      <c r="C759" t="s">
        <v>33</v>
      </c>
      <c r="D759">
        <v>13</v>
      </c>
      <c r="E759" t="s">
        <v>936</v>
      </c>
      <c r="F759" t="s">
        <v>5322</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4" customHeight="1">
      <c r="A760" t="s">
        <v>2096</v>
      </c>
      <c r="B760">
        <v>7</v>
      </c>
      <c r="C760" t="s">
        <v>33</v>
      </c>
      <c r="D760">
        <v>14</v>
      </c>
      <c r="E760" t="s">
        <v>936</v>
      </c>
      <c r="F760" t="s">
        <v>5323</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4" customHeight="1">
      <c r="A761" t="s">
        <v>2096</v>
      </c>
      <c r="B761">
        <v>8</v>
      </c>
      <c r="C761" t="s">
        <v>33</v>
      </c>
      <c r="D761">
        <v>15</v>
      </c>
      <c r="E761" t="s">
        <v>936</v>
      </c>
      <c r="F761" t="s">
        <v>5324</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4" customHeight="1">
      <c r="A762" t="s">
        <v>2096</v>
      </c>
      <c r="B762">
        <v>9</v>
      </c>
      <c r="C762" t="s">
        <v>33</v>
      </c>
      <c r="D762">
        <v>16</v>
      </c>
      <c r="E762" t="s">
        <v>936</v>
      </c>
      <c r="F762" t="s">
        <v>5324</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4" customHeight="1">
      <c r="A763" t="s">
        <v>2096</v>
      </c>
      <c r="B763">
        <v>10</v>
      </c>
      <c r="C763" t="s">
        <v>33</v>
      </c>
      <c r="D763">
        <v>17</v>
      </c>
      <c r="E763" t="s">
        <v>936</v>
      </c>
      <c r="F763" t="s">
        <v>5325</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4" customHeight="1">
      <c r="A764" t="s">
        <v>2096</v>
      </c>
      <c r="B764">
        <v>11</v>
      </c>
      <c r="C764" t="s">
        <v>33</v>
      </c>
      <c r="D764">
        <v>18</v>
      </c>
      <c r="E764" t="s">
        <v>951</v>
      </c>
      <c r="F764" t="s">
        <v>5322</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4" customHeight="1">
      <c r="A765" t="s">
        <v>2096</v>
      </c>
      <c r="B765">
        <v>12</v>
      </c>
      <c r="C765" t="s">
        <v>33</v>
      </c>
      <c r="D765">
        <v>19</v>
      </c>
      <c r="E765" t="s">
        <v>951</v>
      </c>
      <c r="F765" t="s">
        <v>5323</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4" customHeight="1">
      <c r="A766" t="s">
        <v>2096</v>
      </c>
      <c r="B766">
        <v>13</v>
      </c>
      <c r="C766" t="s">
        <v>33</v>
      </c>
      <c r="D766">
        <v>20</v>
      </c>
      <c r="E766" t="s">
        <v>951</v>
      </c>
      <c r="F766" t="s">
        <v>5324</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4" customHeight="1">
      <c r="A767" t="s">
        <v>2096</v>
      </c>
      <c r="B767">
        <v>14</v>
      </c>
      <c r="C767" t="s">
        <v>33</v>
      </c>
      <c r="D767">
        <v>21</v>
      </c>
      <c r="E767" t="s">
        <v>951</v>
      </c>
      <c r="F767" t="s">
        <v>5324</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4" customHeight="1">
      <c r="A768" t="s">
        <v>2096</v>
      </c>
      <c r="B768">
        <v>15</v>
      </c>
      <c r="C768" t="s">
        <v>33</v>
      </c>
      <c r="D768">
        <v>22</v>
      </c>
      <c r="E768" t="s">
        <v>951</v>
      </c>
      <c r="F768" t="s">
        <v>5325</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4" customHeight="1">
      <c r="A769" t="s">
        <v>2096</v>
      </c>
      <c r="B769">
        <v>16</v>
      </c>
      <c r="C769" t="s">
        <v>33</v>
      </c>
      <c r="D769">
        <v>23</v>
      </c>
      <c r="E769" t="s">
        <v>964</v>
      </c>
      <c r="F769" t="s">
        <v>5322</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4" customHeight="1">
      <c r="A770" t="s">
        <v>2096</v>
      </c>
      <c r="B770">
        <v>17</v>
      </c>
      <c r="C770" t="s">
        <v>33</v>
      </c>
      <c r="D770">
        <v>24</v>
      </c>
      <c r="E770" t="s">
        <v>964</v>
      </c>
      <c r="F770" t="s">
        <v>5323</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4" customHeight="1">
      <c r="A771" t="s">
        <v>2096</v>
      </c>
      <c r="B771">
        <v>18</v>
      </c>
      <c r="C771" t="s">
        <v>33</v>
      </c>
      <c r="D771">
        <v>25</v>
      </c>
      <c r="E771" t="s">
        <v>964</v>
      </c>
      <c r="F771" t="s">
        <v>5324</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4" customHeight="1">
      <c r="A772" t="s">
        <v>2096</v>
      </c>
      <c r="B772">
        <v>19</v>
      </c>
      <c r="C772" t="s">
        <v>33</v>
      </c>
      <c r="D772">
        <v>26</v>
      </c>
      <c r="E772" t="s">
        <v>964</v>
      </c>
      <c r="F772" t="s">
        <v>5324</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4" customHeight="1">
      <c r="A773" t="s">
        <v>2096</v>
      </c>
      <c r="B773">
        <v>20</v>
      </c>
      <c r="C773" t="s">
        <v>33</v>
      </c>
      <c r="D773">
        <v>27</v>
      </c>
      <c r="E773" t="s">
        <v>964</v>
      </c>
      <c r="F773" t="s">
        <v>5325</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4" customHeight="1">
      <c r="A774" t="s">
        <v>2096</v>
      </c>
      <c r="B774">
        <v>21</v>
      </c>
      <c r="C774" t="s">
        <v>33</v>
      </c>
      <c r="D774">
        <v>28</v>
      </c>
      <c r="E774" t="s">
        <v>977</v>
      </c>
      <c r="F774" t="s">
        <v>5322</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4" customHeight="1">
      <c r="A775" t="s">
        <v>2096</v>
      </c>
      <c r="B775">
        <v>22</v>
      </c>
      <c r="C775" t="s">
        <v>33</v>
      </c>
      <c r="D775">
        <v>29</v>
      </c>
      <c r="E775" t="s">
        <v>977</v>
      </c>
      <c r="F775" t="s">
        <v>5323</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4" customHeight="1">
      <c r="A776" t="s">
        <v>2096</v>
      </c>
      <c r="B776">
        <v>23</v>
      </c>
      <c r="C776" t="s">
        <v>33</v>
      </c>
      <c r="D776">
        <v>30</v>
      </c>
      <c r="E776" t="s">
        <v>977</v>
      </c>
      <c r="F776" t="s">
        <v>5324</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4" customHeight="1">
      <c r="A777" t="s">
        <v>2096</v>
      </c>
      <c r="B777">
        <v>24</v>
      </c>
      <c r="C777" t="s">
        <v>33</v>
      </c>
      <c r="D777">
        <v>31</v>
      </c>
      <c r="E777" t="s">
        <v>977</v>
      </c>
      <c r="F777" t="s">
        <v>5324</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4" customHeight="1">
      <c r="A778" t="s">
        <v>2096</v>
      </c>
      <c r="B778">
        <v>25</v>
      </c>
      <c r="C778" t="s">
        <v>33</v>
      </c>
      <c r="D778">
        <v>32</v>
      </c>
      <c r="E778" t="s">
        <v>977</v>
      </c>
      <c r="F778" t="s">
        <v>5325</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4" customHeight="1">
      <c r="A779" t="s">
        <v>2096</v>
      </c>
      <c r="B779">
        <v>26</v>
      </c>
      <c r="C779" t="s">
        <v>33</v>
      </c>
      <c r="D779">
        <v>33</v>
      </c>
      <c r="E779" t="s">
        <v>994</v>
      </c>
      <c r="F779" t="s">
        <v>5322</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4" customHeight="1">
      <c r="A780" t="s">
        <v>2096</v>
      </c>
      <c r="B780">
        <v>27</v>
      </c>
      <c r="C780" t="s">
        <v>33</v>
      </c>
      <c r="D780">
        <v>34</v>
      </c>
      <c r="E780" t="s">
        <v>994</v>
      </c>
      <c r="F780" t="s">
        <v>5323</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4" customHeight="1">
      <c r="A781" t="s">
        <v>2096</v>
      </c>
      <c r="B781">
        <v>28</v>
      </c>
      <c r="C781" t="s">
        <v>33</v>
      </c>
      <c r="D781">
        <v>35</v>
      </c>
      <c r="E781" t="s">
        <v>994</v>
      </c>
      <c r="F781" t="s">
        <v>5324</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4" customHeight="1">
      <c r="A782" t="s">
        <v>2096</v>
      </c>
      <c r="B782">
        <v>29</v>
      </c>
      <c r="C782" t="s">
        <v>33</v>
      </c>
      <c r="D782">
        <v>36</v>
      </c>
      <c r="E782" t="s">
        <v>994</v>
      </c>
      <c r="F782" t="s">
        <v>5324</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4" customHeight="1">
      <c r="A783" t="s">
        <v>2096</v>
      </c>
      <c r="B783">
        <v>30</v>
      </c>
      <c r="C783" t="s">
        <v>33</v>
      </c>
      <c r="D783">
        <v>37</v>
      </c>
      <c r="E783" t="s">
        <v>994</v>
      </c>
      <c r="F783" t="s">
        <v>5325</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4" customHeight="1">
      <c r="A784" t="s">
        <v>2096</v>
      </c>
      <c r="B784">
        <v>31</v>
      </c>
      <c r="C784" t="s">
        <v>33</v>
      </c>
      <c r="D784">
        <v>38</v>
      </c>
      <c r="E784" t="s">
        <v>1007</v>
      </c>
      <c r="F784" t="s">
        <v>5322</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4" customHeight="1">
      <c r="A785" t="s">
        <v>2096</v>
      </c>
      <c r="B785">
        <v>32</v>
      </c>
      <c r="C785" t="s">
        <v>33</v>
      </c>
      <c r="D785">
        <v>39</v>
      </c>
      <c r="E785" t="s">
        <v>1007</v>
      </c>
      <c r="F785" t="s">
        <v>5323</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4" customHeight="1">
      <c r="A786" t="s">
        <v>2096</v>
      </c>
      <c r="B786">
        <v>33</v>
      </c>
      <c r="C786" t="s">
        <v>33</v>
      </c>
      <c r="D786">
        <v>40</v>
      </c>
      <c r="E786" t="s">
        <v>1007</v>
      </c>
      <c r="F786" t="s">
        <v>5324</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4" customHeight="1">
      <c r="A787" t="s">
        <v>2096</v>
      </c>
      <c r="B787">
        <v>34</v>
      </c>
      <c r="C787" t="s">
        <v>33</v>
      </c>
      <c r="D787">
        <v>41</v>
      </c>
      <c r="E787" t="s">
        <v>1007</v>
      </c>
      <c r="F787" t="s">
        <v>5324</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4" customHeight="1">
      <c r="A788" t="s">
        <v>2096</v>
      </c>
      <c r="B788">
        <v>35</v>
      </c>
      <c r="C788" t="s">
        <v>33</v>
      </c>
      <c r="D788">
        <v>42</v>
      </c>
      <c r="E788" t="s">
        <v>1007</v>
      </c>
      <c r="F788" t="s">
        <v>5325</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4" customHeight="1">
      <c r="A789" t="s">
        <v>2096</v>
      </c>
      <c r="B789">
        <v>36</v>
      </c>
      <c r="C789" t="s">
        <v>33</v>
      </c>
      <c r="D789">
        <v>43</v>
      </c>
      <c r="E789" t="s">
        <v>1019</v>
      </c>
      <c r="F789" t="s">
        <v>5322</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4" customHeight="1">
      <c r="A790" t="s">
        <v>2096</v>
      </c>
      <c r="B790">
        <v>37</v>
      </c>
      <c r="C790" t="s">
        <v>33</v>
      </c>
      <c r="D790">
        <v>44</v>
      </c>
      <c r="E790" t="s">
        <v>1019</v>
      </c>
      <c r="F790" t="s">
        <v>5323</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4" customHeight="1">
      <c r="A791" t="s">
        <v>2096</v>
      </c>
      <c r="B791">
        <v>38</v>
      </c>
      <c r="C791" t="s">
        <v>33</v>
      </c>
      <c r="D791">
        <v>45</v>
      </c>
      <c r="E791" t="s">
        <v>1019</v>
      </c>
      <c r="F791" t="s">
        <v>5324</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4" customHeight="1">
      <c r="A792" t="s">
        <v>2096</v>
      </c>
      <c r="B792">
        <v>39</v>
      </c>
      <c r="C792" t="s">
        <v>33</v>
      </c>
      <c r="D792">
        <v>46</v>
      </c>
      <c r="E792" t="s">
        <v>1019</v>
      </c>
      <c r="F792" t="s">
        <v>5324</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4" customHeight="1">
      <c r="A793" t="s">
        <v>2096</v>
      </c>
      <c r="B793">
        <v>40</v>
      </c>
      <c r="C793" t="s">
        <v>33</v>
      </c>
      <c r="D793">
        <v>47</v>
      </c>
      <c r="E793" t="s">
        <v>1019</v>
      </c>
      <c r="F793" t="s">
        <v>5324</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4" customHeight="1">
      <c r="A794" t="s">
        <v>2096</v>
      </c>
      <c r="B794">
        <v>41</v>
      </c>
      <c r="C794" t="s">
        <v>33</v>
      </c>
      <c r="D794">
        <v>48</v>
      </c>
      <c r="E794" t="s">
        <v>1019</v>
      </c>
      <c r="F794" t="s">
        <v>5324</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4" customHeight="1">
      <c r="A795" t="s">
        <v>2096</v>
      </c>
      <c r="B795">
        <v>42</v>
      </c>
      <c r="C795" t="s">
        <v>33</v>
      </c>
      <c r="D795">
        <v>49</v>
      </c>
      <c r="E795" t="s">
        <v>1019</v>
      </c>
      <c r="F795" t="s">
        <v>5324</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4" customHeight="1">
      <c r="A796" t="s">
        <v>2096</v>
      </c>
      <c r="B796">
        <v>43</v>
      </c>
      <c r="C796" t="s">
        <v>33</v>
      </c>
      <c r="D796">
        <v>50</v>
      </c>
      <c r="E796" t="s">
        <v>1019</v>
      </c>
      <c r="F796" t="s">
        <v>5324</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4" customHeight="1">
      <c r="A797" t="s">
        <v>2096</v>
      </c>
      <c r="B797">
        <v>44</v>
      </c>
      <c r="C797" t="s">
        <v>33</v>
      </c>
      <c r="D797">
        <v>51</v>
      </c>
      <c r="E797" t="s">
        <v>1019</v>
      </c>
      <c r="F797" t="s">
        <v>5325</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4" customHeight="1">
      <c r="A798" t="s">
        <v>2096</v>
      </c>
      <c r="B798">
        <v>45</v>
      </c>
      <c r="C798" t="s">
        <v>33</v>
      </c>
      <c r="D798">
        <v>52</v>
      </c>
      <c r="E798" t="s">
        <v>1051</v>
      </c>
      <c r="F798" t="s">
        <v>5322</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4" customHeight="1">
      <c r="A799" t="s">
        <v>2096</v>
      </c>
      <c r="B799">
        <v>46</v>
      </c>
      <c r="C799" t="s">
        <v>33</v>
      </c>
      <c r="D799">
        <v>53</v>
      </c>
      <c r="E799" t="s">
        <v>1051</v>
      </c>
      <c r="F799" t="s">
        <v>5323</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4" customHeight="1">
      <c r="A800" t="s">
        <v>2096</v>
      </c>
      <c r="B800">
        <v>47</v>
      </c>
      <c r="C800" t="s">
        <v>33</v>
      </c>
      <c r="D800">
        <v>54</v>
      </c>
      <c r="E800" t="s">
        <v>1051</v>
      </c>
      <c r="F800" t="s">
        <v>5324</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4" customHeight="1">
      <c r="A801" t="s">
        <v>2096</v>
      </c>
      <c r="B801">
        <v>48</v>
      </c>
      <c r="C801" t="s">
        <v>33</v>
      </c>
      <c r="D801">
        <v>55</v>
      </c>
      <c r="E801" t="s">
        <v>1051</v>
      </c>
      <c r="F801" t="s">
        <v>5324</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4" customHeight="1">
      <c r="A802" t="s">
        <v>2096</v>
      </c>
      <c r="B802">
        <v>49</v>
      </c>
      <c r="C802" t="s">
        <v>33</v>
      </c>
      <c r="D802">
        <v>56</v>
      </c>
      <c r="E802" t="s">
        <v>1051</v>
      </c>
      <c r="F802" t="s">
        <v>5324</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4" customHeight="1">
      <c r="A803" t="s">
        <v>2096</v>
      </c>
      <c r="B803">
        <v>50</v>
      </c>
      <c r="C803" t="s">
        <v>33</v>
      </c>
      <c r="D803">
        <v>57</v>
      </c>
      <c r="E803" t="s">
        <v>1051</v>
      </c>
      <c r="F803" t="s">
        <v>5324</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4" customHeight="1">
      <c r="A804" t="s">
        <v>2096</v>
      </c>
      <c r="B804">
        <v>51</v>
      </c>
      <c r="C804" t="s">
        <v>33</v>
      </c>
      <c r="D804">
        <v>58</v>
      </c>
      <c r="E804" t="s">
        <v>1051</v>
      </c>
      <c r="F804" t="s">
        <v>5324</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4" customHeight="1">
      <c r="A805" t="s">
        <v>2096</v>
      </c>
      <c r="B805">
        <v>52</v>
      </c>
      <c r="C805" t="s">
        <v>33</v>
      </c>
      <c r="D805">
        <v>59</v>
      </c>
      <c r="E805" t="s">
        <v>1051</v>
      </c>
      <c r="F805" t="s">
        <v>5324</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4" customHeight="1">
      <c r="A806" t="s">
        <v>2096</v>
      </c>
      <c r="B806">
        <v>53</v>
      </c>
      <c r="C806" t="s">
        <v>33</v>
      </c>
      <c r="D806">
        <v>60</v>
      </c>
      <c r="E806" t="s">
        <v>1051</v>
      </c>
      <c r="F806" t="s">
        <v>5324</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4" customHeight="1">
      <c r="A807" t="s">
        <v>2096</v>
      </c>
      <c r="B807">
        <v>54</v>
      </c>
      <c r="C807" t="s">
        <v>33</v>
      </c>
      <c r="D807">
        <v>61</v>
      </c>
      <c r="E807" t="s">
        <v>1051</v>
      </c>
      <c r="F807" t="s">
        <v>5325</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4" customHeight="1">
      <c r="A808" t="s">
        <v>2096</v>
      </c>
      <c r="B808">
        <v>55</v>
      </c>
      <c r="C808" t="s">
        <v>33</v>
      </c>
      <c r="D808">
        <v>62</v>
      </c>
      <c r="E808" t="s">
        <v>1052</v>
      </c>
      <c r="F808" t="s">
        <v>5322</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4" customHeight="1">
      <c r="A809" t="s">
        <v>2096</v>
      </c>
      <c r="B809">
        <v>56</v>
      </c>
      <c r="C809" t="s">
        <v>33</v>
      </c>
      <c r="D809">
        <v>63</v>
      </c>
      <c r="E809" t="s">
        <v>1052</v>
      </c>
      <c r="F809" t="s">
        <v>5323</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4" customHeight="1">
      <c r="A810" t="s">
        <v>2096</v>
      </c>
      <c r="B810">
        <v>57</v>
      </c>
      <c r="C810" t="s">
        <v>33</v>
      </c>
      <c r="D810">
        <v>64</v>
      </c>
      <c r="E810" t="s">
        <v>1052</v>
      </c>
      <c r="F810" t="s">
        <v>5324</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4" customHeight="1">
      <c r="A811" t="s">
        <v>2096</v>
      </c>
      <c r="B811">
        <v>58</v>
      </c>
      <c r="C811" t="s">
        <v>33</v>
      </c>
      <c r="D811">
        <v>65</v>
      </c>
      <c r="E811" t="s">
        <v>1052</v>
      </c>
      <c r="F811" t="s">
        <v>5324</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4" customHeight="1">
      <c r="A812" t="s">
        <v>2096</v>
      </c>
      <c r="B812">
        <v>59</v>
      </c>
      <c r="C812" t="s">
        <v>33</v>
      </c>
      <c r="D812">
        <v>66</v>
      </c>
      <c r="E812" t="s">
        <v>1052</v>
      </c>
      <c r="F812" t="s">
        <v>5324</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4" customHeight="1">
      <c r="A813" t="s">
        <v>2096</v>
      </c>
      <c r="B813">
        <v>60</v>
      </c>
      <c r="C813" t="s">
        <v>33</v>
      </c>
      <c r="D813">
        <v>67</v>
      </c>
      <c r="E813" t="s">
        <v>1052</v>
      </c>
      <c r="F813" t="s">
        <v>5324</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4" customHeight="1">
      <c r="A814" t="s">
        <v>2096</v>
      </c>
      <c r="B814">
        <v>61</v>
      </c>
      <c r="C814" t="s">
        <v>33</v>
      </c>
      <c r="D814">
        <v>68</v>
      </c>
      <c r="E814" t="s">
        <v>1052</v>
      </c>
      <c r="F814" t="s">
        <v>5324</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4" customHeight="1">
      <c r="A815" t="s">
        <v>2096</v>
      </c>
      <c r="B815">
        <v>62</v>
      </c>
      <c r="C815" t="s">
        <v>33</v>
      </c>
      <c r="D815">
        <v>69</v>
      </c>
      <c r="E815" t="s">
        <v>1052</v>
      </c>
      <c r="F815" t="s">
        <v>5325</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4" customHeight="1">
      <c r="A816" t="s">
        <v>698</v>
      </c>
      <c r="B816">
        <v>1</v>
      </c>
      <c r="C816" t="s">
        <v>35</v>
      </c>
      <c r="D816">
        <v>8</v>
      </c>
      <c r="E816" t="s">
        <v>918</v>
      </c>
      <c r="F816" t="s">
        <v>5322</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4" customHeight="1">
      <c r="A817" t="s">
        <v>698</v>
      </c>
      <c r="B817">
        <v>2</v>
      </c>
      <c r="C817" t="s">
        <v>35</v>
      </c>
      <c r="D817">
        <v>9</v>
      </c>
      <c r="E817" t="s">
        <v>918</v>
      </c>
      <c r="F817" t="s">
        <v>5323</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4" customHeight="1">
      <c r="A818" t="s">
        <v>698</v>
      </c>
      <c r="B818">
        <v>3</v>
      </c>
      <c r="C818" t="s">
        <v>35</v>
      </c>
      <c r="D818">
        <v>10</v>
      </c>
      <c r="E818" t="s">
        <v>918</v>
      </c>
      <c r="F818" t="s">
        <v>5324</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4" customHeight="1">
      <c r="A819" t="s">
        <v>698</v>
      </c>
      <c r="B819">
        <v>4</v>
      </c>
      <c r="C819" t="s">
        <v>35</v>
      </c>
      <c r="D819">
        <v>11</v>
      </c>
      <c r="E819" t="s">
        <v>918</v>
      </c>
      <c r="F819" t="s">
        <v>5324</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4" customHeight="1">
      <c r="A820" t="s">
        <v>698</v>
      </c>
      <c r="B820">
        <v>5</v>
      </c>
      <c r="C820" t="s">
        <v>35</v>
      </c>
      <c r="D820">
        <v>12</v>
      </c>
      <c r="E820" t="s">
        <v>918</v>
      </c>
      <c r="F820" t="s">
        <v>5325</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4" customHeight="1">
      <c r="A821" t="s">
        <v>698</v>
      </c>
      <c r="B821">
        <v>6</v>
      </c>
      <c r="C821" t="s">
        <v>35</v>
      </c>
      <c r="D821">
        <v>13</v>
      </c>
      <c r="E821" t="s">
        <v>936</v>
      </c>
      <c r="F821" t="s">
        <v>5322</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4" customHeight="1">
      <c r="A822" t="s">
        <v>698</v>
      </c>
      <c r="B822">
        <v>7</v>
      </c>
      <c r="C822" t="s">
        <v>35</v>
      </c>
      <c r="D822">
        <v>14</v>
      </c>
      <c r="E822" t="s">
        <v>936</v>
      </c>
      <c r="F822" t="s">
        <v>5323</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4" customHeight="1">
      <c r="A823" t="s">
        <v>698</v>
      </c>
      <c r="B823">
        <v>8</v>
      </c>
      <c r="C823" t="s">
        <v>35</v>
      </c>
      <c r="D823">
        <v>15</v>
      </c>
      <c r="E823" t="s">
        <v>936</v>
      </c>
      <c r="F823" t="s">
        <v>5324</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4" customHeight="1">
      <c r="A824" t="s">
        <v>698</v>
      </c>
      <c r="B824">
        <v>9</v>
      </c>
      <c r="C824" t="s">
        <v>35</v>
      </c>
      <c r="D824">
        <v>16</v>
      </c>
      <c r="E824" t="s">
        <v>936</v>
      </c>
      <c r="F824" t="s">
        <v>5324</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4" customHeight="1">
      <c r="A825" t="s">
        <v>698</v>
      </c>
      <c r="B825">
        <v>10</v>
      </c>
      <c r="C825" t="s">
        <v>35</v>
      </c>
      <c r="D825">
        <v>17</v>
      </c>
      <c r="E825" t="s">
        <v>936</v>
      </c>
      <c r="F825" t="s">
        <v>5325</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4" customHeight="1">
      <c r="A826" t="s">
        <v>698</v>
      </c>
      <c r="B826">
        <v>11</v>
      </c>
      <c r="C826" t="s">
        <v>35</v>
      </c>
      <c r="D826">
        <v>18</v>
      </c>
      <c r="E826" t="s">
        <v>951</v>
      </c>
      <c r="F826" t="s">
        <v>5322</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4" customHeight="1">
      <c r="A827" t="s">
        <v>698</v>
      </c>
      <c r="B827">
        <v>12</v>
      </c>
      <c r="C827" t="s">
        <v>35</v>
      </c>
      <c r="D827">
        <v>19</v>
      </c>
      <c r="E827" t="s">
        <v>951</v>
      </c>
      <c r="F827" t="s">
        <v>5323</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4" customHeight="1">
      <c r="A828" t="s">
        <v>698</v>
      </c>
      <c r="B828">
        <v>13</v>
      </c>
      <c r="C828" t="s">
        <v>35</v>
      </c>
      <c r="D828">
        <v>20</v>
      </c>
      <c r="E828" t="s">
        <v>951</v>
      </c>
      <c r="F828" t="s">
        <v>5324</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4" customHeight="1">
      <c r="A829" t="s">
        <v>698</v>
      </c>
      <c r="B829">
        <v>14</v>
      </c>
      <c r="C829" t="s">
        <v>35</v>
      </c>
      <c r="D829">
        <v>21</v>
      </c>
      <c r="E829" t="s">
        <v>951</v>
      </c>
      <c r="F829" t="s">
        <v>5324</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4" customHeight="1">
      <c r="A830" t="s">
        <v>698</v>
      </c>
      <c r="B830">
        <v>15</v>
      </c>
      <c r="C830" t="s">
        <v>35</v>
      </c>
      <c r="D830">
        <v>22</v>
      </c>
      <c r="E830" t="s">
        <v>951</v>
      </c>
      <c r="F830" t="s">
        <v>5325</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4" customHeight="1">
      <c r="A831" t="s">
        <v>698</v>
      </c>
      <c r="B831">
        <v>16</v>
      </c>
      <c r="C831" t="s">
        <v>35</v>
      </c>
      <c r="D831">
        <v>23</v>
      </c>
      <c r="E831" t="s">
        <v>964</v>
      </c>
      <c r="F831" t="s">
        <v>5322</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4" customHeight="1">
      <c r="A832" t="s">
        <v>698</v>
      </c>
      <c r="B832">
        <v>17</v>
      </c>
      <c r="C832" t="s">
        <v>35</v>
      </c>
      <c r="D832">
        <v>24</v>
      </c>
      <c r="E832" t="s">
        <v>964</v>
      </c>
      <c r="F832" t="s">
        <v>5323</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4" customHeight="1">
      <c r="A833" t="s">
        <v>698</v>
      </c>
      <c r="B833">
        <v>18</v>
      </c>
      <c r="C833" t="s">
        <v>35</v>
      </c>
      <c r="D833">
        <v>25</v>
      </c>
      <c r="E833" t="s">
        <v>964</v>
      </c>
      <c r="F833" t="s">
        <v>5324</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4" customHeight="1">
      <c r="A834" t="s">
        <v>698</v>
      </c>
      <c r="B834">
        <v>19</v>
      </c>
      <c r="C834" t="s">
        <v>35</v>
      </c>
      <c r="D834">
        <v>26</v>
      </c>
      <c r="E834" t="s">
        <v>964</v>
      </c>
      <c r="F834" t="s">
        <v>5324</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4" customHeight="1">
      <c r="A835" t="s">
        <v>698</v>
      </c>
      <c r="B835">
        <v>20</v>
      </c>
      <c r="C835" t="s">
        <v>35</v>
      </c>
      <c r="D835">
        <v>27</v>
      </c>
      <c r="E835" t="s">
        <v>964</v>
      </c>
      <c r="F835" t="s">
        <v>5325</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4" customHeight="1">
      <c r="A836" t="s">
        <v>698</v>
      </c>
      <c r="B836">
        <v>21</v>
      </c>
      <c r="C836" t="s">
        <v>35</v>
      </c>
      <c r="D836">
        <v>28</v>
      </c>
      <c r="E836" t="s">
        <v>977</v>
      </c>
      <c r="F836" t="s">
        <v>5322</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4" customHeight="1">
      <c r="A837" t="s">
        <v>698</v>
      </c>
      <c r="B837">
        <v>22</v>
      </c>
      <c r="C837" t="s">
        <v>35</v>
      </c>
      <c r="D837">
        <v>29</v>
      </c>
      <c r="E837" t="s">
        <v>977</v>
      </c>
      <c r="F837" t="s">
        <v>5323</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4" customHeight="1">
      <c r="A838" t="s">
        <v>698</v>
      </c>
      <c r="B838">
        <v>23</v>
      </c>
      <c r="C838" t="s">
        <v>35</v>
      </c>
      <c r="D838">
        <v>30</v>
      </c>
      <c r="E838" t="s">
        <v>977</v>
      </c>
      <c r="F838" t="s">
        <v>5324</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4" customHeight="1">
      <c r="A839" t="s">
        <v>698</v>
      </c>
      <c r="B839">
        <v>24</v>
      </c>
      <c r="C839" t="s">
        <v>35</v>
      </c>
      <c r="D839">
        <v>31</v>
      </c>
      <c r="E839" t="s">
        <v>977</v>
      </c>
      <c r="F839" t="s">
        <v>5324</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4" customHeight="1">
      <c r="A840" t="s">
        <v>698</v>
      </c>
      <c r="B840">
        <v>25</v>
      </c>
      <c r="C840" t="s">
        <v>35</v>
      </c>
      <c r="D840">
        <v>32</v>
      </c>
      <c r="E840" t="s">
        <v>977</v>
      </c>
      <c r="F840" t="s">
        <v>5325</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4" customHeight="1">
      <c r="A841" t="s">
        <v>698</v>
      </c>
      <c r="B841">
        <v>26</v>
      </c>
      <c r="C841" t="s">
        <v>35</v>
      </c>
      <c r="D841">
        <v>33</v>
      </c>
      <c r="E841" t="s">
        <v>994</v>
      </c>
      <c r="F841" t="s">
        <v>5322</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4" customHeight="1">
      <c r="A842" t="s">
        <v>698</v>
      </c>
      <c r="B842">
        <v>27</v>
      </c>
      <c r="C842" t="s">
        <v>35</v>
      </c>
      <c r="D842">
        <v>34</v>
      </c>
      <c r="E842" t="s">
        <v>994</v>
      </c>
      <c r="F842" t="s">
        <v>5323</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4" customHeight="1">
      <c r="A843" t="s">
        <v>698</v>
      </c>
      <c r="B843">
        <v>28</v>
      </c>
      <c r="C843" t="s">
        <v>35</v>
      </c>
      <c r="D843">
        <v>35</v>
      </c>
      <c r="E843" t="s">
        <v>994</v>
      </c>
      <c r="F843" t="s">
        <v>5324</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4" customHeight="1">
      <c r="A844" t="s">
        <v>698</v>
      </c>
      <c r="B844">
        <v>29</v>
      </c>
      <c r="C844" t="s">
        <v>35</v>
      </c>
      <c r="D844">
        <v>36</v>
      </c>
      <c r="E844" t="s">
        <v>994</v>
      </c>
      <c r="F844" t="s">
        <v>5324</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4" customHeight="1">
      <c r="A845" t="s">
        <v>698</v>
      </c>
      <c r="B845">
        <v>30</v>
      </c>
      <c r="C845" t="s">
        <v>35</v>
      </c>
      <c r="D845">
        <v>37</v>
      </c>
      <c r="E845" t="s">
        <v>994</v>
      </c>
      <c r="F845" t="s">
        <v>5325</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4" customHeight="1">
      <c r="A846" t="s">
        <v>698</v>
      </c>
      <c r="B846">
        <v>31</v>
      </c>
      <c r="C846" t="s">
        <v>35</v>
      </c>
      <c r="D846">
        <v>38</v>
      </c>
      <c r="E846" t="s">
        <v>1007</v>
      </c>
      <c r="F846" t="s">
        <v>5322</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4" customHeight="1">
      <c r="A847" t="s">
        <v>698</v>
      </c>
      <c r="B847">
        <v>32</v>
      </c>
      <c r="C847" t="s">
        <v>35</v>
      </c>
      <c r="D847">
        <v>39</v>
      </c>
      <c r="E847" t="s">
        <v>1007</v>
      </c>
      <c r="F847" t="s">
        <v>5323</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4" customHeight="1">
      <c r="A848" t="s">
        <v>698</v>
      </c>
      <c r="B848">
        <v>33</v>
      </c>
      <c r="C848" t="s">
        <v>35</v>
      </c>
      <c r="D848">
        <v>40</v>
      </c>
      <c r="E848" t="s">
        <v>1007</v>
      </c>
      <c r="F848" t="s">
        <v>5324</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4" customHeight="1">
      <c r="A849" t="s">
        <v>698</v>
      </c>
      <c r="B849">
        <v>34</v>
      </c>
      <c r="C849" t="s">
        <v>35</v>
      </c>
      <c r="D849">
        <v>41</v>
      </c>
      <c r="E849" t="s">
        <v>1007</v>
      </c>
      <c r="F849" t="s">
        <v>5324</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4" customHeight="1">
      <c r="A850" t="s">
        <v>698</v>
      </c>
      <c r="B850">
        <v>35</v>
      </c>
      <c r="C850" t="s">
        <v>35</v>
      </c>
      <c r="D850">
        <v>42</v>
      </c>
      <c r="E850" t="s">
        <v>1007</v>
      </c>
      <c r="F850" t="s">
        <v>5325</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4" customHeight="1">
      <c r="A851" t="s">
        <v>698</v>
      </c>
      <c r="B851">
        <v>36</v>
      </c>
      <c r="C851" t="s">
        <v>35</v>
      </c>
      <c r="D851">
        <v>43</v>
      </c>
      <c r="E851" t="s">
        <v>1019</v>
      </c>
      <c r="F851" t="s">
        <v>5322</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4" customHeight="1">
      <c r="A852" t="s">
        <v>698</v>
      </c>
      <c r="B852">
        <v>37</v>
      </c>
      <c r="C852" t="s">
        <v>35</v>
      </c>
      <c r="D852">
        <v>44</v>
      </c>
      <c r="E852" t="s">
        <v>1019</v>
      </c>
      <c r="F852" t="s">
        <v>5323</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4" customHeight="1">
      <c r="A853" t="s">
        <v>698</v>
      </c>
      <c r="B853">
        <v>38</v>
      </c>
      <c r="C853" t="s">
        <v>35</v>
      </c>
      <c r="D853">
        <v>45</v>
      </c>
      <c r="E853" t="s">
        <v>1019</v>
      </c>
      <c r="F853" t="s">
        <v>5324</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4" customHeight="1">
      <c r="A854" t="s">
        <v>698</v>
      </c>
      <c r="B854">
        <v>39</v>
      </c>
      <c r="C854" t="s">
        <v>35</v>
      </c>
      <c r="D854">
        <v>46</v>
      </c>
      <c r="E854" t="s">
        <v>1019</v>
      </c>
      <c r="F854" t="s">
        <v>5324</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4" customHeight="1">
      <c r="A855" t="s">
        <v>698</v>
      </c>
      <c r="B855">
        <v>40</v>
      </c>
      <c r="C855" t="s">
        <v>35</v>
      </c>
      <c r="D855">
        <v>47</v>
      </c>
      <c r="E855" t="s">
        <v>1019</v>
      </c>
      <c r="F855" t="s">
        <v>5324</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4" customHeight="1">
      <c r="A856" t="s">
        <v>698</v>
      </c>
      <c r="B856">
        <v>41</v>
      </c>
      <c r="C856" t="s">
        <v>35</v>
      </c>
      <c r="D856">
        <v>48</v>
      </c>
      <c r="E856" t="s">
        <v>1019</v>
      </c>
      <c r="F856" t="s">
        <v>5324</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4" customHeight="1">
      <c r="A857" t="s">
        <v>698</v>
      </c>
      <c r="B857">
        <v>42</v>
      </c>
      <c r="C857" t="s">
        <v>35</v>
      </c>
      <c r="D857">
        <v>49</v>
      </c>
      <c r="E857" t="s">
        <v>1019</v>
      </c>
      <c r="F857" t="s">
        <v>5324</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4" customHeight="1">
      <c r="A858" t="s">
        <v>698</v>
      </c>
      <c r="B858">
        <v>43</v>
      </c>
      <c r="C858" t="s">
        <v>35</v>
      </c>
      <c r="D858">
        <v>50</v>
      </c>
      <c r="E858" t="s">
        <v>1019</v>
      </c>
      <c r="F858" t="s">
        <v>5324</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4" customHeight="1">
      <c r="A859" t="s">
        <v>698</v>
      </c>
      <c r="B859">
        <v>44</v>
      </c>
      <c r="C859" t="s">
        <v>35</v>
      </c>
      <c r="D859">
        <v>51</v>
      </c>
      <c r="E859" t="s">
        <v>1019</v>
      </c>
      <c r="F859" t="s">
        <v>5324</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4" customHeight="1">
      <c r="A860" t="s">
        <v>698</v>
      </c>
      <c r="B860">
        <v>45</v>
      </c>
      <c r="C860" t="s">
        <v>35</v>
      </c>
      <c r="D860">
        <v>52</v>
      </c>
      <c r="E860" t="s">
        <v>1019</v>
      </c>
      <c r="F860" t="s">
        <v>5324</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4" customHeight="1">
      <c r="A861" t="s">
        <v>698</v>
      </c>
      <c r="B861">
        <v>46</v>
      </c>
      <c r="C861" t="s">
        <v>35</v>
      </c>
      <c r="D861">
        <v>53</v>
      </c>
      <c r="E861" t="s">
        <v>1019</v>
      </c>
      <c r="F861" t="s">
        <v>5325</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4" customHeight="1">
      <c r="A862" t="s">
        <v>698</v>
      </c>
      <c r="B862">
        <v>47</v>
      </c>
      <c r="C862" t="s">
        <v>35</v>
      </c>
      <c r="D862">
        <v>54</v>
      </c>
      <c r="E862" t="s">
        <v>1051</v>
      </c>
      <c r="F862" t="s">
        <v>5322</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4" customHeight="1">
      <c r="A863" t="s">
        <v>698</v>
      </c>
      <c r="B863">
        <v>48</v>
      </c>
      <c r="C863" t="s">
        <v>35</v>
      </c>
      <c r="D863">
        <v>55</v>
      </c>
      <c r="E863" t="s">
        <v>1051</v>
      </c>
      <c r="F863" t="s">
        <v>5323</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4" customHeight="1">
      <c r="A864" t="s">
        <v>698</v>
      </c>
      <c r="B864">
        <v>49</v>
      </c>
      <c r="C864" t="s">
        <v>35</v>
      </c>
      <c r="D864">
        <v>56</v>
      </c>
      <c r="E864" t="s">
        <v>1051</v>
      </c>
      <c r="F864" t="s">
        <v>5324</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4" customHeight="1">
      <c r="A865" t="s">
        <v>698</v>
      </c>
      <c r="B865">
        <v>50</v>
      </c>
      <c r="C865" t="s">
        <v>35</v>
      </c>
      <c r="D865">
        <v>57</v>
      </c>
      <c r="E865" t="s">
        <v>1051</v>
      </c>
      <c r="F865" t="s">
        <v>5324</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4" customHeight="1">
      <c r="A866" t="s">
        <v>698</v>
      </c>
      <c r="B866">
        <v>51</v>
      </c>
      <c r="C866" t="s">
        <v>35</v>
      </c>
      <c r="D866">
        <v>58</v>
      </c>
      <c r="E866" t="s">
        <v>1051</v>
      </c>
      <c r="F866" t="s">
        <v>5324</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4" customHeight="1">
      <c r="A867" t="s">
        <v>698</v>
      </c>
      <c r="B867">
        <v>52</v>
      </c>
      <c r="C867" t="s">
        <v>35</v>
      </c>
      <c r="D867">
        <v>59</v>
      </c>
      <c r="E867" t="s">
        <v>1051</v>
      </c>
      <c r="F867" t="s">
        <v>5324</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4" customHeight="1">
      <c r="A868" t="s">
        <v>698</v>
      </c>
      <c r="B868">
        <v>53</v>
      </c>
      <c r="C868" t="s">
        <v>35</v>
      </c>
      <c r="D868">
        <v>60</v>
      </c>
      <c r="E868" t="s">
        <v>1051</v>
      </c>
      <c r="F868" t="s">
        <v>5324</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4" customHeight="1">
      <c r="A869" t="s">
        <v>698</v>
      </c>
      <c r="B869">
        <v>54</v>
      </c>
      <c r="C869" t="s">
        <v>35</v>
      </c>
      <c r="D869">
        <v>61</v>
      </c>
      <c r="E869" t="s">
        <v>1051</v>
      </c>
      <c r="F869" t="s">
        <v>5324</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4" customHeight="1">
      <c r="A870" t="s">
        <v>698</v>
      </c>
      <c r="B870">
        <v>55</v>
      </c>
      <c r="C870" t="s">
        <v>35</v>
      </c>
      <c r="D870">
        <v>62</v>
      </c>
      <c r="E870" t="s">
        <v>1051</v>
      </c>
      <c r="F870" t="s">
        <v>5324</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4" customHeight="1">
      <c r="A871" t="s">
        <v>698</v>
      </c>
      <c r="B871">
        <v>56</v>
      </c>
      <c r="C871" t="s">
        <v>35</v>
      </c>
      <c r="D871">
        <v>63</v>
      </c>
      <c r="E871" t="s">
        <v>1051</v>
      </c>
      <c r="F871" t="s">
        <v>5324</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4" customHeight="1">
      <c r="A872" t="s">
        <v>698</v>
      </c>
      <c r="B872">
        <v>57</v>
      </c>
      <c r="C872" t="s">
        <v>35</v>
      </c>
      <c r="D872">
        <v>64</v>
      </c>
      <c r="E872" t="s">
        <v>1051</v>
      </c>
      <c r="F872" t="s">
        <v>5325</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4" customHeight="1">
      <c r="A873" t="s">
        <v>698</v>
      </c>
      <c r="B873">
        <v>58</v>
      </c>
      <c r="C873" t="s">
        <v>35</v>
      </c>
      <c r="D873">
        <v>65</v>
      </c>
      <c r="E873" t="s">
        <v>1052</v>
      </c>
      <c r="F873" t="s">
        <v>5322</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4" customHeight="1">
      <c r="A874" t="s">
        <v>698</v>
      </c>
      <c r="B874">
        <v>59</v>
      </c>
      <c r="C874" t="s">
        <v>35</v>
      </c>
      <c r="D874">
        <v>66</v>
      </c>
      <c r="E874" t="s">
        <v>1052</v>
      </c>
      <c r="F874" t="s">
        <v>5323</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4" customHeight="1">
      <c r="A875" t="s">
        <v>698</v>
      </c>
      <c r="B875">
        <v>60</v>
      </c>
      <c r="C875" t="s">
        <v>35</v>
      </c>
      <c r="D875">
        <v>67</v>
      </c>
      <c r="E875" t="s">
        <v>1052</v>
      </c>
      <c r="F875" t="s">
        <v>5324</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4" customHeight="1">
      <c r="A876" t="s">
        <v>698</v>
      </c>
      <c r="B876">
        <v>61</v>
      </c>
      <c r="C876" t="s">
        <v>35</v>
      </c>
      <c r="D876">
        <v>68</v>
      </c>
      <c r="E876" t="s">
        <v>1052</v>
      </c>
      <c r="F876" t="s">
        <v>5324</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4" customHeight="1">
      <c r="A877" t="s">
        <v>698</v>
      </c>
      <c r="B877">
        <v>62</v>
      </c>
      <c r="C877" t="s">
        <v>35</v>
      </c>
      <c r="D877">
        <v>69</v>
      </c>
      <c r="E877" t="s">
        <v>1052</v>
      </c>
      <c r="F877" t="s">
        <v>5324</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4" customHeight="1">
      <c r="A878" t="s">
        <v>698</v>
      </c>
      <c r="B878">
        <v>63</v>
      </c>
      <c r="C878" t="s">
        <v>35</v>
      </c>
      <c r="D878">
        <v>70</v>
      </c>
      <c r="E878" t="s">
        <v>1052</v>
      </c>
      <c r="F878" t="s">
        <v>5324</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4" customHeight="1">
      <c r="A879" t="s">
        <v>698</v>
      </c>
      <c r="B879">
        <v>64</v>
      </c>
      <c r="C879" t="s">
        <v>35</v>
      </c>
      <c r="D879">
        <v>71</v>
      </c>
      <c r="E879" t="s">
        <v>1052</v>
      </c>
      <c r="F879" t="s">
        <v>5324</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4" customHeight="1">
      <c r="A880" t="s">
        <v>698</v>
      </c>
      <c r="B880">
        <v>65</v>
      </c>
      <c r="C880" t="s">
        <v>35</v>
      </c>
      <c r="D880">
        <v>72</v>
      </c>
      <c r="E880" t="s">
        <v>1052</v>
      </c>
      <c r="F880" t="s">
        <v>5324</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4" customHeight="1">
      <c r="A881" t="s">
        <v>698</v>
      </c>
      <c r="B881">
        <v>66</v>
      </c>
      <c r="C881" t="s">
        <v>35</v>
      </c>
      <c r="D881">
        <v>73</v>
      </c>
      <c r="E881" t="s">
        <v>1052</v>
      </c>
      <c r="F881" t="s">
        <v>5324</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4" customHeight="1">
      <c r="A882" t="s">
        <v>698</v>
      </c>
      <c r="B882">
        <v>67</v>
      </c>
      <c r="C882" t="s">
        <v>35</v>
      </c>
      <c r="D882">
        <v>74</v>
      </c>
      <c r="E882" t="s">
        <v>1052</v>
      </c>
      <c r="F882" t="s">
        <v>5324</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4" customHeight="1">
      <c r="A883" t="s">
        <v>698</v>
      </c>
      <c r="B883">
        <v>68</v>
      </c>
      <c r="C883" t="s">
        <v>35</v>
      </c>
      <c r="D883">
        <v>75</v>
      </c>
      <c r="E883" t="s">
        <v>1052</v>
      </c>
      <c r="F883" t="s">
        <v>5325</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4" customHeight="1">
      <c r="A884" t="s">
        <v>700</v>
      </c>
      <c r="B884">
        <v>1</v>
      </c>
      <c r="C884" t="s">
        <v>37</v>
      </c>
      <c r="D884">
        <v>8</v>
      </c>
      <c r="E884" t="s">
        <v>918</v>
      </c>
      <c r="F884" t="s">
        <v>5322</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4" customHeight="1">
      <c r="A885" t="s">
        <v>700</v>
      </c>
      <c r="B885">
        <v>2</v>
      </c>
      <c r="C885" t="s">
        <v>37</v>
      </c>
      <c r="D885">
        <v>9</v>
      </c>
      <c r="E885" t="s">
        <v>918</v>
      </c>
      <c r="F885" t="s">
        <v>5323</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4" customHeight="1">
      <c r="A886" t="s">
        <v>700</v>
      </c>
      <c r="B886">
        <v>3</v>
      </c>
      <c r="C886" t="s">
        <v>37</v>
      </c>
      <c r="D886">
        <v>10</v>
      </c>
      <c r="E886" t="s">
        <v>918</v>
      </c>
      <c r="F886" t="s">
        <v>5324</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4" customHeight="1">
      <c r="A887" t="s">
        <v>700</v>
      </c>
      <c r="B887">
        <v>4</v>
      </c>
      <c r="C887" t="s">
        <v>37</v>
      </c>
      <c r="D887">
        <v>11</v>
      </c>
      <c r="E887" t="s">
        <v>918</v>
      </c>
      <c r="F887" t="s">
        <v>5324</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4" customHeight="1">
      <c r="A888" t="s">
        <v>700</v>
      </c>
      <c r="B888">
        <v>5</v>
      </c>
      <c r="C888" t="s">
        <v>37</v>
      </c>
      <c r="D888">
        <v>12</v>
      </c>
      <c r="E888" t="s">
        <v>918</v>
      </c>
      <c r="F888" t="s">
        <v>5324</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4" customHeight="1">
      <c r="A889" t="s">
        <v>700</v>
      </c>
      <c r="B889">
        <v>6</v>
      </c>
      <c r="C889" t="s">
        <v>37</v>
      </c>
      <c r="D889">
        <v>13</v>
      </c>
      <c r="E889" t="s">
        <v>918</v>
      </c>
      <c r="F889" t="s">
        <v>5325</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4" customHeight="1">
      <c r="A890" t="s">
        <v>700</v>
      </c>
      <c r="B890">
        <v>7</v>
      </c>
      <c r="C890" t="s">
        <v>37</v>
      </c>
      <c r="D890">
        <v>14</v>
      </c>
      <c r="E890" t="s">
        <v>936</v>
      </c>
      <c r="F890" t="s">
        <v>5322</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4" customHeight="1">
      <c r="A891" t="s">
        <v>700</v>
      </c>
      <c r="B891">
        <v>8</v>
      </c>
      <c r="C891" t="s">
        <v>37</v>
      </c>
      <c r="D891">
        <v>15</v>
      </c>
      <c r="E891" t="s">
        <v>936</v>
      </c>
      <c r="F891" t="s">
        <v>5323</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4" customHeight="1">
      <c r="A892" t="s">
        <v>700</v>
      </c>
      <c r="B892">
        <v>9</v>
      </c>
      <c r="C892" t="s">
        <v>37</v>
      </c>
      <c r="D892">
        <v>16</v>
      </c>
      <c r="E892" t="s">
        <v>936</v>
      </c>
      <c r="F892" t="s">
        <v>5324</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4" customHeight="1">
      <c r="A893" t="s">
        <v>700</v>
      </c>
      <c r="B893">
        <v>10</v>
      </c>
      <c r="C893" t="s">
        <v>37</v>
      </c>
      <c r="D893">
        <v>17</v>
      </c>
      <c r="E893" t="s">
        <v>936</v>
      </c>
      <c r="F893" t="s">
        <v>5324</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4" customHeight="1">
      <c r="A894" t="s">
        <v>700</v>
      </c>
      <c r="B894">
        <v>11</v>
      </c>
      <c r="C894" t="s">
        <v>37</v>
      </c>
      <c r="D894">
        <v>18</v>
      </c>
      <c r="E894" t="s">
        <v>936</v>
      </c>
      <c r="F894" t="s">
        <v>5324</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4" customHeight="1">
      <c r="A895" t="s">
        <v>700</v>
      </c>
      <c r="B895">
        <v>12</v>
      </c>
      <c r="C895" t="s">
        <v>37</v>
      </c>
      <c r="D895">
        <v>19</v>
      </c>
      <c r="E895" t="s">
        <v>936</v>
      </c>
      <c r="F895" t="s">
        <v>5325</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4" customHeight="1">
      <c r="A896" t="s">
        <v>700</v>
      </c>
      <c r="B896">
        <v>13</v>
      </c>
      <c r="C896" t="s">
        <v>37</v>
      </c>
      <c r="D896">
        <v>20</v>
      </c>
      <c r="E896" t="s">
        <v>951</v>
      </c>
      <c r="F896" t="s">
        <v>5322</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4" customHeight="1">
      <c r="A897" t="s">
        <v>700</v>
      </c>
      <c r="B897">
        <v>14</v>
      </c>
      <c r="C897" t="s">
        <v>37</v>
      </c>
      <c r="D897">
        <v>21</v>
      </c>
      <c r="E897" t="s">
        <v>951</v>
      </c>
      <c r="F897" t="s">
        <v>5323</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4" customHeight="1">
      <c r="A898" t="s">
        <v>700</v>
      </c>
      <c r="B898">
        <v>15</v>
      </c>
      <c r="C898" t="s">
        <v>37</v>
      </c>
      <c r="D898">
        <v>22</v>
      </c>
      <c r="E898" t="s">
        <v>951</v>
      </c>
      <c r="F898" t="s">
        <v>5324</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4" customHeight="1">
      <c r="A899" t="s">
        <v>700</v>
      </c>
      <c r="B899">
        <v>16</v>
      </c>
      <c r="C899" t="s">
        <v>37</v>
      </c>
      <c r="D899">
        <v>23</v>
      </c>
      <c r="E899" t="s">
        <v>951</v>
      </c>
      <c r="F899" t="s">
        <v>5324</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4" customHeight="1">
      <c r="A900" t="s">
        <v>700</v>
      </c>
      <c r="B900">
        <v>17</v>
      </c>
      <c r="C900" t="s">
        <v>37</v>
      </c>
      <c r="D900">
        <v>24</v>
      </c>
      <c r="E900" t="s">
        <v>951</v>
      </c>
      <c r="F900" t="s">
        <v>5324</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4" customHeight="1">
      <c r="A901" t="s">
        <v>700</v>
      </c>
      <c r="B901">
        <v>18</v>
      </c>
      <c r="C901" t="s">
        <v>37</v>
      </c>
      <c r="D901">
        <v>25</v>
      </c>
      <c r="E901" t="s">
        <v>951</v>
      </c>
      <c r="F901" t="s">
        <v>5325</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4" customHeight="1">
      <c r="A902" t="s">
        <v>700</v>
      </c>
      <c r="B902">
        <v>19</v>
      </c>
      <c r="C902" t="s">
        <v>37</v>
      </c>
      <c r="D902">
        <v>26</v>
      </c>
      <c r="E902" t="s">
        <v>964</v>
      </c>
      <c r="F902" t="s">
        <v>5322</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4" customHeight="1">
      <c r="A903" t="s">
        <v>700</v>
      </c>
      <c r="B903">
        <v>20</v>
      </c>
      <c r="C903" t="s">
        <v>37</v>
      </c>
      <c r="D903">
        <v>27</v>
      </c>
      <c r="E903" t="s">
        <v>964</v>
      </c>
      <c r="F903" t="s">
        <v>5323</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4" customHeight="1">
      <c r="A904" t="s">
        <v>700</v>
      </c>
      <c r="B904">
        <v>21</v>
      </c>
      <c r="C904" t="s">
        <v>37</v>
      </c>
      <c r="D904">
        <v>28</v>
      </c>
      <c r="E904" t="s">
        <v>964</v>
      </c>
      <c r="F904" t="s">
        <v>5324</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4" customHeight="1">
      <c r="A905" t="s">
        <v>700</v>
      </c>
      <c r="B905">
        <v>22</v>
      </c>
      <c r="C905" t="s">
        <v>37</v>
      </c>
      <c r="D905">
        <v>29</v>
      </c>
      <c r="E905" t="s">
        <v>964</v>
      </c>
      <c r="F905" t="s">
        <v>5324</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4" customHeight="1">
      <c r="A906" t="s">
        <v>700</v>
      </c>
      <c r="B906">
        <v>23</v>
      </c>
      <c r="C906" t="s">
        <v>37</v>
      </c>
      <c r="D906">
        <v>30</v>
      </c>
      <c r="E906" t="s">
        <v>964</v>
      </c>
      <c r="F906" t="s">
        <v>5324</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4" customHeight="1">
      <c r="A907" t="s">
        <v>700</v>
      </c>
      <c r="B907">
        <v>24</v>
      </c>
      <c r="C907" t="s">
        <v>37</v>
      </c>
      <c r="D907">
        <v>31</v>
      </c>
      <c r="E907" t="s">
        <v>964</v>
      </c>
      <c r="F907" t="s">
        <v>5325</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4" customHeight="1">
      <c r="A908" t="s">
        <v>700</v>
      </c>
      <c r="B908">
        <v>25</v>
      </c>
      <c r="C908" t="s">
        <v>37</v>
      </c>
      <c r="D908">
        <v>32</v>
      </c>
      <c r="E908" t="s">
        <v>977</v>
      </c>
      <c r="F908" t="s">
        <v>5322</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4" customHeight="1">
      <c r="A909" t="s">
        <v>700</v>
      </c>
      <c r="B909">
        <v>26</v>
      </c>
      <c r="C909" t="s">
        <v>37</v>
      </c>
      <c r="D909">
        <v>33</v>
      </c>
      <c r="E909" t="s">
        <v>977</v>
      </c>
      <c r="F909" t="s">
        <v>5323</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4" customHeight="1">
      <c r="A910" t="s">
        <v>700</v>
      </c>
      <c r="B910">
        <v>27</v>
      </c>
      <c r="C910" t="s">
        <v>37</v>
      </c>
      <c r="D910">
        <v>34</v>
      </c>
      <c r="E910" t="s">
        <v>977</v>
      </c>
      <c r="F910" t="s">
        <v>5324</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4" customHeight="1">
      <c r="A911" t="s">
        <v>700</v>
      </c>
      <c r="B911">
        <v>28</v>
      </c>
      <c r="C911" t="s">
        <v>37</v>
      </c>
      <c r="D911">
        <v>35</v>
      </c>
      <c r="E911" t="s">
        <v>977</v>
      </c>
      <c r="F911" t="s">
        <v>5324</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4" customHeight="1">
      <c r="A912" t="s">
        <v>700</v>
      </c>
      <c r="B912">
        <v>29</v>
      </c>
      <c r="C912" t="s">
        <v>37</v>
      </c>
      <c r="D912">
        <v>36</v>
      </c>
      <c r="E912" t="s">
        <v>977</v>
      </c>
      <c r="F912" t="s">
        <v>5324</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4" customHeight="1">
      <c r="A913" t="s">
        <v>700</v>
      </c>
      <c r="B913">
        <v>30</v>
      </c>
      <c r="C913" t="s">
        <v>37</v>
      </c>
      <c r="D913">
        <v>37</v>
      </c>
      <c r="E913" t="s">
        <v>977</v>
      </c>
      <c r="F913" t="s">
        <v>5325</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4" customHeight="1">
      <c r="A914" t="s">
        <v>700</v>
      </c>
      <c r="B914">
        <v>31</v>
      </c>
      <c r="C914" t="s">
        <v>37</v>
      </c>
      <c r="D914">
        <v>38</v>
      </c>
      <c r="E914" t="s">
        <v>994</v>
      </c>
      <c r="F914" t="s">
        <v>5322</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4" customHeight="1">
      <c r="A915" t="s">
        <v>700</v>
      </c>
      <c r="B915">
        <v>32</v>
      </c>
      <c r="C915" t="s">
        <v>37</v>
      </c>
      <c r="D915">
        <v>39</v>
      </c>
      <c r="E915" t="s">
        <v>994</v>
      </c>
      <c r="F915" t="s">
        <v>5323</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4" customHeight="1">
      <c r="A916" t="s">
        <v>700</v>
      </c>
      <c r="B916">
        <v>33</v>
      </c>
      <c r="C916" t="s">
        <v>37</v>
      </c>
      <c r="D916">
        <v>40</v>
      </c>
      <c r="E916" t="s">
        <v>994</v>
      </c>
      <c r="F916" t="s">
        <v>5324</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4" customHeight="1">
      <c r="A917" t="s">
        <v>700</v>
      </c>
      <c r="B917">
        <v>34</v>
      </c>
      <c r="C917" t="s">
        <v>37</v>
      </c>
      <c r="D917">
        <v>41</v>
      </c>
      <c r="E917" t="s">
        <v>994</v>
      </c>
      <c r="F917" t="s">
        <v>5324</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4" customHeight="1">
      <c r="A918" t="s">
        <v>700</v>
      </c>
      <c r="B918">
        <v>35</v>
      </c>
      <c r="C918" t="s">
        <v>37</v>
      </c>
      <c r="D918">
        <v>42</v>
      </c>
      <c r="E918" t="s">
        <v>994</v>
      </c>
      <c r="F918" t="s">
        <v>5324</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4" customHeight="1">
      <c r="A919" t="s">
        <v>700</v>
      </c>
      <c r="B919">
        <v>36</v>
      </c>
      <c r="C919" t="s">
        <v>37</v>
      </c>
      <c r="D919">
        <v>43</v>
      </c>
      <c r="E919" t="s">
        <v>994</v>
      </c>
      <c r="F919" t="s">
        <v>5325</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4" customHeight="1">
      <c r="A920" t="s">
        <v>700</v>
      </c>
      <c r="B920">
        <v>37</v>
      </c>
      <c r="C920" t="s">
        <v>37</v>
      </c>
      <c r="D920">
        <v>44</v>
      </c>
      <c r="E920" t="s">
        <v>1007</v>
      </c>
      <c r="F920" t="s">
        <v>5322</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4" customHeight="1">
      <c r="A921" t="s">
        <v>700</v>
      </c>
      <c r="B921">
        <v>38</v>
      </c>
      <c r="C921" t="s">
        <v>37</v>
      </c>
      <c r="D921">
        <v>45</v>
      </c>
      <c r="E921" t="s">
        <v>1007</v>
      </c>
      <c r="F921" t="s">
        <v>5323</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4" customHeight="1">
      <c r="A922" t="s">
        <v>700</v>
      </c>
      <c r="B922">
        <v>39</v>
      </c>
      <c r="C922" t="s">
        <v>37</v>
      </c>
      <c r="D922">
        <v>46</v>
      </c>
      <c r="E922" t="s">
        <v>1007</v>
      </c>
      <c r="F922" t="s">
        <v>5324</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4" customHeight="1">
      <c r="A923" t="s">
        <v>700</v>
      </c>
      <c r="B923">
        <v>40</v>
      </c>
      <c r="C923" t="s">
        <v>37</v>
      </c>
      <c r="D923">
        <v>47</v>
      </c>
      <c r="E923" t="s">
        <v>1007</v>
      </c>
      <c r="F923" t="s">
        <v>5324</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4" customHeight="1">
      <c r="A924" t="s">
        <v>700</v>
      </c>
      <c r="B924">
        <v>41</v>
      </c>
      <c r="C924" t="s">
        <v>37</v>
      </c>
      <c r="D924">
        <v>48</v>
      </c>
      <c r="E924" t="s">
        <v>1007</v>
      </c>
      <c r="F924" t="s">
        <v>5324</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4" customHeight="1">
      <c r="A925" t="s">
        <v>700</v>
      </c>
      <c r="B925">
        <v>42</v>
      </c>
      <c r="C925" t="s">
        <v>37</v>
      </c>
      <c r="D925">
        <v>49</v>
      </c>
      <c r="E925" t="s">
        <v>1007</v>
      </c>
      <c r="F925" t="s">
        <v>5325</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4" customHeight="1">
      <c r="A926" t="s">
        <v>700</v>
      </c>
      <c r="B926">
        <v>43</v>
      </c>
      <c r="C926" t="s">
        <v>37</v>
      </c>
      <c r="D926">
        <v>50</v>
      </c>
      <c r="E926" t="s">
        <v>1019</v>
      </c>
      <c r="F926" t="s">
        <v>5322</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4" customHeight="1">
      <c r="A927" t="s">
        <v>700</v>
      </c>
      <c r="B927">
        <v>44</v>
      </c>
      <c r="C927" t="s">
        <v>37</v>
      </c>
      <c r="D927">
        <v>51</v>
      </c>
      <c r="E927" t="s">
        <v>1019</v>
      </c>
      <c r="F927" t="s">
        <v>5323</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4" customHeight="1">
      <c r="A928" t="s">
        <v>700</v>
      </c>
      <c r="B928">
        <v>45</v>
      </c>
      <c r="C928" t="s">
        <v>37</v>
      </c>
      <c r="D928">
        <v>52</v>
      </c>
      <c r="E928" t="s">
        <v>1019</v>
      </c>
      <c r="F928" t="s">
        <v>5324</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4" customHeight="1">
      <c r="A929" t="s">
        <v>700</v>
      </c>
      <c r="B929">
        <v>46</v>
      </c>
      <c r="C929" t="s">
        <v>37</v>
      </c>
      <c r="D929">
        <v>53</v>
      </c>
      <c r="E929" t="s">
        <v>1019</v>
      </c>
      <c r="F929" t="s">
        <v>5324</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4" customHeight="1">
      <c r="A930" t="s">
        <v>700</v>
      </c>
      <c r="B930">
        <v>47</v>
      </c>
      <c r="C930" t="s">
        <v>37</v>
      </c>
      <c r="D930">
        <v>54</v>
      </c>
      <c r="E930" t="s">
        <v>1019</v>
      </c>
      <c r="F930" t="s">
        <v>5324</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4" customHeight="1">
      <c r="A931" t="s">
        <v>700</v>
      </c>
      <c r="B931">
        <v>48</v>
      </c>
      <c r="C931" t="s">
        <v>37</v>
      </c>
      <c r="D931">
        <v>55</v>
      </c>
      <c r="E931" t="s">
        <v>1019</v>
      </c>
      <c r="F931" t="s">
        <v>5324</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4" customHeight="1">
      <c r="A932" t="s">
        <v>700</v>
      </c>
      <c r="B932">
        <v>49</v>
      </c>
      <c r="C932" t="s">
        <v>37</v>
      </c>
      <c r="D932">
        <v>56</v>
      </c>
      <c r="E932" t="s">
        <v>1019</v>
      </c>
      <c r="F932" t="s">
        <v>5324</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4" customHeight="1">
      <c r="A933" t="s">
        <v>700</v>
      </c>
      <c r="B933">
        <v>50</v>
      </c>
      <c r="C933" t="s">
        <v>37</v>
      </c>
      <c r="D933">
        <v>57</v>
      </c>
      <c r="E933" t="s">
        <v>1019</v>
      </c>
      <c r="F933" t="s">
        <v>5324</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4" customHeight="1">
      <c r="A934" t="s">
        <v>700</v>
      </c>
      <c r="B934">
        <v>51</v>
      </c>
      <c r="C934" t="s">
        <v>37</v>
      </c>
      <c r="D934">
        <v>58</v>
      </c>
      <c r="E934" t="s">
        <v>1019</v>
      </c>
      <c r="F934" t="s">
        <v>5324</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4" customHeight="1">
      <c r="A935" t="s">
        <v>700</v>
      </c>
      <c r="B935">
        <v>52</v>
      </c>
      <c r="C935" t="s">
        <v>37</v>
      </c>
      <c r="D935">
        <v>59</v>
      </c>
      <c r="E935" t="s">
        <v>1019</v>
      </c>
      <c r="F935" t="s">
        <v>5324</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4" customHeight="1">
      <c r="A936" t="s">
        <v>700</v>
      </c>
      <c r="B936">
        <v>53</v>
      </c>
      <c r="C936" t="s">
        <v>37</v>
      </c>
      <c r="D936">
        <v>60</v>
      </c>
      <c r="E936" t="s">
        <v>1019</v>
      </c>
      <c r="F936" t="s">
        <v>5325</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4" customHeight="1">
      <c r="A937" t="s">
        <v>700</v>
      </c>
      <c r="B937">
        <v>54</v>
      </c>
      <c r="C937" t="s">
        <v>37</v>
      </c>
      <c r="D937">
        <v>61</v>
      </c>
      <c r="E937" t="s">
        <v>1051</v>
      </c>
      <c r="F937" t="s">
        <v>5322</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4" customHeight="1">
      <c r="A938" t="s">
        <v>700</v>
      </c>
      <c r="B938">
        <v>55</v>
      </c>
      <c r="C938" t="s">
        <v>37</v>
      </c>
      <c r="D938">
        <v>62</v>
      </c>
      <c r="E938" t="s">
        <v>1051</v>
      </c>
      <c r="F938" t="s">
        <v>5323</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4" customHeight="1">
      <c r="A939" t="s">
        <v>700</v>
      </c>
      <c r="B939">
        <v>56</v>
      </c>
      <c r="C939" t="s">
        <v>37</v>
      </c>
      <c r="D939">
        <v>63</v>
      </c>
      <c r="E939" t="s">
        <v>1051</v>
      </c>
      <c r="F939" t="s">
        <v>5324</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4" customHeight="1">
      <c r="A940" t="s">
        <v>700</v>
      </c>
      <c r="B940">
        <v>57</v>
      </c>
      <c r="C940" t="s">
        <v>37</v>
      </c>
      <c r="D940">
        <v>64</v>
      </c>
      <c r="E940" t="s">
        <v>1051</v>
      </c>
      <c r="F940" t="s">
        <v>5324</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4" customHeight="1">
      <c r="A941" t="s">
        <v>700</v>
      </c>
      <c r="B941">
        <v>58</v>
      </c>
      <c r="C941" t="s">
        <v>37</v>
      </c>
      <c r="D941">
        <v>65</v>
      </c>
      <c r="E941" t="s">
        <v>1051</v>
      </c>
      <c r="F941" t="s">
        <v>5324</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4" customHeight="1">
      <c r="A942" t="s">
        <v>700</v>
      </c>
      <c r="B942">
        <v>59</v>
      </c>
      <c r="C942" t="s">
        <v>37</v>
      </c>
      <c r="D942">
        <v>66</v>
      </c>
      <c r="E942" t="s">
        <v>1051</v>
      </c>
      <c r="F942" t="s">
        <v>5324</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4" customHeight="1">
      <c r="A943" t="s">
        <v>700</v>
      </c>
      <c r="B943">
        <v>60</v>
      </c>
      <c r="C943" t="s">
        <v>37</v>
      </c>
      <c r="D943">
        <v>67</v>
      </c>
      <c r="E943" t="s">
        <v>1051</v>
      </c>
      <c r="F943" t="s">
        <v>5324</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4" customHeight="1">
      <c r="A944" t="s">
        <v>700</v>
      </c>
      <c r="B944">
        <v>61</v>
      </c>
      <c r="C944" t="s">
        <v>37</v>
      </c>
      <c r="D944">
        <v>68</v>
      </c>
      <c r="E944" t="s">
        <v>1051</v>
      </c>
      <c r="F944" t="s">
        <v>5324</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4" customHeight="1">
      <c r="A945" t="s">
        <v>700</v>
      </c>
      <c r="B945">
        <v>62</v>
      </c>
      <c r="C945" t="s">
        <v>37</v>
      </c>
      <c r="D945">
        <v>69</v>
      </c>
      <c r="E945" t="s">
        <v>1051</v>
      </c>
      <c r="F945" t="s">
        <v>5324</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4" customHeight="1">
      <c r="A946" t="s">
        <v>700</v>
      </c>
      <c r="B946">
        <v>63</v>
      </c>
      <c r="C946" t="s">
        <v>37</v>
      </c>
      <c r="D946">
        <v>70</v>
      </c>
      <c r="E946" t="s">
        <v>1051</v>
      </c>
      <c r="F946" t="s">
        <v>5324</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4" customHeight="1">
      <c r="A947" t="s">
        <v>700</v>
      </c>
      <c r="B947">
        <v>64</v>
      </c>
      <c r="C947" t="s">
        <v>37</v>
      </c>
      <c r="D947">
        <v>71</v>
      </c>
      <c r="E947" t="s">
        <v>1051</v>
      </c>
      <c r="F947" t="s">
        <v>5325</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4" customHeight="1">
      <c r="A948" t="s">
        <v>700</v>
      </c>
      <c r="B948">
        <v>65</v>
      </c>
      <c r="C948" t="s">
        <v>37</v>
      </c>
      <c r="D948">
        <v>72</v>
      </c>
      <c r="E948" t="s">
        <v>1052</v>
      </c>
      <c r="F948" t="s">
        <v>5322</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4" customHeight="1">
      <c r="A949" t="s">
        <v>700</v>
      </c>
      <c r="B949">
        <v>66</v>
      </c>
      <c r="C949" t="s">
        <v>37</v>
      </c>
      <c r="D949">
        <v>73</v>
      </c>
      <c r="E949" t="s">
        <v>1052</v>
      </c>
      <c r="F949" t="s">
        <v>5323</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4" customHeight="1">
      <c r="A950" t="s">
        <v>700</v>
      </c>
      <c r="B950">
        <v>67</v>
      </c>
      <c r="C950" t="s">
        <v>37</v>
      </c>
      <c r="D950">
        <v>74</v>
      </c>
      <c r="E950" t="s">
        <v>1052</v>
      </c>
      <c r="F950" t="s">
        <v>5324</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4" customHeight="1">
      <c r="A951" t="s">
        <v>700</v>
      </c>
      <c r="B951">
        <v>68</v>
      </c>
      <c r="C951" t="s">
        <v>37</v>
      </c>
      <c r="D951">
        <v>75</v>
      </c>
      <c r="E951" t="s">
        <v>1052</v>
      </c>
      <c r="F951" t="s">
        <v>5324</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4" customHeight="1">
      <c r="A952" t="s">
        <v>700</v>
      </c>
      <c r="B952">
        <v>69</v>
      </c>
      <c r="C952" t="s">
        <v>37</v>
      </c>
      <c r="D952">
        <v>76</v>
      </c>
      <c r="E952" t="s">
        <v>1052</v>
      </c>
      <c r="F952" t="s">
        <v>5324</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4" customHeight="1">
      <c r="A953" t="s">
        <v>700</v>
      </c>
      <c r="B953">
        <v>70</v>
      </c>
      <c r="C953" t="s">
        <v>37</v>
      </c>
      <c r="D953">
        <v>77</v>
      </c>
      <c r="E953" t="s">
        <v>1052</v>
      </c>
      <c r="F953" t="s">
        <v>5324</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4" customHeight="1">
      <c r="A954" t="s">
        <v>700</v>
      </c>
      <c r="B954">
        <v>71</v>
      </c>
      <c r="C954" t="s">
        <v>37</v>
      </c>
      <c r="D954">
        <v>78</v>
      </c>
      <c r="E954" t="s">
        <v>1052</v>
      </c>
      <c r="F954" t="s">
        <v>5324</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4" customHeight="1">
      <c r="A955" t="s">
        <v>700</v>
      </c>
      <c r="B955">
        <v>72</v>
      </c>
      <c r="C955" t="s">
        <v>37</v>
      </c>
      <c r="D955">
        <v>79</v>
      </c>
      <c r="E955" t="s">
        <v>1052</v>
      </c>
      <c r="F955" t="s">
        <v>5324</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4" customHeight="1">
      <c r="A956" t="s">
        <v>700</v>
      </c>
      <c r="B956">
        <v>73</v>
      </c>
      <c r="C956" t="s">
        <v>37</v>
      </c>
      <c r="D956">
        <v>80</v>
      </c>
      <c r="E956" t="s">
        <v>1052</v>
      </c>
      <c r="F956" t="s">
        <v>5324</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4" customHeight="1">
      <c r="A957" t="s">
        <v>700</v>
      </c>
      <c r="B957">
        <v>74</v>
      </c>
      <c r="C957" t="s">
        <v>37</v>
      </c>
      <c r="D957">
        <v>81</v>
      </c>
      <c r="E957" t="s">
        <v>1052</v>
      </c>
      <c r="F957" t="s">
        <v>5324</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4" customHeight="1">
      <c r="A958" t="s">
        <v>700</v>
      </c>
      <c r="B958">
        <v>75</v>
      </c>
      <c r="C958" t="s">
        <v>37</v>
      </c>
      <c r="D958">
        <v>82</v>
      </c>
      <c r="E958" t="s">
        <v>1052</v>
      </c>
      <c r="F958" t="s">
        <v>5325</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4" customHeight="1">
      <c r="A959" t="s">
        <v>702</v>
      </c>
      <c r="B959">
        <v>1</v>
      </c>
      <c r="C959" t="s">
        <v>39</v>
      </c>
      <c r="D959">
        <v>8</v>
      </c>
      <c r="E959" t="s">
        <v>918</v>
      </c>
      <c r="F959" t="s">
        <v>5322</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4" customHeight="1">
      <c r="A960" t="s">
        <v>702</v>
      </c>
      <c r="B960">
        <v>2</v>
      </c>
      <c r="C960" t="s">
        <v>39</v>
      </c>
      <c r="D960">
        <v>9</v>
      </c>
      <c r="E960" t="s">
        <v>918</v>
      </c>
      <c r="F960" t="s">
        <v>5323</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4" customHeight="1">
      <c r="A961" t="s">
        <v>702</v>
      </c>
      <c r="B961">
        <v>3</v>
      </c>
      <c r="C961" t="s">
        <v>39</v>
      </c>
      <c r="D961">
        <v>10</v>
      </c>
      <c r="E961" t="s">
        <v>918</v>
      </c>
      <c r="F961" t="s">
        <v>5324</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4" customHeight="1">
      <c r="A962" t="s">
        <v>702</v>
      </c>
      <c r="B962">
        <v>4</v>
      </c>
      <c r="C962" t="s">
        <v>39</v>
      </c>
      <c r="D962">
        <v>11</v>
      </c>
      <c r="E962" t="s">
        <v>918</v>
      </c>
      <c r="F962" t="s">
        <v>5324</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4" customHeight="1">
      <c r="A963" t="s">
        <v>702</v>
      </c>
      <c r="B963">
        <v>5</v>
      </c>
      <c r="C963" t="s">
        <v>39</v>
      </c>
      <c r="D963">
        <v>12</v>
      </c>
      <c r="E963" t="s">
        <v>918</v>
      </c>
      <c r="F963" t="s">
        <v>5324</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4" customHeight="1">
      <c r="A964" t="s">
        <v>702</v>
      </c>
      <c r="B964">
        <v>6</v>
      </c>
      <c r="C964" t="s">
        <v>39</v>
      </c>
      <c r="D964">
        <v>13</v>
      </c>
      <c r="E964" t="s">
        <v>918</v>
      </c>
      <c r="F964" t="s">
        <v>5325</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4" customHeight="1">
      <c r="A965" t="s">
        <v>702</v>
      </c>
      <c r="B965">
        <v>7</v>
      </c>
      <c r="C965" t="s">
        <v>39</v>
      </c>
      <c r="D965">
        <v>14</v>
      </c>
      <c r="E965" t="s">
        <v>936</v>
      </c>
      <c r="F965" t="s">
        <v>5322</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4" customHeight="1">
      <c r="A966" t="s">
        <v>702</v>
      </c>
      <c r="B966">
        <v>8</v>
      </c>
      <c r="C966" t="s">
        <v>39</v>
      </c>
      <c r="D966">
        <v>15</v>
      </c>
      <c r="E966" t="s">
        <v>936</v>
      </c>
      <c r="F966" t="s">
        <v>5323</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4" customHeight="1">
      <c r="A967" t="s">
        <v>702</v>
      </c>
      <c r="B967">
        <v>9</v>
      </c>
      <c r="C967" t="s">
        <v>39</v>
      </c>
      <c r="D967">
        <v>16</v>
      </c>
      <c r="E967" t="s">
        <v>936</v>
      </c>
      <c r="F967" t="s">
        <v>5324</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4" customHeight="1">
      <c r="A968" t="s">
        <v>702</v>
      </c>
      <c r="B968">
        <v>10</v>
      </c>
      <c r="C968" t="s">
        <v>39</v>
      </c>
      <c r="D968">
        <v>17</v>
      </c>
      <c r="E968" t="s">
        <v>936</v>
      </c>
      <c r="F968" t="s">
        <v>5324</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4" customHeight="1">
      <c r="A969" t="s">
        <v>702</v>
      </c>
      <c r="B969">
        <v>11</v>
      </c>
      <c r="C969" t="s">
        <v>39</v>
      </c>
      <c r="D969">
        <v>18</v>
      </c>
      <c r="E969" t="s">
        <v>936</v>
      </c>
      <c r="F969" t="s">
        <v>5324</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4" customHeight="1">
      <c r="A970" t="s">
        <v>702</v>
      </c>
      <c r="B970">
        <v>12</v>
      </c>
      <c r="C970" t="s">
        <v>39</v>
      </c>
      <c r="D970">
        <v>19</v>
      </c>
      <c r="E970" t="s">
        <v>936</v>
      </c>
      <c r="F970" t="s">
        <v>5325</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4" customHeight="1">
      <c r="A971" t="s">
        <v>702</v>
      </c>
      <c r="B971">
        <v>13</v>
      </c>
      <c r="C971" t="s">
        <v>39</v>
      </c>
      <c r="D971">
        <v>20</v>
      </c>
      <c r="E971" t="s">
        <v>951</v>
      </c>
      <c r="F971" t="s">
        <v>5322</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4" customHeight="1">
      <c r="A972" t="s">
        <v>702</v>
      </c>
      <c r="B972">
        <v>14</v>
      </c>
      <c r="C972" t="s">
        <v>39</v>
      </c>
      <c r="D972">
        <v>21</v>
      </c>
      <c r="E972" t="s">
        <v>951</v>
      </c>
      <c r="F972" t="s">
        <v>5323</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4" customHeight="1">
      <c r="A973" t="s">
        <v>702</v>
      </c>
      <c r="B973">
        <v>15</v>
      </c>
      <c r="C973" t="s">
        <v>39</v>
      </c>
      <c r="D973">
        <v>22</v>
      </c>
      <c r="E973" t="s">
        <v>951</v>
      </c>
      <c r="F973" t="s">
        <v>5324</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4" customHeight="1">
      <c r="A974" t="s">
        <v>702</v>
      </c>
      <c r="B974">
        <v>16</v>
      </c>
      <c r="C974" t="s">
        <v>39</v>
      </c>
      <c r="D974">
        <v>23</v>
      </c>
      <c r="E974" t="s">
        <v>951</v>
      </c>
      <c r="F974" t="s">
        <v>5324</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4" customHeight="1">
      <c r="A975" t="s">
        <v>702</v>
      </c>
      <c r="B975">
        <v>17</v>
      </c>
      <c r="C975" t="s">
        <v>39</v>
      </c>
      <c r="D975">
        <v>24</v>
      </c>
      <c r="E975" t="s">
        <v>951</v>
      </c>
      <c r="F975" t="s">
        <v>5324</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4" customHeight="1">
      <c r="A976" t="s">
        <v>702</v>
      </c>
      <c r="B976">
        <v>18</v>
      </c>
      <c r="C976" t="s">
        <v>39</v>
      </c>
      <c r="D976">
        <v>25</v>
      </c>
      <c r="E976" t="s">
        <v>951</v>
      </c>
      <c r="F976" t="s">
        <v>5325</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4" customHeight="1">
      <c r="A977" t="s">
        <v>702</v>
      </c>
      <c r="B977">
        <v>19</v>
      </c>
      <c r="C977" t="s">
        <v>39</v>
      </c>
      <c r="D977">
        <v>26</v>
      </c>
      <c r="E977" t="s">
        <v>964</v>
      </c>
      <c r="F977" t="s">
        <v>5322</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4" customHeight="1">
      <c r="A978" t="s">
        <v>702</v>
      </c>
      <c r="B978">
        <v>20</v>
      </c>
      <c r="C978" t="s">
        <v>39</v>
      </c>
      <c r="D978">
        <v>27</v>
      </c>
      <c r="E978" t="s">
        <v>964</v>
      </c>
      <c r="F978" t="s">
        <v>5323</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4" customHeight="1">
      <c r="A979" t="s">
        <v>702</v>
      </c>
      <c r="B979">
        <v>21</v>
      </c>
      <c r="C979" t="s">
        <v>39</v>
      </c>
      <c r="D979">
        <v>28</v>
      </c>
      <c r="E979" t="s">
        <v>964</v>
      </c>
      <c r="F979" t="s">
        <v>5324</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4" customHeight="1">
      <c r="A980" t="s">
        <v>702</v>
      </c>
      <c r="B980">
        <v>22</v>
      </c>
      <c r="C980" t="s">
        <v>39</v>
      </c>
      <c r="D980">
        <v>29</v>
      </c>
      <c r="E980" t="s">
        <v>964</v>
      </c>
      <c r="F980" t="s">
        <v>5324</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4" customHeight="1">
      <c r="A981" t="s">
        <v>702</v>
      </c>
      <c r="B981">
        <v>23</v>
      </c>
      <c r="C981" t="s">
        <v>39</v>
      </c>
      <c r="D981">
        <v>30</v>
      </c>
      <c r="E981" t="s">
        <v>964</v>
      </c>
      <c r="F981" t="s">
        <v>5324</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4" customHeight="1">
      <c r="A982" t="s">
        <v>702</v>
      </c>
      <c r="B982">
        <v>24</v>
      </c>
      <c r="C982" t="s">
        <v>39</v>
      </c>
      <c r="D982">
        <v>31</v>
      </c>
      <c r="E982" t="s">
        <v>964</v>
      </c>
      <c r="F982" t="s">
        <v>5325</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4" customHeight="1">
      <c r="A983" t="s">
        <v>702</v>
      </c>
      <c r="B983">
        <v>25</v>
      </c>
      <c r="C983" t="s">
        <v>39</v>
      </c>
      <c r="D983">
        <v>32</v>
      </c>
      <c r="E983" t="s">
        <v>977</v>
      </c>
      <c r="F983" t="s">
        <v>5322</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4" customHeight="1">
      <c r="A984" t="s">
        <v>702</v>
      </c>
      <c r="B984">
        <v>26</v>
      </c>
      <c r="C984" t="s">
        <v>39</v>
      </c>
      <c r="D984">
        <v>33</v>
      </c>
      <c r="E984" t="s">
        <v>977</v>
      </c>
      <c r="F984" t="s">
        <v>5323</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4" customHeight="1">
      <c r="A985" t="s">
        <v>702</v>
      </c>
      <c r="B985">
        <v>27</v>
      </c>
      <c r="C985" t="s">
        <v>39</v>
      </c>
      <c r="D985">
        <v>34</v>
      </c>
      <c r="E985" t="s">
        <v>977</v>
      </c>
      <c r="F985" t="s">
        <v>5324</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4" customHeight="1">
      <c r="A986" t="s">
        <v>702</v>
      </c>
      <c r="B986">
        <v>28</v>
      </c>
      <c r="C986" t="s">
        <v>39</v>
      </c>
      <c r="D986">
        <v>35</v>
      </c>
      <c r="E986" t="s">
        <v>977</v>
      </c>
      <c r="F986" t="s">
        <v>5324</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4" customHeight="1">
      <c r="A987" t="s">
        <v>702</v>
      </c>
      <c r="B987">
        <v>29</v>
      </c>
      <c r="C987" t="s">
        <v>39</v>
      </c>
      <c r="D987">
        <v>36</v>
      </c>
      <c r="E987" t="s">
        <v>977</v>
      </c>
      <c r="F987" t="s">
        <v>5324</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4" customHeight="1">
      <c r="A988" t="s">
        <v>702</v>
      </c>
      <c r="B988">
        <v>30</v>
      </c>
      <c r="C988" t="s">
        <v>39</v>
      </c>
      <c r="D988">
        <v>37</v>
      </c>
      <c r="E988" t="s">
        <v>977</v>
      </c>
      <c r="F988" t="s">
        <v>5325</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4" customHeight="1">
      <c r="A989" t="s">
        <v>702</v>
      </c>
      <c r="B989">
        <v>31</v>
      </c>
      <c r="C989" t="s">
        <v>39</v>
      </c>
      <c r="D989">
        <v>38</v>
      </c>
      <c r="E989" t="s">
        <v>994</v>
      </c>
      <c r="F989" t="s">
        <v>5322</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4" customHeight="1">
      <c r="A990" t="s">
        <v>702</v>
      </c>
      <c r="B990">
        <v>32</v>
      </c>
      <c r="C990" t="s">
        <v>39</v>
      </c>
      <c r="D990">
        <v>39</v>
      </c>
      <c r="E990" t="s">
        <v>994</v>
      </c>
      <c r="F990" t="s">
        <v>5323</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4" customHeight="1">
      <c r="A991" t="s">
        <v>702</v>
      </c>
      <c r="B991">
        <v>33</v>
      </c>
      <c r="C991" t="s">
        <v>39</v>
      </c>
      <c r="D991">
        <v>40</v>
      </c>
      <c r="E991" t="s">
        <v>994</v>
      </c>
      <c r="F991" t="s">
        <v>5324</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4" customHeight="1">
      <c r="A992" t="s">
        <v>702</v>
      </c>
      <c r="B992">
        <v>34</v>
      </c>
      <c r="C992" t="s">
        <v>39</v>
      </c>
      <c r="D992">
        <v>41</v>
      </c>
      <c r="E992" t="s">
        <v>994</v>
      </c>
      <c r="F992" t="s">
        <v>5324</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4" customHeight="1">
      <c r="A993" t="s">
        <v>702</v>
      </c>
      <c r="B993">
        <v>35</v>
      </c>
      <c r="C993" t="s">
        <v>39</v>
      </c>
      <c r="D993">
        <v>42</v>
      </c>
      <c r="E993" t="s">
        <v>994</v>
      </c>
      <c r="F993" t="s">
        <v>5324</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4" customHeight="1">
      <c r="A994" t="s">
        <v>702</v>
      </c>
      <c r="B994">
        <v>36</v>
      </c>
      <c r="C994" t="s">
        <v>39</v>
      </c>
      <c r="D994">
        <v>43</v>
      </c>
      <c r="E994" t="s">
        <v>994</v>
      </c>
      <c r="F994" t="s">
        <v>5325</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4" customHeight="1">
      <c r="A995" t="s">
        <v>702</v>
      </c>
      <c r="B995">
        <v>37</v>
      </c>
      <c r="C995" t="s">
        <v>39</v>
      </c>
      <c r="D995">
        <v>44</v>
      </c>
      <c r="E995" t="s">
        <v>1007</v>
      </c>
      <c r="F995" t="s">
        <v>5322</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4" customHeight="1">
      <c r="A996" t="s">
        <v>702</v>
      </c>
      <c r="B996">
        <v>38</v>
      </c>
      <c r="C996" t="s">
        <v>39</v>
      </c>
      <c r="D996">
        <v>45</v>
      </c>
      <c r="E996" t="s">
        <v>1007</v>
      </c>
      <c r="F996" t="s">
        <v>5323</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4" customHeight="1">
      <c r="A997" t="s">
        <v>702</v>
      </c>
      <c r="B997">
        <v>39</v>
      </c>
      <c r="C997" t="s">
        <v>39</v>
      </c>
      <c r="D997">
        <v>46</v>
      </c>
      <c r="E997" t="s">
        <v>1007</v>
      </c>
      <c r="F997" t="s">
        <v>5324</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4" customHeight="1">
      <c r="A998" t="s">
        <v>702</v>
      </c>
      <c r="B998">
        <v>40</v>
      </c>
      <c r="C998" t="s">
        <v>39</v>
      </c>
      <c r="D998">
        <v>47</v>
      </c>
      <c r="E998" t="s">
        <v>1007</v>
      </c>
      <c r="F998" t="s">
        <v>5324</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4" customHeight="1">
      <c r="A999" t="s">
        <v>702</v>
      </c>
      <c r="B999">
        <v>41</v>
      </c>
      <c r="C999" t="s">
        <v>39</v>
      </c>
      <c r="D999">
        <v>48</v>
      </c>
      <c r="E999" t="s">
        <v>1007</v>
      </c>
      <c r="F999" t="s">
        <v>5324</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4" customHeight="1">
      <c r="A1000" t="s">
        <v>702</v>
      </c>
      <c r="B1000">
        <v>42</v>
      </c>
      <c r="C1000" t="s">
        <v>39</v>
      </c>
      <c r="D1000">
        <v>49</v>
      </c>
      <c r="E1000" t="s">
        <v>1007</v>
      </c>
      <c r="F1000" t="s">
        <v>5325</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4" customHeight="1">
      <c r="A1001" t="s">
        <v>702</v>
      </c>
      <c r="B1001">
        <v>43</v>
      </c>
      <c r="C1001" t="s">
        <v>39</v>
      </c>
      <c r="D1001">
        <v>50</v>
      </c>
      <c r="E1001" t="s">
        <v>1019</v>
      </c>
      <c r="F1001" t="s">
        <v>5322</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4" customHeight="1">
      <c r="A1002" t="s">
        <v>702</v>
      </c>
      <c r="B1002">
        <v>44</v>
      </c>
      <c r="C1002" t="s">
        <v>39</v>
      </c>
      <c r="D1002">
        <v>51</v>
      </c>
      <c r="E1002" t="s">
        <v>1019</v>
      </c>
      <c r="F1002" t="s">
        <v>5323</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4" customHeight="1">
      <c r="A1003" t="s">
        <v>702</v>
      </c>
      <c r="B1003">
        <v>45</v>
      </c>
      <c r="C1003" t="s">
        <v>39</v>
      </c>
      <c r="D1003">
        <v>52</v>
      </c>
      <c r="E1003" t="s">
        <v>1019</v>
      </c>
      <c r="F1003" t="s">
        <v>5324</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4" customHeight="1">
      <c r="A1004" t="s">
        <v>702</v>
      </c>
      <c r="B1004">
        <v>46</v>
      </c>
      <c r="C1004" t="s">
        <v>39</v>
      </c>
      <c r="D1004">
        <v>53</v>
      </c>
      <c r="E1004" t="s">
        <v>1019</v>
      </c>
      <c r="F1004" t="s">
        <v>5324</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4" customHeight="1">
      <c r="A1005" t="s">
        <v>702</v>
      </c>
      <c r="B1005">
        <v>47</v>
      </c>
      <c r="C1005" t="s">
        <v>39</v>
      </c>
      <c r="D1005">
        <v>54</v>
      </c>
      <c r="E1005" t="s">
        <v>1019</v>
      </c>
      <c r="F1005" t="s">
        <v>5324</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4" customHeight="1">
      <c r="A1006" t="s">
        <v>702</v>
      </c>
      <c r="B1006">
        <v>48</v>
      </c>
      <c r="C1006" t="s">
        <v>39</v>
      </c>
      <c r="D1006">
        <v>55</v>
      </c>
      <c r="E1006" t="s">
        <v>1019</v>
      </c>
      <c r="F1006" t="s">
        <v>5324</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4" customHeight="1">
      <c r="A1007" t="s">
        <v>702</v>
      </c>
      <c r="B1007">
        <v>49</v>
      </c>
      <c r="C1007" t="s">
        <v>39</v>
      </c>
      <c r="D1007">
        <v>56</v>
      </c>
      <c r="E1007" t="s">
        <v>1019</v>
      </c>
      <c r="F1007" t="s">
        <v>5324</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4" customHeight="1">
      <c r="A1008" t="s">
        <v>702</v>
      </c>
      <c r="B1008">
        <v>50</v>
      </c>
      <c r="C1008" t="s">
        <v>39</v>
      </c>
      <c r="D1008">
        <v>57</v>
      </c>
      <c r="E1008" t="s">
        <v>1019</v>
      </c>
      <c r="F1008" t="s">
        <v>5324</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4" customHeight="1">
      <c r="A1009" t="s">
        <v>702</v>
      </c>
      <c r="B1009">
        <v>51</v>
      </c>
      <c r="C1009" t="s">
        <v>39</v>
      </c>
      <c r="D1009">
        <v>58</v>
      </c>
      <c r="E1009" t="s">
        <v>1019</v>
      </c>
      <c r="F1009" t="s">
        <v>5324</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4" customHeight="1">
      <c r="A1010" t="s">
        <v>702</v>
      </c>
      <c r="B1010">
        <v>52</v>
      </c>
      <c r="C1010" t="s">
        <v>39</v>
      </c>
      <c r="D1010">
        <v>59</v>
      </c>
      <c r="E1010" t="s">
        <v>1019</v>
      </c>
      <c r="F1010" t="s">
        <v>5324</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4" customHeight="1">
      <c r="A1011" t="s">
        <v>702</v>
      </c>
      <c r="B1011">
        <v>53</v>
      </c>
      <c r="C1011" t="s">
        <v>39</v>
      </c>
      <c r="D1011">
        <v>60</v>
      </c>
      <c r="E1011" t="s">
        <v>1019</v>
      </c>
      <c r="F1011" t="s">
        <v>5325</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4" customHeight="1">
      <c r="A1012" t="s">
        <v>702</v>
      </c>
      <c r="B1012">
        <v>54</v>
      </c>
      <c r="C1012" t="s">
        <v>39</v>
      </c>
      <c r="D1012">
        <v>61</v>
      </c>
      <c r="E1012" t="s">
        <v>1051</v>
      </c>
      <c r="F1012" t="s">
        <v>5322</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4" customHeight="1">
      <c r="A1013" t="s">
        <v>702</v>
      </c>
      <c r="B1013">
        <v>55</v>
      </c>
      <c r="C1013" t="s">
        <v>39</v>
      </c>
      <c r="D1013">
        <v>62</v>
      </c>
      <c r="E1013" t="s">
        <v>1051</v>
      </c>
      <c r="F1013" t="s">
        <v>5323</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4" customHeight="1">
      <c r="A1014" t="s">
        <v>702</v>
      </c>
      <c r="B1014">
        <v>56</v>
      </c>
      <c r="C1014" t="s">
        <v>39</v>
      </c>
      <c r="D1014">
        <v>63</v>
      </c>
      <c r="E1014" t="s">
        <v>1051</v>
      </c>
      <c r="F1014" t="s">
        <v>5324</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4" customHeight="1">
      <c r="A1015" t="s">
        <v>702</v>
      </c>
      <c r="B1015">
        <v>57</v>
      </c>
      <c r="C1015" t="s">
        <v>39</v>
      </c>
      <c r="D1015">
        <v>64</v>
      </c>
      <c r="E1015" t="s">
        <v>1051</v>
      </c>
      <c r="F1015" t="s">
        <v>5324</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4" customHeight="1">
      <c r="A1016" t="s">
        <v>702</v>
      </c>
      <c r="B1016">
        <v>58</v>
      </c>
      <c r="C1016" t="s">
        <v>39</v>
      </c>
      <c r="D1016">
        <v>65</v>
      </c>
      <c r="E1016" t="s">
        <v>1051</v>
      </c>
      <c r="F1016" t="s">
        <v>5324</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4" customHeight="1">
      <c r="A1017" t="s">
        <v>702</v>
      </c>
      <c r="B1017">
        <v>59</v>
      </c>
      <c r="C1017" t="s">
        <v>39</v>
      </c>
      <c r="D1017">
        <v>66</v>
      </c>
      <c r="E1017" t="s">
        <v>1051</v>
      </c>
      <c r="F1017" t="s">
        <v>5324</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4" customHeight="1">
      <c r="A1018" t="s">
        <v>702</v>
      </c>
      <c r="B1018">
        <v>60</v>
      </c>
      <c r="C1018" t="s">
        <v>39</v>
      </c>
      <c r="D1018">
        <v>67</v>
      </c>
      <c r="E1018" t="s">
        <v>1051</v>
      </c>
      <c r="F1018" t="s">
        <v>5324</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4" customHeight="1">
      <c r="A1019" t="s">
        <v>702</v>
      </c>
      <c r="B1019">
        <v>61</v>
      </c>
      <c r="C1019" t="s">
        <v>39</v>
      </c>
      <c r="D1019">
        <v>68</v>
      </c>
      <c r="E1019" t="s">
        <v>1051</v>
      </c>
      <c r="F1019" t="s">
        <v>5324</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4" customHeight="1">
      <c r="A1020" t="s">
        <v>702</v>
      </c>
      <c r="B1020">
        <v>62</v>
      </c>
      <c r="C1020" t="s">
        <v>39</v>
      </c>
      <c r="D1020">
        <v>69</v>
      </c>
      <c r="E1020" t="s">
        <v>1051</v>
      </c>
      <c r="F1020" t="s">
        <v>5324</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4" customHeight="1">
      <c r="A1021" t="s">
        <v>702</v>
      </c>
      <c r="B1021">
        <v>63</v>
      </c>
      <c r="C1021" t="s">
        <v>39</v>
      </c>
      <c r="D1021">
        <v>70</v>
      </c>
      <c r="E1021" t="s">
        <v>1051</v>
      </c>
      <c r="F1021" t="s">
        <v>5324</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4" customHeight="1">
      <c r="A1022" t="s">
        <v>702</v>
      </c>
      <c r="B1022">
        <v>64</v>
      </c>
      <c r="C1022" t="s">
        <v>39</v>
      </c>
      <c r="D1022">
        <v>71</v>
      </c>
      <c r="E1022" t="s">
        <v>1051</v>
      </c>
      <c r="F1022" t="s">
        <v>5325</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4" customHeight="1">
      <c r="A1023" t="s">
        <v>702</v>
      </c>
      <c r="B1023">
        <v>65</v>
      </c>
      <c r="C1023" t="s">
        <v>39</v>
      </c>
      <c r="D1023">
        <v>72</v>
      </c>
      <c r="E1023" t="s">
        <v>1052</v>
      </c>
      <c r="F1023" t="s">
        <v>5322</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4" customHeight="1">
      <c r="A1024" t="s">
        <v>702</v>
      </c>
      <c r="B1024">
        <v>66</v>
      </c>
      <c r="C1024" t="s">
        <v>39</v>
      </c>
      <c r="D1024">
        <v>73</v>
      </c>
      <c r="E1024" t="s">
        <v>1052</v>
      </c>
      <c r="F1024" t="s">
        <v>5323</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4" customHeight="1">
      <c r="A1025" t="s">
        <v>702</v>
      </c>
      <c r="B1025">
        <v>67</v>
      </c>
      <c r="C1025" t="s">
        <v>39</v>
      </c>
      <c r="D1025">
        <v>74</v>
      </c>
      <c r="E1025" t="s">
        <v>1052</v>
      </c>
      <c r="F1025" t="s">
        <v>5324</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4" customHeight="1">
      <c r="A1026" t="s">
        <v>702</v>
      </c>
      <c r="B1026">
        <v>68</v>
      </c>
      <c r="C1026" t="s">
        <v>39</v>
      </c>
      <c r="D1026">
        <v>75</v>
      </c>
      <c r="E1026" t="s">
        <v>1052</v>
      </c>
      <c r="F1026" t="s">
        <v>5324</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4" customHeight="1">
      <c r="A1027" t="s">
        <v>702</v>
      </c>
      <c r="B1027">
        <v>69</v>
      </c>
      <c r="C1027" t="s">
        <v>39</v>
      </c>
      <c r="D1027">
        <v>76</v>
      </c>
      <c r="E1027" t="s">
        <v>1052</v>
      </c>
      <c r="F1027" t="s">
        <v>5324</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4" customHeight="1">
      <c r="A1028" t="s">
        <v>702</v>
      </c>
      <c r="B1028">
        <v>70</v>
      </c>
      <c r="C1028" t="s">
        <v>39</v>
      </c>
      <c r="D1028">
        <v>77</v>
      </c>
      <c r="E1028" t="s">
        <v>1052</v>
      </c>
      <c r="F1028" t="s">
        <v>5324</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4" customHeight="1">
      <c r="A1029" t="s">
        <v>702</v>
      </c>
      <c r="B1029">
        <v>71</v>
      </c>
      <c r="C1029" t="s">
        <v>39</v>
      </c>
      <c r="D1029">
        <v>78</v>
      </c>
      <c r="E1029" t="s">
        <v>1052</v>
      </c>
      <c r="F1029" t="s">
        <v>5324</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4" customHeight="1">
      <c r="A1030" t="s">
        <v>702</v>
      </c>
      <c r="B1030">
        <v>72</v>
      </c>
      <c r="C1030" t="s">
        <v>39</v>
      </c>
      <c r="D1030">
        <v>79</v>
      </c>
      <c r="E1030" t="s">
        <v>1052</v>
      </c>
      <c r="F1030" t="s">
        <v>5324</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4" customHeight="1">
      <c r="A1031" t="s">
        <v>702</v>
      </c>
      <c r="B1031">
        <v>73</v>
      </c>
      <c r="C1031" t="s">
        <v>39</v>
      </c>
      <c r="D1031">
        <v>80</v>
      </c>
      <c r="E1031" t="s">
        <v>1052</v>
      </c>
      <c r="F1031" t="s">
        <v>5324</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4" customHeight="1">
      <c r="A1032" t="s">
        <v>702</v>
      </c>
      <c r="B1032">
        <v>74</v>
      </c>
      <c r="C1032" t="s">
        <v>39</v>
      </c>
      <c r="D1032">
        <v>81</v>
      </c>
      <c r="E1032" t="s">
        <v>1052</v>
      </c>
      <c r="F1032" t="s">
        <v>5324</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4" customHeight="1">
      <c r="A1033" t="s">
        <v>702</v>
      </c>
      <c r="B1033">
        <v>75</v>
      </c>
      <c r="C1033" t="s">
        <v>39</v>
      </c>
      <c r="D1033">
        <v>82</v>
      </c>
      <c r="E1033" t="s">
        <v>1052</v>
      </c>
      <c r="F1033" t="s">
        <v>5325</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4" customHeight="1">
      <c r="A1034" t="s">
        <v>703</v>
      </c>
      <c r="B1034">
        <v>1</v>
      </c>
      <c r="C1034" t="s">
        <v>41</v>
      </c>
      <c r="D1034">
        <v>8</v>
      </c>
      <c r="E1034" t="s">
        <v>918</v>
      </c>
      <c r="F1034" t="s">
        <v>5322</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4" customHeight="1">
      <c r="A1035" t="s">
        <v>703</v>
      </c>
      <c r="B1035">
        <v>2</v>
      </c>
      <c r="C1035" t="s">
        <v>41</v>
      </c>
      <c r="D1035">
        <v>9</v>
      </c>
      <c r="E1035" t="s">
        <v>918</v>
      </c>
      <c r="F1035" t="s">
        <v>5323</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4" customHeight="1">
      <c r="A1036" t="s">
        <v>703</v>
      </c>
      <c r="B1036">
        <v>3</v>
      </c>
      <c r="C1036" t="s">
        <v>41</v>
      </c>
      <c r="D1036">
        <v>10</v>
      </c>
      <c r="E1036" t="s">
        <v>918</v>
      </c>
      <c r="F1036" t="s">
        <v>5324</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4" customHeight="1">
      <c r="A1037" t="s">
        <v>703</v>
      </c>
      <c r="B1037">
        <v>4</v>
      </c>
      <c r="C1037" t="s">
        <v>41</v>
      </c>
      <c r="D1037">
        <v>11</v>
      </c>
      <c r="E1037" t="s">
        <v>918</v>
      </c>
      <c r="F1037" t="s">
        <v>5324</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4" customHeight="1">
      <c r="A1038" t="s">
        <v>703</v>
      </c>
      <c r="B1038">
        <v>5</v>
      </c>
      <c r="C1038" t="s">
        <v>41</v>
      </c>
      <c r="D1038">
        <v>12</v>
      </c>
      <c r="E1038" t="s">
        <v>918</v>
      </c>
      <c r="F1038" t="s">
        <v>5325</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4" customHeight="1">
      <c r="A1039" t="s">
        <v>703</v>
      </c>
      <c r="B1039">
        <v>6</v>
      </c>
      <c r="C1039" t="s">
        <v>41</v>
      </c>
      <c r="D1039">
        <v>13</v>
      </c>
      <c r="E1039" t="s">
        <v>936</v>
      </c>
      <c r="F1039" t="s">
        <v>5322</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4" customHeight="1">
      <c r="A1040" t="s">
        <v>703</v>
      </c>
      <c r="B1040">
        <v>7</v>
      </c>
      <c r="C1040" t="s">
        <v>41</v>
      </c>
      <c r="D1040">
        <v>14</v>
      </c>
      <c r="E1040" t="s">
        <v>936</v>
      </c>
      <c r="F1040" t="s">
        <v>5323</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4" customHeight="1">
      <c r="A1041" t="s">
        <v>703</v>
      </c>
      <c r="B1041">
        <v>8</v>
      </c>
      <c r="C1041" t="s">
        <v>41</v>
      </c>
      <c r="D1041">
        <v>15</v>
      </c>
      <c r="E1041" t="s">
        <v>936</v>
      </c>
      <c r="F1041" t="s">
        <v>5324</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4" customHeight="1">
      <c r="A1042" t="s">
        <v>703</v>
      </c>
      <c r="B1042">
        <v>9</v>
      </c>
      <c r="C1042" t="s">
        <v>41</v>
      </c>
      <c r="D1042">
        <v>16</v>
      </c>
      <c r="E1042" t="s">
        <v>936</v>
      </c>
      <c r="F1042" t="s">
        <v>5324</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4" customHeight="1">
      <c r="A1043" t="s">
        <v>703</v>
      </c>
      <c r="B1043">
        <v>10</v>
      </c>
      <c r="C1043" t="s">
        <v>41</v>
      </c>
      <c r="D1043">
        <v>17</v>
      </c>
      <c r="E1043" t="s">
        <v>936</v>
      </c>
      <c r="F1043" t="s">
        <v>5325</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4" customHeight="1">
      <c r="A1044" t="s">
        <v>703</v>
      </c>
      <c r="B1044">
        <v>11</v>
      </c>
      <c r="C1044" t="s">
        <v>41</v>
      </c>
      <c r="D1044">
        <v>18</v>
      </c>
      <c r="E1044" t="s">
        <v>951</v>
      </c>
      <c r="F1044" t="s">
        <v>5322</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4" customHeight="1">
      <c r="A1045" t="s">
        <v>703</v>
      </c>
      <c r="B1045">
        <v>12</v>
      </c>
      <c r="C1045" t="s">
        <v>41</v>
      </c>
      <c r="D1045">
        <v>19</v>
      </c>
      <c r="E1045" t="s">
        <v>951</v>
      </c>
      <c r="F1045" t="s">
        <v>5323</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4" customHeight="1">
      <c r="A1046" t="s">
        <v>703</v>
      </c>
      <c r="B1046">
        <v>13</v>
      </c>
      <c r="C1046" t="s">
        <v>41</v>
      </c>
      <c r="D1046">
        <v>20</v>
      </c>
      <c r="E1046" t="s">
        <v>951</v>
      </c>
      <c r="F1046" t="s">
        <v>5324</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4" customHeight="1">
      <c r="A1047" t="s">
        <v>703</v>
      </c>
      <c r="B1047">
        <v>14</v>
      </c>
      <c r="C1047" t="s">
        <v>41</v>
      </c>
      <c r="D1047">
        <v>21</v>
      </c>
      <c r="E1047" t="s">
        <v>951</v>
      </c>
      <c r="F1047" t="s">
        <v>5324</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4" customHeight="1">
      <c r="A1048" t="s">
        <v>703</v>
      </c>
      <c r="B1048">
        <v>15</v>
      </c>
      <c r="C1048" t="s">
        <v>41</v>
      </c>
      <c r="D1048">
        <v>22</v>
      </c>
      <c r="E1048" t="s">
        <v>951</v>
      </c>
      <c r="F1048" t="s">
        <v>5325</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4" customHeight="1">
      <c r="A1049" t="s">
        <v>703</v>
      </c>
      <c r="B1049">
        <v>16</v>
      </c>
      <c r="C1049" t="s">
        <v>41</v>
      </c>
      <c r="D1049">
        <v>23</v>
      </c>
      <c r="E1049" t="s">
        <v>964</v>
      </c>
      <c r="F1049" t="s">
        <v>5322</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4" customHeight="1">
      <c r="A1050" t="s">
        <v>703</v>
      </c>
      <c r="B1050">
        <v>17</v>
      </c>
      <c r="C1050" t="s">
        <v>41</v>
      </c>
      <c r="D1050">
        <v>24</v>
      </c>
      <c r="E1050" t="s">
        <v>964</v>
      </c>
      <c r="F1050" t="s">
        <v>5323</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4" customHeight="1">
      <c r="A1051" t="s">
        <v>703</v>
      </c>
      <c r="B1051">
        <v>18</v>
      </c>
      <c r="C1051" t="s">
        <v>41</v>
      </c>
      <c r="D1051">
        <v>25</v>
      </c>
      <c r="E1051" t="s">
        <v>964</v>
      </c>
      <c r="F1051" t="s">
        <v>5324</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4" customHeight="1">
      <c r="A1052" t="s">
        <v>703</v>
      </c>
      <c r="B1052">
        <v>19</v>
      </c>
      <c r="C1052" t="s">
        <v>41</v>
      </c>
      <c r="D1052">
        <v>26</v>
      </c>
      <c r="E1052" t="s">
        <v>964</v>
      </c>
      <c r="F1052" t="s">
        <v>5324</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4" customHeight="1">
      <c r="A1053" t="s">
        <v>703</v>
      </c>
      <c r="B1053">
        <v>20</v>
      </c>
      <c r="C1053" t="s">
        <v>41</v>
      </c>
      <c r="D1053">
        <v>27</v>
      </c>
      <c r="E1053" t="s">
        <v>964</v>
      </c>
      <c r="F1053" t="s">
        <v>5325</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4" customHeight="1">
      <c r="A1054" t="s">
        <v>703</v>
      </c>
      <c r="B1054">
        <v>21</v>
      </c>
      <c r="C1054" t="s">
        <v>41</v>
      </c>
      <c r="D1054">
        <v>28</v>
      </c>
      <c r="E1054" t="s">
        <v>977</v>
      </c>
      <c r="F1054" t="s">
        <v>5322</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4" customHeight="1">
      <c r="A1055" t="s">
        <v>703</v>
      </c>
      <c r="B1055">
        <v>22</v>
      </c>
      <c r="C1055" t="s">
        <v>41</v>
      </c>
      <c r="D1055">
        <v>29</v>
      </c>
      <c r="E1055" t="s">
        <v>977</v>
      </c>
      <c r="F1055" t="s">
        <v>5323</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4" customHeight="1">
      <c r="A1056" t="s">
        <v>703</v>
      </c>
      <c r="B1056">
        <v>23</v>
      </c>
      <c r="C1056" t="s">
        <v>41</v>
      </c>
      <c r="D1056">
        <v>30</v>
      </c>
      <c r="E1056" t="s">
        <v>977</v>
      </c>
      <c r="F1056" t="s">
        <v>5324</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4" customHeight="1">
      <c r="A1057" t="s">
        <v>703</v>
      </c>
      <c r="B1057">
        <v>24</v>
      </c>
      <c r="C1057" t="s">
        <v>41</v>
      </c>
      <c r="D1057">
        <v>31</v>
      </c>
      <c r="E1057" t="s">
        <v>977</v>
      </c>
      <c r="F1057" t="s">
        <v>5324</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4" customHeight="1">
      <c r="A1058" t="s">
        <v>703</v>
      </c>
      <c r="B1058">
        <v>25</v>
      </c>
      <c r="C1058" t="s">
        <v>41</v>
      </c>
      <c r="D1058">
        <v>32</v>
      </c>
      <c r="E1058" t="s">
        <v>977</v>
      </c>
      <c r="F1058" t="s">
        <v>5325</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4" customHeight="1">
      <c r="A1059" t="s">
        <v>703</v>
      </c>
      <c r="B1059">
        <v>26</v>
      </c>
      <c r="C1059" t="s">
        <v>41</v>
      </c>
      <c r="D1059">
        <v>33</v>
      </c>
      <c r="E1059" t="s">
        <v>994</v>
      </c>
      <c r="F1059" t="s">
        <v>5322</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4" customHeight="1">
      <c r="A1060" t="s">
        <v>703</v>
      </c>
      <c r="B1060">
        <v>27</v>
      </c>
      <c r="C1060" t="s">
        <v>41</v>
      </c>
      <c r="D1060">
        <v>34</v>
      </c>
      <c r="E1060" t="s">
        <v>994</v>
      </c>
      <c r="F1060" t="s">
        <v>5323</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4" customHeight="1">
      <c r="A1061" t="s">
        <v>703</v>
      </c>
      <c r="B1061">
        <v>28</v>
      </c>
      <c r="C1061" t="s">
        <v>41</v>
      </c>
      <c r="D1061">
        <v>35</v>
      </c>
      <c r="E1061" t="s">
        <v>994</v>
      </c>
      <c r="F1061" t="s">
        <v>5324</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4" customHeight="1">
      <c r="A1062" t="s">
        <v>703</v>
      </c>
      <c r="B1062">
        <v>29</v>
      </c>
      <c r="C1062" t="s">
        <v>41</v>
      </c>
      <c r="D1062">
        <v>36</v>
      </c>
      <c r="E1062" t="s">
        <v>994</v>
      </c>
      <c r="F1062" t="s">
        <v>5324</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4" customHeight="1">
      <c r="A1063" t="s">
        <v>703</v>
      </c>
      <c r="B1063">
        <v>30</v>
      </c>
      <c r="C1063" t="s">
        <v>41</v>
      </c>
      <c r="D1063">
        <v>37</v>
      </c>
      <c r="E1063" t="s">
        <v>994</v>
      </c>
      <c r="F1063" t="s">
        <v>5325</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4" customHeight="1">
      <c r="A1064" t="s">
        <v>703</v>
      </c>
      <c r="B1064">
        <v>31</v>
      </c>
      <c r="C1064" t="s">
        <v>41</v>
      </c>
      <c r="D1064">
        <v>38</v>
      </c>
      <c r="E1064" t="s">
        <v>1007</v>
      </c>
      <c r="F1064" t="s">
        <v>5322</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4" customHeight="1">
      <c r="A1065" t="s">
        <v>703</v>
      </c>
      <c r="B1065">
        <v>32</v>
      </c>
      <c r="C1065" t="s">
        <v>41</v>
      </c>
      <c r="D1065">
        <v>39</v>
      </c>
      <c r="E1065" t="s">
        <v>1007</v>
      </c>
      <c r="F1065" t="s">
        <v>5323</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4" customHeight="1">
      <c r="A1066" t="s">
        <v>703</v>
      </c>
      <c r="B1066">
        <v>33</v>
      </c>
      <c r="C1066" t="s">
        <v>41</v>
      </c>
      <c r="D1066">
        <v>40</v>
      </c>
      <c r="E1066" t="s">
        <v>1007</v>
      </c>
      <c r="F1066" t="s">
        <v>5324</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4" customHeight="1">
      <c r="A1067" t="s">
        <v>703</v>
      </c>
      <c r="B1067">
        <v>34</v>
      </c>
      <c r="C1067" t="s">
        <v>41</v>
      </c>
      <c r="D1067">
        <v>41</v>
      </c>
      <c r="E1067" t="s">
        <v>1007</v>
      </c>
      <c r="F1067" t="s">
        <v>5324</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4" customHeight="1">
      <c r="A1068" t="s">
        <v>703</v>
      </c>
      <c r="B1068">
        <v>35</v>
      </c>
      <c r="C1068" t="s">
        <v>41</v>
      </c>
      <c r="D1068">
        <v>42</v>
      </c>
      <c r="E1068" t="s">
        <v>1007</v>
      </c>
      <c r="F1068" t="s">
        <v>5325</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4" customHeight="1">
      <c r="A1069" t="s">
        <v>703</v>
      </c>
      <c r="B1069">
        <v>36</v>
      </c>
      <c r="C1069" t="s">
        <v>41</v>
      </c>
      <c r="D1069">
        <v>43</v>
      </c>
      <c r="E1069" t="s">
        <v>1019</v>
      </c>
      <c r="F1069" t="s">
        <v>5322</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4" customHeight="1">
      <c r="A1070" t="s">
        <v>703</v>
      </c>
      <c r="B1070">
        <v>37</v>
      </c>
      <c r="C1070" t="s">
        <v>41</v>
      </c>
      <c r="D1070">
        <v>44</v>
      </c>
      <c r="E1070" t="s">
        <v>1019</v>
      </c>
      <c r="F1070" t="s">
        <v>5323</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4" customHeight="1">
      <c r="A1071" t="s">
        <v>703</v>
      </c>
      <c r="B1071">
        <v>38</v>
      </c>
      <c r="C1071" t="s">
        <v>41</v>
      </c>
      <c r="D1071">
        <v>45</v>
      </c>
      <c r="E1071" t="s">
        <v>1019</v>
      </c>
      <c r="F1071" t="s">
        <v>5324</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4" customHeight="1">
      <c r="A1072" t="s">
        <v>703</v>
      </c>
      <c r="B1072">
        <v>39</v>
      </c>
      <c r="C1072" t="s">
        <v>41</v>
      </c>
      <c r="D1072">
        <v>46</v>
      </c>
      <c r="E1072" t="s">
        <v>1019</v>
      </c>
      <c r="F1072" t="s">
        <v>5324</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4" customHeight="1">
      <c r="A1073" t="s">
        <v>703</v>
      </c>
      <c r="B1073">
        <v>40</v>
      </c>
      <c r="C1073" t="s">
        <v>41</v>
      </c>
      <c r="D1073">
        <v>47</v>
      </c>
      <c r="E1073" t="s">
        <v>1019</v>
      </c>
      <c r="F1073" t="s">
        <v>5324</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4" customHeight="1">
      <c r="A1074" t="s">
        <v>703</v>
      </c>
      <c r="B1074">
        <v>41</v>
      </c>
      <c r="C1074" t="s">
        <v>41</v>
      </c>
      <c r="D1074">
        <v>48</v>
      </c>
      <c r="E1074" t="s">
        <v>1019</v>
      </c>
      <c r="F1074" t="s">
        <v>5324</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4" customHeight="1">
      <c r="A1075" t="s">
        <v>703</v>
      </c>
      <c r="B1075">
        <v>42</v>
      </c>
      <c r="C1075" t="s">
        <v>41</v>
      </c>
      <c r="D1075">
        <v>49</v>
      </c>
      <c r="E1075" t="s">
        <v>1019</v>
      </c>
      <c r="F1075" t="s">
        <v>5324</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4" customHeight="1">
      <c r="A1076" t="s">
        <v>703</v>
      </c>
      <c r="B1076">
        <v>43</v>
      </c>
      <c r="C1076" t="s">
        <v>41</v>
      </c>
      <c r="D1076">
        <v>50</v>
      </c>
      <c r="E1076" t="s">
        <v>1019</v>
      </c>
      <c r="F1076" t="s">
        <v>5324</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4" customHeight="1">
      <c r="A1077" t="s">
        <v>703</v>
      </c>
      <c r="B1077">
        <v>44</v>
      </c>
      <c r="C1077" t="s">
        <v>41</v>
      </c>
      <c r="D1077">
        <v>51</v>
      </c>
      <c r="E1077" t="s">
        <v>1019</v>
      </c>
      <c r="F1077" t="s">
        <v>5324</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4" customHeight="1">
      <c r="A1078" t="s">
        <v>703</v>
      </c>
      <c r="B1078">
        <v>45</v>
      </c>
      <c r="C1078" t="s">
        <v>41</v>
      </c>
      <c r="D1078">
        <v>52</v>
      </c>
      <c r="E1078" t="s">
        <v>1019</v>
      </c>
      <c r="F1078" t="s">
        <v>5324</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4" customHeight="1">
      <c r="A1079" t="s">
        <v>703</v>
      </c>
      <c r="B1079">
        <v>46</v>
      </c>
      <c r="C1079" t="s">
        <v>41</v>
      </c>
      <c r="D1079">
        <v>53</v>
      </c>
      <c r="E1079" t="s">
        <v>1019</v>
      </c>
      <c r="F1079" t="s">
        <v>5325</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4" customHeight="1">
      <c r="A1080" t="s">
        <v>703</v>
      </c>
      <c r="B1080">
        <v>47</v>
      </c>
      <c r="C1080" t="s">
        <v>41</v>
      </c>
      <c r="D1080">
        <v>54</v>
      </c>
      <c r="E1080" t="s">
        <v>1051</v>
      </c>
      <c r="F1080" t="s">
        <v>5322</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4" customHeight="1">
      <c r="A1081" t="s">
        <v>703</v>
      </c>
      <c r="B1081">
        <v>48</v>
      </c>
      <c r="C1081" t="s">
        <v>41</v>
      </c>
      <c r="D1081">
        <v>55</v>
      </c>
      <c r="E1081" t="s">
        <v>1051</v>
      </c>
      <c r="F1081" t="s">
        <v>5323</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4" customHeight="1">
      <c r="A1082" t="s">
        <v>703</v>
      </c>
      <c r="B1082">
        <v>49</v>
      </c>
      <c r="C1082" t="s">
        <v>41</v>
      </c>
      <c r="D1082">
        <v>56</v>
      </c>
      <c r="E1082" t="s">
        <v>1051</v>
      </c>
      <c r="F1082" t="s">
        <v>5324</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4" customHeight="1">
      <c r="A1083" t="s">
        <v>703</v>
      </c>
      <c r="B1083">
        <v>50</v>
      </c>
      <c r="C1083" t="s">
        <v>41</v>
      </c>
      <c r="D1083">
        <v>57</v>
      </c>
      <c r="E1083" t="s">
        <v>1051</v>
      </c>
      <c r="F1083" t="s">
        <v>5324</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4" customHeight="1">
      <c r="A1084" t="s">
        <v>703</v>
      </c>
      <c r="B1084">
        <v>51</v>
      </c>
      <c r="C1084" t="s">
        <v>41</v>
      </c>
      <c r="D1084">
        <v>58</v>
      </c>
      <c r="E1084" t="s">
        <v>1051</v>
      </c>
      <c r="F1084" t="s">
        <v>5324</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4" customHeight="1">
      <c r="A1085" t="s">
        <v>703</v>
      </c>
      <c r="B1085">
        <v>52</v>
      </c>
      <c r="C1085" t="s">
        <v>41</v>
      </c>
      <c r="D1085">
        <v>59</v>
      </c>
      <c r="E1085" t="s">
        <v>1051</v>
      </c>
      <c r="F1085" t="s">
        <v>5324</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4" customHeight="1">
      <c r="A1086" t="s">
        <v>703</v>
      </c>
      <c r="B1086">
        <v>53</v>
      </c>
      <c r="C1086" t="s">
        <v>41</v>
      </c>
      <c r="D1086">
        <v>60</v>
      </c>
      <c r="E1086" t="s">
        <v>1051</v>
      </c>
      <c r="F1086" t="s">
        <v>5324</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4" customHeight="1">
      <c r="A1087" t="s">
        <v>703</v>
      </c>
      <c r="B1087">
        <v>54</v>
      </c>
      <c r="C1087" t="s">
        <v>41</v>
      </c>
      <c r="D1087">
        <v>61</v>
      </c>
      <c r="E1087" t="s">
        <v>1051</v>
      </c>
      <c r="F1087" t="s">
        <v>5324</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4" customHeight="1">
      <c r="A1088" t="s">
        <v>703</v>
      </c>
      <c r="B1088">
        <v>55</v>
      </c>
      <c r="C1088" t="s">
        <v>41</v>
      </c>
      <c r="D1088">
        <v>62</v>
      </c>
      <c r="E1088" t="s">
        <v>1051</v>
      </c>
      <c r="F1088" t="s">
        <v>5324</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4" customHeight="1">
      <c r="A1089" t="s">
        <v>703</v>
      </c>
      <c r="B1089">
        <v>56</v>
      </c>
      <c r="C1089" t="s">
        <v>41</v>
      </c>
      <c r="D1089">
        <v>63</v>
      </c>
      <c r="E1089" t="s">
        <v>1051</v>
      </c>
      <c r="F1089" t="s">
        <v>5324</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4" customHeight="1">
      <c r="A1090" t="s">
        <v>703</v>
      </c>
      <c r="B1090">
        <v>57</v>
      </c>
      <c r="C1090" t="s">
        <v>41</v>
      </c>
      <c r="D1090">
        <v>64</v>
      </c>
      <c r="E1090" t="s">
        <v>1051</v>
      </c>
      <c r="F1090" t="s">
        <v>5325</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4" customHeight="1">
      <c r="A1091" t="s">
        <v>703</v>
      </c>
      <c r="B1091">
        <v>58</v>
      </c>
      <c r="C1091" t="s">
        <v>41</v>
      </c>
      <c r="D1091">
        <v>65</v>
      </c>
      <c r="E1091" t="s">
        <v>1052</v>
      </c>
      <c r="F1091" t="s">
        <v>5322</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4" customHeight="1">
      <c r="A1092" t="s">
        <v>703</v>
      </c>
      <c r="B1092">
        <v>59</v>
      </c>
      <c r="C1092" t="s">
        <v>41</v>
      </c>
      <c r="D1092">
        <v>66</v>
      </c>
      <c r="E1092" t="s">
        <v>1052</v>
      </c>
      <c r="F1092" t="s">
        <v>5323</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4" customHeight="1">
      <c r="A1093" t="s">
        <v>703</v>
      </c>
      <c r="B1093">
        <v>60</v>
      </c>
      <c r="C1093" t="s">
        <v>41</v>
      </c>
      <c r="D1093">
        <v>67</v>
      </c>
      <c r="E1093" t="s">
        <v>1052</v>
      </c>
      <c r="F1093" t="s">
        <v>5324</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4" customHeight="1">
      <c r="A1094" t="s">
        <v>703</v>
      </c>
      <c r="B1094">
        <v>61</v>
      </c>
      <c r="C1094" t="s">
        <v>41</v>
      </c>
      <c r="D1094">
        <v>68</v>
      </c>
      <c r="E1094" t="s">
        <v>1052</v>
      </c>
      <c r="F1094" t="s">
        <v>5324</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4" customHeight="1">
      <c r="A1095" t="s">
        <v>703</v>
      </c>
      <c r="B1095">
        <v>62</v>
      </c>
      <c r="C1095" t="s">
        <v>41</v>
      </c>
      <c r="D1095">
        <v>69</v>
      </c>
      <c r="E1095" t="s">
        <v>1052</v>
      </c>
      <c r="F1095" t="s">
        <v>5324</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4" customHeight="1">
      <c r="A1096" t="s">
        <v>703</v>
      </c>
      <c r="B1096">
        <v>63</v>
      </c>
      <c r="C1096" t="s">
        <v>41</v>
      </c>
      <c r="D1096">
        <v>70</v>
      </c>
      <c r="E1096" t="s">
        <v>1052</v>
      </c>
      <c r="F1096" t="s">
        <v>5324</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4" customHeight="1">
      <c r="A1097" t="s">
        <v>703</v>
      </c>
      <c r="B1097">
        <v>64</v>
      </c>
      <c r="C1097" t="s">
        <v>41</v>
      </c>
      <c r="D1097">
        <v>71</v>
      </c>
      <c r="E1097" t="s">
        <v>1052</v>
      </c>
      <c r="F1097" t="s">
        <v>5324</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4" customHeight="1">
      <c r="A1098" t="s">
        <v>703</v>
      </c>
      <c r="B1098">
        <v>65</v>
      </c>
      <c r="C1098" t="s">
        <v>41</v>
      </c>
      <c r="D1098">
        <v>72</v>
      </c>
      <c r="E1098" t="s">
        <v>1052</v>
      </c>
      <c r="F1098" t="s">
        <v>5324</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4" customHeight="1">
      <c r="A1099" t="s">
        <v>703</v>
      </c>
      <c r="B1099">
        <v>66</v>
      </c>
      <c r="C1099" t="s">
        <v>41</v>
      </c>
      <c r="D1099">
        <v>73</v>
      </c>
      <c r="E1099" t="s">
        <v>1052</v>
      </c>
      <c r="F1099" t="s">
        <v>5324</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4" customHeight="1">
      <c r="A1100" t="s">
        <v>703</v>
      </c>
      <c r="B1100">
        <v>67</v>
      </c>
      <c r="C1100" t="s">
        <v>41</v>
      </c>
      <c r="D1100">
        <v>74</v>
      </c>
      <c r="E1100" t="s">
        <v>1052</v>
      </c>
      <c r="F1100" t="s">
        <v>5324</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4" customHeight="1">
      <c r="A1101" t="s">
        <v>703</v>
      </c>
      <c r="B1101">
        <v>68</v>
      </c>
      <c r="C1101" t="s">
        <v>41</v>
      </c>
      <c r="D1101">
        <v>75</v>
      </c>
      <c r="E1101" t="s">
        <v>1052</v>
      </c>
      <c r="F1101" t="s">
        <v>5325</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4" customHeight="1">
      <c r="A1102" t="s">
        <v>2557</v>
      </c>
      <c r="B1102">
        <v>1</v>
      </c>
      <c r="C1102" t="s">
        <v>43</v>
      </c>
      <c r="D1102">
        <v>8</v>
      </c>
      <c r="E1102" t="s">
        <v>918</v>
      </c>
      <c r="F1102" t="s">
        <v>5322</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4" customHeight="1">
      <c r="A1103" t="s">
        <v>2557</v>
      </c>
      <c r="B1103">
        <v>2</v>
      </c>
      <c r="C1103" t="s">
        <v>43</v>
      </c>
      <c r="D1103">
        <v>9</v>
      </c>
      <c r="E1103" t="s">
        <v>918</v>
      </c>
      <c r="F1103" t="s">
        <v>5323</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4" customHeight="1">
      <c r="A1104" t="s">
        <v>2557</v>
      </c>
      <c r="B1104">
        <v>3</v>
      </c>
      <c r="C1104" t="s">
        <v>43</v>
      </c>
      <c r="D1104">
        <v>10</v>
      </c>
      <c r="E1104" t="s">
        <v>918</v>
      </c>
      <c r="F1104" t="s">
        <v>5324</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4" customHeight="1">
      <c r="A1105" t="s">
        <v>2557</v>
      </c>
      <c r="B1105">
        <v>4</v>
      </c>
      <c r="C1105" t="s">
        <v>43</v>
      </c>
      <c r="D1105">
        <v>11</v>
      </c>
      <c r="E1105" t="s">
        <v>918</v>
      </c>
      <c r="F1105" t="s">
        <v>5324</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4" customHeight="1">
      <c r="A1106" t="s">
        <v>2557</v>
      </c>
      <c r="B1106">
        <v>5</v>
      </c>
      <c r="C1106" t="s">
        <v>43</v>
      </c>
      <c r="D1106">
        <v>12</v>
      </c>
      <c r="E1106" t="s">
        <v>918</v>
      </c>
      <c r="F1106" t="s">
        <v>5324</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4" customHeight="1">
      <c r="A1107" t="s">
        <v>2557</v>
      </c>
      <c r="B1107">
        <v>6</v>
      </c>
      <c r="C1107" t="s">
        <v>43</v>
      </c>
      <c r="D1107">
        <v>13</v>
      </c>
      <c r="E1107" t="s">
        <v>918</v>
      </c>
      <c r="F1107" t="s">
        <v>5325</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4" customHeight="1">
      <c r="A1108" t="s">
        <v>2557</v>
      </c>
      <c r="B1108">
        <v>7</v>
      </c>
      <c r="C1108" t="s">
        <v>43</v>
      </c>
      <c r="D1108">
        <v>14</v>
      </c>
      <c r="E1108" t="s">
        <v>936</v>
      </c>
      <c r="F1108" t="s">
        <v>5322</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4" customHeight="1">
      <c r="A1109" t="s">
        <v>2557</v>
      </c>
      <c r="B1109">
        <v>8</v>
      </c>
      <c r="C1109" t="s">
        <v>43</v>
      </c>
      <c r="D1109">
        <v>15</v>
      </c>
      <c r="E1109" t="s">
        <v>936</v>
      </c>
      <c r="F1109" t="s">
        <v>5323</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4" customHeight="1">
      <c r="A1110" t="s">
        <v>2557</v>
      </c>
      <c r="B1110">
        <v>9</v>
      </c>
      <c r="C1110" t="s">
        <v>43</v>
      </c>
      <c r="D1110">
        <v>16</v>
      </c>
      <c r="E1110" t="s">
        <v>936</v>
      </c>
      <c r="F1110" t="s">
        <v>5324</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4" customHeight="1">
      <c r="A1111" t="s">
        <v>2557</v>
      </c>
      <c r="B1111">
        <v>10</v>
      </c>
      <c r="C1111" t="s">
        <v>43</v>
      </c>
      <c r="D1111">
        <v>17</v>
      </c>
      <c r="E1111" t="s">
        <v>936</v>
      </c>
      <c r="F1111" t="s">
        <v>5324</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4" customHeight="1">
      <c r="A1112" t="s">
        <v>2557</v>
      </c>
      <c r="B1112">
        <v>11</v>
      </c>
      <c r="C1112" t="s">
        <v>43</v>
      </c>
      <c r="D1112">
        <v>18</v>
      </c>
      <c r="E1112" t="s">
        <v>936</v>
      </c>
      <c r="F1112" t="s">
        <v>5324</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4" customHeight="1">
      <c r="A1113" t="s">
        <v>2557</v>
      </c>
      <c r="B1113">
        <v>12</v>
      </c>
      <c r="C1113" t="s">
        <v>43</v>
      </c>
      <c r="D1113">
        <v>19</v>
      </c>
      <c r="E1113" t="s">
        <v>936</v>
      </c>
      <c r="F1113" t="s">
        <v>5325</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4" customHeight="1">
      <c r="A1114" t="s">
        <v>2557</v>
      </c>
      <c r="B1114">
        <v>13</v>
      </c>
      <c r="C1114" t="s">
        <v>43</v>
      </c>
      <c r="D1114">
        <v>20</v>
      </c>
      <c r="E1114" t="s">
        <v>951</v>
      </c>
      <c r="F1114" t="s">
        <v>5322</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4" customHeight="1">
      <c r="A1115" t="s">
        <v>2557</v>
      </c>
      <c r="B1115">
        <v>14</v>
      </c>
      <c r="C1115" t="s">
        <v>43</v>
      </c>
      <c r="D1115">
        <v>21</v>
      </c>
      <c r="E1115" t="s">
        <v>951</v>
      </c>
      <c r="F1115" t="s">
        <v>5323</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4" customHeight="1">
      <c r="A1116" t="s">
        <v>2557</v>
      </c>
      <c r="B1116">
        <v>15</v>
      </c>
      <c r="C1116" t="s">
        <v>43</v>
      </c>
      <c r="D1116">
        <v>22</v>
      </c>
      <c r="E1116" t="s">
        <v>951</v>
      </c>
      <c r="F1116" t="s">
        <v>5324</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4" customHeight="1">
      <c r="A1117" t="s">
        <v>2557</v>
      </c>
      <c r="B1117">
        <v>16</v>
      </c>
      <c r="C1117" t="s">
        <v>43</v>
      </c>
      <c r="D1117">
        <v>23</v>
      </c>
      <c r="E1117" t="s">
        <v>951</v>
      </c>
      <c r="F1117" t="s">
        <v>5324</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4" customHeight="1">
      <c r="A1118" t="s">
        <v>2557</v>
      </c>
      <c r="B1118">
        <v>17</v>
      </c>
      <c r="C1118" t="s">
        <v>43</v>
      </c>
      <c r="D1118">
        <v>24</v>
      </c>
      <c r="E1118" t="s">
        <v>951</v>
      </c>
      <c r="F1118" t="s">
        <v>5324</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4" customHeight="1">
      <c r="A1119" t="s">
        <v>2557</v>
      </c>
      <c r="B1119">
        <v>18</v>
      </c>
      <c r="C1119" t="s">
        <v>43</v>
      </c>
      <c r="D1119">
        <v>25</v>
      </c>
      <c r="E1119" t="s">
        <v>951</v>
      </c>
      <c r="F1119" t="s">
        <v>5325</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4" customHeight="1">
      <c r="A1120" t="s">
        <v>2557</v>
      </c>
      <c r="B1120">
        <v>19</v>
      </c>
      <c r="C1120" t="s">
        <v>43</v>
      </c>
      <c r="D1120">
        <v>26</v>
      </c>
      <c r="E1120" t="s">
        <v>964</v>
      </c>
      <c r="F1120" t="s">
        <v>5322</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4" customHeight="1">
      <c r="A1121" t="s">
        <v>2557</v>
      </c>
      <c r="B1121">
        <v>20</v>
      </c>
      <c r="C1121" t="s">
        <v>43</v>
      </c>
      <c r="D1121">
        <v>27</v>
      </c>
      <c r="E1121" t="s">
        <v>964</v>
      </c>
      <c r="F1121" t="s">
        <v>5323</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4" customHeight="1">
      <c r="A1122" t="s">
        <v>2557</v>
      </c>
      <c r="B1122">
        <v>21</v>
      </c>
      <c r="C1122" t="s">
        <v>43</v>
      </c>
      <c r="D1122">
        <v>28</v>
      </c>
      <c r="E1122" t="s">
        <v>964</v>
      </c>
      <c r="F1122" t="s">
        <v>5324</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4" customHeight="1">
      <c r="A1123" t="s">
        <v>2557</v>
      </c>
      <c r="B1123">
        <v>22</v>
      </c>
      <c r="C1123" t="s">
        <v>43</v>
      </c>
      <c r="D1123">
        <v>29</v>
      </c>
      <c r="E1123" t="s">
        <v>964</v>
      </c>
      <c r="F1123" t="s">
        <v>5324</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4" customHeight="1">
      <c r="A1124" t="s">
        <v>2557</v>
      </c>
      <c r="B1124">
        <v>23</v>
      </c>
      <c r="C1124" t="s">
        <v>43</v>
      </c>
      <c r="D1124">
        <v>30</v>
      </c>
      <c r="E1124" t="s">
        <v>964</v>
      </c>
      <c r="F1124" t="s">
        <v>5324</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4" customHeight="1">
      <c r="A1125" t="s">
        <v>2557</v>
      </c>
      <c r="B1125">
        <v>24</v>
      </c>
      <c r="C1125" t="s">
        <v>43</v>
      </c>
      <c r="D1125">
        <v>31</v>
      </c>
      <c r="E1125" t="s">
        <v>964</v>
      </c>
      <c r="F1125" t="s">
        <v>5325</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4" customHeight="1">
      <c r="A1126" t="s">
        <v>2557</v>
      </c>
      <c r="B1126">
        <v>25</v>
      </c>
      <c r="C1126" t="s">
        <v>43</v>
      </c>
      <c r="D1126">
        <v>32</v>
      </c>
      <c r="E1126" t="s">
        <v>977</v>
      </c>
      <c r="F1126" t="s">
        <v>5322</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4" customHeight="1">
      <c r="A1127" t="s">
        <v>2557</v>
      </c>
      <c r="B1127">
        <v>26</v>
      </c>
      <c r="C1127" t="s">
        <v>43</v>
      </c>
      <c r="D1127">
        <v>33</v>
      </c>
      <c r="E1127" t="s">
        <v>977</v>
      </c>
      <c r="F1127" t="s">
        <v>5323</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4" customHeight="1">
      <c r="A1128" t="s">
        <v>2557</v>
      </c>
      <c r="B1128">
        <v>27</v>
      </c>
      <c r="C1128" t="s">
        <v>43</v>
      </c>
      <c r="D1128">
        <v>34</v>
      </c>
      <c r="E1128" t="s">
        <v>977</v>
      </c>
      <c r="F1128" t="s">
        <v>5324</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4" customHeight="1">
      <c r="A1129" t="s">
        <v>2557</v>
      </c>
      <c r="B1129">
        <v>28</v>
      </c>
      <c r="C1129" t="s">
        <v>43</v>
      </c>
      <c r="D1129">
        <v>35</v>
      </c>
      <c r="E1129" t="s">
        <v>977</v>
      </c>
      <c r="F1129" t="s">
        <v>5324</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4" customHeight="1">
      <c r="A1130" t="s">
        <v>2557</v>
      </c>
      <c r="B1130">
        <v>29</v>
      </c>
      <c r="C1130" t="s">
        <v>43</v>
      </c>
      <c r="D1130">
        <v>36</v>
      </c>
      <c r="E1130" t="s">
        <v>977</v>
      </c>
      <c r="F1130" t="s">
        <v>5324</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4" customHeight="1">
      <c r="A1131" t="s">
        <v>2557</v>
      </c>
      <c r="B1131">
        <v>30</v>
      </c>
      <c r="C1131" t="s">
        <v>43</v>
      </c>
      <c r="D1131">
        <v>37</v>
      </c>
      <c r="E1131" t="s">
        <v>977</v>
      </c>
      <c r="F1131" t="s">
        <v>5325</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4" customHeight="1">
      <c r="A1132" t="s">
        <v>2557</v>
      </c>
      <c r="B1132">
        <v>31</v>
      </c>
      <c r="C1132" t="s">
        <v>43</v>
      </c>
      <c r="D1132">
        <v>38</v>
      </c>
      <c r="E1132" t="s">
        <v>994</v>
      </c>
      <c r="F1132" t="s">
        <v>5322</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4" customHeight="1">
      <c r="A1133" t="s">
        <v>2557</v>
      </c>
      <c r="B1133">
        <v>32</v>
      </c>
      <c r="C1133" t="s">
        <v>43</v>
      </c>
      <c r="D1133">
        <v>39</v>
      </c>
      <c r="E1133" t="s">
        <v>994</v>
      </c>
      <c r="F1133" t="s">
        <v>5323</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4" customHeight="1">
      <c r="A1134" t="s">
        <v>2557</v>
      </c>
      <c r="B1134">
        <v>33</v>
      </c>
      <c r="C1134" t="s">
        <v>43</v>
      </c>
      <c r="D1134">
        <v>40</v>
      </c>
      <c r="E1134" t="s">
        <v>994</v>
      </c>
      <c r="F1134" t="s">
        <v>5324</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4" customHeight="1">
      <c r="A1135" t="s">
        <v>2557</v>
      </c>
      <c r="B1135">
        <v>34</v>
      </c>
      <c r="C1135" t="s">
        <v>43</v>
      </c>
      <c r="D1135">
        <v>41</v>
      </c>
      <c r="E1135" t="s">
        <v>994</v>
      </c>
      <c r="F1135" t="s">
        <v>5324</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4" customHeight="1">
      <c r="A1136" t="s">
        <v>2557</v>
      </c>
      <c r="B1136">
        <v>35</v>
      </c>
      <c r="C1136" t="s">
        <v>43</v>
      </c>
      <c r="D1136">
        <v>42</v>
      </c>
      <c r="E1136" t="s">
        <v>994</v>
      </c>
      <c r="F1136" t="s">
        <v>5324</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4" customHeight="1">
      <c r="A1137" t="s">
        <v>2557</v>
      </c>
      <c r="B1137">
        <v>36</v>
      </c>
      <c r="C1137" t="s">
        <v>43</v>
      </c>
      <c r="D1137">
        <v>43</v>
      </c>
      <c r="E1137" t="s">
        <v>994</v>
      </c>
      <c r="F1137" t="s">
        <v>5325</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4" customHeight="1">
      <c r="A1138" t="s">
        <v>2557</v>
      </c>
      <c r="B1138">
        <v>37</v>
      </c>
      <c r="C1138" t="s">
        <v>43</v>
      </c>
      <c r="D1138">
        <v>44</v>
      </c>
      <c r="E1138" t="s">
        <v>1007</v>
      </c>
      <c r="F1138" t="s">
        <v>5322</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4" customHeight="1">
      <c r="A1139" t="s">
        <v>2557</v>
      </c>
      <c r="B1139">
        <v>38</v>
      </c>
      <c r="C1139" t="s">
        <v>43</v>
      </c>
      <c r="D1139">
        <v>45</v>
      </c>
      <c r="E1139" t="s">
        <v>1007</v>
      </c>
      <c r="F1139" t="s">
        <v>5323</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4" customHeight="1">
      <c r="A1140" t="s">
        <v>2557</v>
      </c>
      <c r="B1140">
        <v>39</v>
      </c>
      <c r="C1140" t="s">
        <v>43</v>
      </c>
      <c r="D1140">
        <v>46</v>
      </c>
      <c r="E1140" t="s">
        <v>1007</v>
      </c>
      <c r="F1140" t="s">
        <v>5324</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4" customHeight="1">
      <c r="A1141" t="s">
        <v>2557</v>
      </c>
      <c r="B1141">
        <v>40</v>
      </c>
      <c r="C1141" t="s">
        <v>43</v>
      </c>
      <c r="D1141">
        <v>47</v>
      </c>
      <c r="E1141" t="s">
        <v>1007</v>
      </c>
      <c r="F1141" t="s">
        <v>5324</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4" customHeight="1">
      <c r="A1142" t="s">
        <v>2557</v>
      </c>
      <c r="B1142">
        <v>41</v>
      </c>
      <c r="C1142" t="s">
        <v>43</v>
      </c>
      <c r="D1142">
        <v>48</v>
      </c>
      <c r="E1142" t="s">
        <v>1007</v>
      </c>
      <c r="F1142" t="s">
        <v>5324</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4" customHeight="1">
      <c r="A1143" t="s">
        <v>2557</v>
      </c>
      <c r="B1143">
        <v>42</v>
      </c>
      <c r="C1143" t="s">
        <v>43</v>
      </c>
      <c r="D1143">
        <v>49</v>
      </c>
      <c r="E1143" t="s">
        <v>1007</v>
      </c>
      <c r="F1143" t="s">
        <v>5325</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4" customHeight="1">
      <c r="A1144" t="s">
        <v>2557</v>
      </c>
      <c r="B1144">
        <v>43</v>
      </c>
      <c r="C1144" t="s">
        <v>43</v>
      </c>
      <c r="D1144">
        <v>50</v>
      </c>
      <c r="E1144" t="s">
        <v>1019</v>
      </c>
      <c r="F1144" t="s">
        <v>5322</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4" customHeight="1">
      <c r="A1145" t="s">
        <v>2557</v>
      </c>
      <c r="B1145">
        <v>44</v>
      </c>
      <c r="C1145" t="s">
        <v>43</v>
      </c>
      <c r="D1145">
        <v>51</v>
      </c>
      <c r="E1145" t="s">
        <v>1019</v>
      </c>
      <c r="F1145" t="s">
        <v>5323</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4" customHeight="1">
      <c r="A1146" t="s">
        <v>2557</v>
      </c>
      <c r="B1146">
        <v>45</v>
      </c>
      <c r="C1146" t="s">
        <v>43</v>
      </c>
      <c r="D1146">
        <v>52</v>
      </c>
      <c r="E1146" t="s">
        <v>1019</v>
      </c>
      <c r="F1146" t="s">
        <v>5324</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4" customHeight="1">
      <c r="A1147" t="s">
        <v>2557</v>
      </c>
      <c r="B1147">
        <v>46</v>
      </c>
      <c r="C1147" t="s">
        <v>43</v>
      </c>
      <c r="D1147">
        <v>53</v>
      </c>
      <c r="E1147" t="s">
        <v>1019</v>
      </c>
      <c r="F1147" t="s">
        <v>5324</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4" customHeight="1">
      <c r="A1148" t="s">
        <v>2557</v>
      </c>
      <c r="B1148">
        <v>47</v>
      </c>
      <c r="C1148" t="s">
        <v>43</v>
      </c>
      <c r="D1148">
        <v>54</v>
      </c>
      <c r="E1148" t="s">
        <v>1019</v>
      </c>
      <c r="F1148" t="s">
        <v>5324</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4" customHeight="1">
      <c r="A1149" t="s">
        <v>2557</v>
      </c>
      <c r="B1149">
        <v>48</v>
      </c>
      <c r="C1149" t="s">
        <v>43</v>
      </c>
      <c r="D1149">
        <v>55</v>
      </c>
      <c r="E1149" t="s">
        <v>1019</v>
      </c>
      <c r="F1149" t="s">
        <v>5324</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4" customHeight="1">
      <c r="A1150" t="s">
        <v>2557</v>
      </c>
      <c r="B1150">
        <v>49</v>
      </c>
      <c r="C1150" t="s">
        <v>43</v>
      </c>
      <c r="D1150">
        <v>56</v>
      </c>
      <c r="E1150" t="s">
        <v>1019</v>
      </c>
      <c r="F1150" t="s">
        <v>5324</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4" customHeight="1">
      <c r="A1151" t="s">
        <v>2557</v>
      </c>
      <c r="B1151">
        <v>50</v>
      </c>
      <c r="C1151" t="s">
        <v>43</v>
      </c>
      <c r="D1151">
        <v>57</v>
      </c>
      <c r="E1151" t="s">
        <v>1019</v>
      </c>
      <c r="F1151" t="s">
        <v>5324</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4" customHeight="1">
      <c r="A1152" t="s">
        <v>2557</v>
      </c>
      <c r="B1152">
        <v>51</v>
      </c>
      <c r="C1152" t="s">
        <v>43</v>
      </c>
      <c r="D1152">
        <v>58</v>
      </c>
      <c r="E1152" t="s">
        <v>1019</v>
      </c>
      <c r="F1152" t="s">
        <v>5324</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4" customHeight="1">
      <c r="A1153" t="s">
        <v>2557</v>
      </c>
      <c r="B1153">
        <v>52</v>
      </c>
      <c r="C1153" t="s">
        <v>43</v>
      </c>
      <c r="D1153">
        <v>59</v>
      </c>
      <c r="E1153" t="s">
        <v>1019</v>
      </c>
      <c r="F1153" t="s">
        <v>5324</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4" customHeight="1">
      <c r="A1154" t="s">
        <v>2557</v>
      </c>
      <c r="B1154">
        <v>53</v>
      </c>
      <c r="C1154" t="s">
        <v>43</v>
      </c>
      <c r="D1154">
        <v>60</v>
      </c>
      <c r="E1154" t="s">
        <v>1019</v>
      </c>
      <c r="F1154" t="s">
        <v>5325</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4" customHeight="1">
      <c r="A1155" t="s">
        <v>2557</v>
      </c>
      <c r="B1155">
        <v>54</v>
      </c>
      <c r="C1155" t="s">
        <v>43</v>
      </c>
      <c r="D1155">
        <v>61</v>
      </c>
      <c r="E1155" t="s">
        <v>1051</v>
      </c>
      <c r="F1155" t="s">
        <v>5322</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4" customHeight="1">
      <c r="A1156" t="s">
        <v>2557</v>
      </c>
      <c r="B1156">
        <v>55</v>
      </c>
      <c r="C1156" t="s">
        <v>43</v>
      </c>
      <c r="D1156">
        <v>62</v>
      </c>
      <c r="E1156" t="s">
        <v>1051</v>
      </c>
      <c r="F1156" t="s">
        <v>5323</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4" customHeight="1">
      <c r="A1157" t="s">
        <v>2557</v>
      </c>
      <c r="B1157">
        <v>56</v>
      </c>
      <c r="C1157" t="s">
        <v>43</v>
      </c>
      <c r="D1157">
        <v>63</v>
      </c>
      <c r="E1157" t="s">
        <v>1051</v>
      </c>
      <c r="F1157" t="s">
        <v>5324</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4" customHeight="1">
      <c r="A1158" t="s">
        <v>2557</v>
      </c>
      <c r="B1158">
        <v>57</v>
      </c>
      <c r="C1158" t="s">
        <v>43</v>
      </c>
      <c r="D1158">
        <v>64</v>
      </c>
      <c r="E1158" t="s">
        <v>1051</v>
      </c>
      <c r="F1158" t="s">
        <v>5324</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4" customHeight="1">
      <c r="A1159" t="s">
        <v>2557</v>
      </c>
      <c r="B1159">
        <v>58</v>
      </c>
      <c r="C1159" t="s">
        <v>43</v>
      </c>
      <c r="D1159">
        <v>65</v>
      </c>
      <c r="E1159" t="s">
        <v>1051</v>
      </c>
      <c r="F1159" t="s">
        <v>5324</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4" customHeight="1">
      <c r="A1160" t="s">
        <v>2557</v>
      </c>
      <c r="B1160">
        <v>59</v>
      </c>
      <c r="C1160" t="s">
        <v>43</v>
      </c>
      <c r="D1160">
        <v>66</v>
      </c>
      <c r="E1160" t="s">
        <v>1051</v>
      </c>
      <c r="F1160" t="s">
        <v>5324</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4" customHeight="1">
      <c r="A1161" t="s">
        <v>2557</v>
      </c>
      <c r="B1161">
        <v>60</v>
      </c>
      <c r="C1161" t="s">
        <v>43</v>
      </c>
      <c r="D1161">
        <v>67</v>
      </c>
      <c r="E1161" t="s">
        <v>1051</v>
      </c>
      <c r="F1161" t="s">
        <v>5324</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4" customHeight="1">
      <c r="A1162" t="s">
        <v>2557</v>
      </c>
      <c r="B1162">
        <v>61</v>
      </c>
      <c r="C1162" t="s">
        <v>43</v>
      </c>
      <c r="D1162">
        <v>68</v>
      </c>
      <c r="E1162" t="s">
        <v>1051</v>
      </c>
      <c r="F1162" t="s">
        <v>5324</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4" customHeight="1">
      <c r="A1163" t="s">
        <v>2557</v>
      </c>
      <c r="B1163">
        <v>62</v>
      </c>
      <c r="C1163" t="s">
        <v>43</v>
      </c>
      <c r="D1163">
        <v>69</v>
      </c>
      <c r="E1163" t="s">
        <v>1051</v>
      </c>
      <c r="F1163" t="s">
        <v>5324</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4" customHeight="1">
      <c r="A1164" t="s">
        <v>2557</v>
      </c>
      <c r="B1164">
        <v>63</v>
      </c>
      <c r="C1164" t="s">
        <v>43</v>
      </c>
      <c r="D1164">
        <v>70</v>
      </c>
      <c r="E1164" t="s">
        <v>1051</v>
      </c>
      <c r="F1164" t="s">
        <v>5324</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4" customHeight="1">
      <c r="A1165" t="s">
        <v>2557</v>
      </c>
      <c r="B1165">
        <v>64</v>
      </c>
      <c r="C1165" t="s">
        <v>43</v>
      </c>
      <c r="D1165">
        <v>71</v>
      </c>
      <c r="E1165" t="s">
        <v>1051</v>
      </c>
      <c r="F1165" t="s">
        <v>5325</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4" customHeight="1">
      <c r="A1166" t="s">
        <v>2557</v>
      </c>
      <c r="B1166">
        <v>65</v>
      </c>
      <c r="C1166" t="s">
        <v>43</v>
      </c>
      <c r="D1166">
        <v>72</v>
      </c>
      <c r="E1166" t="s">
        <v>1052</v>
      </c>
      <c r="F1166" t="s">
        <v>5322</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4" customHeight="1">
      <c r="A1167" t="s">
        <v>2557</v>
      </c>
      <c r="B1167">
        <v>66</v>
      </c>
      <c r="C1167" t="s">
        <v>43</v>
      </c>
      <c r="D1167">
        <v>73</v>
      </c>
      <c r="E1167" t="s">
        <v>1052</v>
      </c>
      <c r="F1167" t="s">
        <v>5323</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4" customHeight="1">
      <c r="A1168" t="s">
        <v>2557</v>
      </c>
      <c r="B1168">
        <v>67</v>
      </c>
      <c r="C1168" t="s">
        <v>43</v>
      </c>
      <c r="D1168">
        <v>74</v>
      </c>
      <c r="E1168" t="s">
        <v>1052</v>
      </c>
      <c r="F1168" t="s">
        <v>5324</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4" customHeight="1">
      <c r="A1169" t="s">
        <v>2557</v>
      </c>
      <c r="B1169">
        <v>68</v>
      </c>
      <c r="C1169" t="s">
        <v>43</v>
      </c>
      <c r="D1169">
        <v>75</v>
      </c>
      <c r="E1169" t="s">
        <v>1052</v>
      </c>
      <c r="F1169" t="s">
        <v>5324</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4" customHeight="1">
      <c r="A1170" t="s">
        <v>2557</v>
      </c>
      <c r="B1170">
        <v>69</v>
      </c>
      <c r="C1170" t="s">
        <v>43</v>
      </c>
      <c r="D1170">
        <v>76</v>
      </c>
      <c r="E1170" t="s">
        <v>1052</v>
      </c>
      <c r="F1170" t="s">
        <v>5324</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4" customHeight="1">
      <c r="A1171" t="s">
        <v>2557</v>
      </c>
      <c r="B1171">
        <v>70</v>
      </c>
      <c r="C1171" t="s">
        <v>43</v>
      </c>
      <c r="D1171">
        <v>77</v>
      </c>
      <c r="E1171" t="s">
        <v>1052</v>
      </c>
      <c r="F1171" t="s">
        <v>5324</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4" customHeight="1">
      <c r="A1172" t="s">
        <v>2557</v>
      </c>
      <c r="B1172">
        <v>71</v>
      </c>
      <c r="C1172" t="s">
        <v>43</v>
      </c>
      <c r="D1172">
        <v>78</v>
      </c>
      <c r="E1172" t="s">
        <v>1052</v>
      </c>
      <c r="F1172" t="s">
        <v>5324</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4" customHeight="1">
      <c r="A1173" t="s">
        <v>2557</v>
      </c>
      <c r="B1173">
        <v>72</v>
      </c>
      <c r="C1173" t="s">
        <v>43</v>
      </c>
      <c r="D1173">
        <v>79</v>
      </c>
      <c r="E1173" t="s">
        <v>1052</v>
      </c>
      <c r="F1173" t="s">
        <v>5324</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4" customHeight="1">
      <c r="A1174" t="s">
        <v>2557</v>
      </c>
      <c r="B1174">
        <v>73</v>
      </c>
      <c r="C1174" t="s">
        <v>43</v>
      </c>
      <c r="D1174">
        <v>80</v>
      </c>
      <c r="E1174" t="s">
        <v>1052</v>
      </c>
      <c r="F1174" t="s">
        <v>5324</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4" customHeight="1">
      <c r="A1175" t="s">
        <v>2557</v>
      </c>
      <c r="B1175">
        <v>74</v>
      </c>
      <c r="C1175" t="s">
        <v>43</v>
      </c>
      <c r="D1175">
        <v>81</v>
      </c>
      <c r="E1175" t="s">
        <v>1052</v>
      </c>
      <c r="F1175" t="s">
        <v>5324</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4" customHeight="1">
      <c r="A1176" t="s">
        <v>2557</v>
      </c>
      <c r="B1176">
        <v>75</v>
      </c>
      <c r="C1176" t="s">
        <v>43</v>
      </c>
      <c r="D1176">
        <v>82</v>
      </c>
      <c r="E1176" t="s">
        <v>1052</v>
      </c>
      <c r="F1176" t="s">
        <v>5325</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4" customHeight="1">
      <c r="A1177" t="s">
        <v>705</v>
      </c>
      <c r="B1177">
        <v>1</v>
      </c>
      <c r="C1177" t="s">
        <v>45</v>
      </c>
      <c r="D1177">
        <v>8</v>
      </c>
      <c r="E1177" t="s">
        <v>918</v>
      </c>
      <c r="F1177" t="s">
        <v>5322</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4" customHeight="1">
      <c r="A1178" t="s">
        <v>705</v>
      </c>
      <c r="B1178">
        <v>2</v>
      </c>
      <c r="C1178" t="s">
        <v>45</v>
      </c>
      <c r="D1178">
        <v>9</v>
      </c>
      <c r="E1178" t="s">
        <v>918</v>
      </c>
      <c r="F1178" t="s">
        <v>5323</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4" customHeight="1">
      <c r="A1179" t="s">
        <v>705</v>
      </c>
      <c r="B1179">
        <v>3</v>
      </c>
      <c r="C1179" t="s">
        <v>45</v>
      </c>
      <c r="D1179">
        <v>10</v>
      </c>
      <c r="E1179" t="s">
        <v>918</v>
      </c>
      <c r="F1179" t="s">
        <v>5324</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4" customHeight="1">
      <c r="A1180" t="s">
        <v>705</v>
      </c>
      <c r="B1180">
        <v>4</v>
      </c>
      <c r="C1180" t="s">
        <v>45</v>
      </c>
      <c r="D1180">
        <v>11</v>
      </c>
      <c r="E1180" t="s">
        <v>918</v>
      </c>
      <c r="F1180" t="s">
        <v>5324</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4" customHeight="1">
      <c r="A1181" t="s">
        <v>705</v>
      </c>
      <c r="B1181">
        <v>5</v>
      </c>
      <c r="C1181" t="s">
        <v>45</v>
      </c>
      <c r="D1181">
        <v>12</v>
      </c>
      <c r="E1181" t="s">
        <v>918</v>
      </c>
      <c r="F1181" t="s">
        <v>5324</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4" customHeight="1">
      <c r="A1182" t="s">
        <v>705</v>
      </c>
      <c r="B1182">
        <v>6</v>
      </c>
      <c r="C1182" t="s">
        <v>45</v>
      </c>
      <c r="D1182">
        <v>13</v>
      </c>
      <c r="E1182" t="s">
        <v>918</v>
      </c>
      <c r="F1182" t="s">
        <v>5325</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4" customHeight="1">
      <c r="A1183" t="s">
        <v>705</v>
      </c>
      <c r="B1183">
        <v>7</v>
      </c>
      <c r="C1183" t="s">
        <v>45</v>
      </c>
      <c r="D1183">
        <v>14</v>
      </c>
      <c r="E1183" t="s">
        <v>936</v>
      </c>
      <c r="F1183" t="s">
        <v>5322</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4" customHeight="1">
      <c r="A1184" t="s">
        <v>705</v>
      </c>
      <c r="B1184">
        <v>8</v>
      </c>
      <c r="C1184" t="s">
        <v>45</v>
      </c>
      <c r="D1184">
        <v>15</v>
      </c>
      <c r="E1184" t="s">
        <v>936</v>
      </c>
      <c r="F1184" t="s">
        <v>5323</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4" customHeight="1">
      <c r="A1185" t="s">
        <v>705</v>
      </c>
      <c r="B1185">
        <v>9</v>
      </c>
      <c r="C1185" t="s">
        <v>45</v>
      </c>
      <c r="D1185">
        <v>16</v>
      </c>
      <c r="E1185" t="s">
        <v>936</v>
      </c>
      <c r="F1185" t="s">
        <v>5324</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4" customHeight="1">
      <c r="A1186" t="s">
        <v>705</v>
      </c>
      <c r="B1186">
        <v>10</v>
      </c>
      <c r="C1186" t="s">
        <v>45</v>
      </c>
      <c r="D1186">
        <v>17</v>
      </c>
      <c r="E1186" t="s">
        <v>936</v>
      </c>
      <c r="F1186" t="s">
        <v>5324</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4" customHeight="1">
      <c r="A1187" t="s">
        <v>705</v>
      </c>
      <c r="B1187">
        <v>11</v>
      </c>
      <c r="C1187" t="s">
        <v>45</v>
      </c>
      <c r="D1187">
        <v>18</v>
      </c>
      <c r="E1187" t="s">
        <v>936</v>
      </c>
      <c r="F1187" t="s">
        <v>5324</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4" customHeight="1">
      <c r="A1188" t="s">
        <v>705</v>
      </c>
      <c r="B1188">
        <v>12</v>
      </c>
      <c r="C1188" t="s">
        <v>45</v>
      </c>
      <c r="D1188">
        <v>19</v>
      </c>
      <c r="E1188" t="s">
        <v>936</v>
      </c>
      <c r="F1188" t="s">
        <v>5325</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4" customHeight="1">
      <c r="A1189" t="s">
        <v>705</v>
      </c>
      <c r="B1189">
        <v>13</v>
      </c>
      <c r="C1189" t="s">
        <v>45</v>
      </c>
      <c r="D1189">
        <v>20</v>
      </c>
      <c r="E1189" t="s">
        <v>951</v>
      </c>
      <c r="F1189" t="s">
        <v>5322</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4" customHeight="1">
      <c r="A1190" t="s">
        <v>705</v>
      </c>
      <c r="B1190">
        <v>14</v>
      </c>
      <c r="C1190" t="s">
        <v>45</v>
      </c>
      <c r="D1190">
        <v>21</v>
      </c>
      <c r="E1190" t="s">
        <v>951</v>
      </c>
      <c r="F1190" t="s">
        <v>5323</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4" customHeight="1">
      <c r="A1191" t="s">
        <v>705</v>
      </c>
      <c r="B1191">
        <v>15</v>
      </c>
      <c r="C1191" t="s">
        <v>45</v>
      </c>
      <c r="D1191">
        <v>22</v>
      </c>
      <c r="E1191" t="s">
        <v>951</v>
      </c>
      <c r="F1191" t="s">
        <v>5324</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4" customHeight="1">
      <c r="A1192" t="s">
        <v>705</v>
      </c>
      <c r="B1192">
        <v>16</v>
      </c>
      <c r="C1192" t="s">
        <v>45</v>
      </c>
      <c r="D1192">
        <v>23</v>
      </c>
      <c r="E1192" t="s">
        <v>951</v>
      </c>
      <c r="F1192" t="s">
        <v>5324</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4" customHeight="1">
      <c r="A1193" t="s">
        <v>705</v>
      </c>
      <c r="B1193">
        <v>17</v>
      </c>
      <c r="C1193" t="s">
        <v>45</v>
      </c>
      <c r="D1193">
        <v>24</v>
      </c>
      <c r="E1193" t="s">
        <v>951</v>
      </c>
      <c r="F1193" t="s">
        <v>5324</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4" customHeight="1">
      <c r="A1194" t="s">
        <v>705</v>
      </c>
      <c r="B1194">
        <v>18</v>
      </c>
      <c r="C1194" t="s">
        <v>45</v>
      </c>
      <c r="D1194">
        <v>25</v>
      </c>
      <c r="E1194" t="s">
        <v>951</v>
      </c>
      <c r="F1194" t="s">
        <v>5325</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4" customHeight="1">
      <c r="A1195" t="s">
        <v>705</v>
      </c>
      <c r="B1195">
        <v>19</v>
      </c>
      <c r="C1195" t="s">
        <v>45</v>
      </c>
      <c r="D1195">
        <v>26</v>
      </c>
      <c r="E1195" t="s">
        <v>964</v>
      </c>
      <c r="F1195" t="s">
        <v>5322</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4" customHeight="1">
      <c r="A1196" t="s">
        <v>705</v>
      </c>
      <c r="B1196">
        <v>20</v>
      </c>
      <c r="C1196" t="s">
        <v>45</v>
      </c>
      <c r="D1196">
        <v>27</v>
      </c>
      <c r="E1196" t="s">
        <v>964</v>
      </c>
      <c r="F1196" t="s">
        <v>5323</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4" customHeight="1">
      <c r="A1197" t="s">
        <v>705</v>
      </c>
      <c r="B1197">
        <v>21</v>
      </c>
      <c r="C1197" t="s">
        <v>45</v>
      </c>
      <c r="D1197">
        <v>28</v>
      </c>
      <c r="E1197" t="s">
        <v>964</v>
      </c>
      <c r="F1197" t="s">
        <v>5324</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4" customHeight="1">
      <c r="A1198" t="s">
        <v>705</v>
      </c>
      <c r="B1198">
        <v>22</v>
      </c>
      <c r="C1198" t="s">
        <v>45</v>
      </c>
      <c r="D1198">
        <v>29</v>
      </c>
      <c r="E1198" t="s">
        <v>964</v>
      </c>
      <c r="F1198" t="s">
        <v>5324</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4" customHeight="1">
      <c r="A1199" t="s">
        <v>705</v>
      </c>
      <c r="B1199">
        <v>23</v>
      </c>
      <c r="C1199" t="s">
        <v>45</v>
      </c>
      <c r="D1199">
        <v>30</v>
      </c>
      <c r="E1199" t="s">
        <v>964</v>
      </c>
      <c r="F1199" t="s">
        <v>5324</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4" customHeight="1">
      <c r="A1200" t="s">
        <v>705</v>
      </c>
      <c r="B1200">
        <v>24</v>
      </c>
      <c r="C1200" t="s">
        <v>45</v>
      </c>
      <c r="D1200">
        <v>31</v>
      </c>
      <c r="E1200" t="s">
        <v>964</v>
      </c>
      <c r="F1200" t="s">
        <v>5325</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4" customHeight="1">
      <c r="A1201" t="s">
        <v>705</v>
      </c>
      <c r="B1201">
        <v>25</v>
      </c>
      <c r="C1201" t="s">
        <v>45</v>
      </c>
      <c r="D1201">
        <v>32</v>
      </c>
      <c r="E1201" t="s">
        <v>977</v>
      </c>
      <c r="F1201" t="s">
        <v>5322</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4" customHeight="1">
      <c r="A1202" t="s">
        <v>705</v>
      </c>
      <c r="B1202">
        <v>26</v>
      </c>
      <c r="C1202" t="s">
        <v>45</v>
      </c>
      <c r="D1202">
        <v>33</v>
      </c>
      <c r="E1202" t="s">
        <v>977</v>
      </c>
      <c r="F1202" t="s">
        <v>5323</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4" customHeight="1">
      <c r="A1203" t="s">
        <v>705</v>
      </c>
      <c r="B1203">
        <v>27</v>
      </c>
      <c r="C1203" t="s">
        <v>45</v>
      </c>
      <c r="D1203">
        <v>34</v>
      </c>
      <c r="E1203" t="s">
        <v>977</v>
      </c>
      <c r="F1203" t="s">
        <v>5324</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4" customHeight="1">
      <c r="A1204" t="s">
        <v>705</v>
      </c>
      <c r="B1204">
        <v>28</v>
      </c>
      <c r="C1204" t="s">
        <v>45</v>
      </c>
      <c r="D1204">
        <v>35</v>
      </c>
      <c r="E1204" t="s">
        <v>977</v>
      </c>
      <c r="F1204" t="s">
        <v>5324</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4" customHeight="1">
      <c r="A1205" t="s">
        <v>705</v>
      </c>
      <c r="B1205">
        <v>29</v>
      </c>
      <c r="C1205" t="s">
        <v>45</v>
      </c>
      <c r="D1205">
        <v>36</v>
      </c>
      <c r="E1205" t="s">
        <v>977</v>
      </c>
      <c r="F1205" t="s">
        <v>5324</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4" customHeight="1">
      <c r="A1206" t="s">
        <v>705</v>
      </c>
      <c r="B1206">
        <v>30</v>
      </c>
      <c r="C1206" t="s">
        <v>45</v>
      </c>
      <c r="D1206">
        <v>37</v>
      </c>
      <c r="E1206" t="s">
        <v>977</v>
      </c>
      <c r="F1206" t="s">
        <v>5325</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4" customHeight="1">
      <c r="A1207" t="s">
        <v>705</v>
      </c>
      <c r="B1207">
        <v>31</v>
      </c>
      <c r="C1207" t="s">
        <v>45</v>
      </c>
      <c r="D1207">
        <v>38</v>
      </c>
      <c r="E1207" t="s">
        <v>994</v>
      </c>
      <c r="F1207" t="s">
        <v>5322</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4" customHeight="1">
      <c r="A1208" t="s">
        <v>705</v>
      </c>
      <c r="B1208">
        <v>32</v>
      </c>
      <c r="C1208" t="s">
        <v>45</v>
      </c>
      <c r="D1208">
        <v>39</v>
      </c>
      <c r="E1208" t="s">
        <v>994</v>
      </c>
      <c r="F1208" t="s">
        <v>5323</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4" customHeight="1">
      <c r="A1209" t="s">
        <v>705</v>
      </c>
      <c r="B1209">
        <v>33</v>
      </c>
      <c r="C1209" t="s">
        <v>45</v>
      </c>
      <c r="D1209">
        <v>40</v>
      </c>
      <c r="E1209" t="s">
        <v>994</v>
      </c>
      <c r="F1209" t="s">
        <v>5324</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4" customHeight="1">
      <c r="A1210" t="s">
        <v>705</v>
      </c>
      <c r="B1210">
        <v>34</v>
      </c>
      <c r="C1210" t="s">
        <v>45</v>
      </c>
      <c r="D1210">
        <v>41</v>
      </c>
      <c r="E1210" t="s">
        <v>994</v>
      </c>
      <c r="F1210" t="s">
        <v>5324</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4" customHeight="1">
      <c r="A1211" t="s">
        <v>705</v>
      </c>
      <c r="B1211">
        <v>35</v>
      </c>
      <c r="C1211" t="s">
        <v>45</v>
      </c>
      <c r="D1211">
        <v>42</v>
      </c>
      <c r="E1211" t="s">
        <v>994</v>
      </c>
      <c r="F1211" t="s">
        <v>5324</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4" customHeight="1">
      <c r="A1212" t="s">
        <v>705</v>
      </c>
      <c r="B1212">
        <v>36</v>
      </c>
      <c r="C1212" t="s">
        <v>45</v>
      </c>
      <c r="D1212">
        <v>43</v>
      </c>
      <c r="E1212" t="s">
        <v>994</v>
      </c>
      <c r="F1212" t="s">
        <v>5325</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4" customHeight="1">
      <c r="A1213" t="s">
        <v>705</v>
      </c>
      <c r="B1213">
        <v>37</v>
      </c>
      <c r="C1213" t="s">
        <v>45</v>
      </c>
      <c r="D1213">
        <v>44</v>
      </c>
      <c r="E1213" t="s">
        <v>1007</v>
      </c>
      <c r="F1213" t="s">
        <v>5322</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4" customHeight="1">
      <c r="A1214" t="s">
        <v>705</v>
      </c>
      <c r="B1214">
        <v>38</v>
      </c>
      <c r="C1214" t="s">
        <v>45</v>
      </c>
      <c r="D1214">
        <v>45</v>
      </c>
      <c r="E1214" t="s">
        <v>1007</v>
      </c>
      <c r="F1214" t="s">
        <v>5323</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4" customHeight="1">
      <c r="A1215" t="s">
        <v>705</v>
      </c>
      <c r="B1215">
        <v>39</v>
      </c>
      <c r="C1215" t="s">
        <v>45</v>
      </c>
      <c r="D1215">
        <v>46</v>
      </c>
      <c r="E1215" t="s">
        <v>1007</v>
      </c>
      <c r="F1215" t="s">
        <v>5324</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4" customHeight="1">
      <c r="A1216" t="s">
        <v>705</v>
      </c>
      <c r="B1216">
        <v>40</v>
      </c>
      <c r="C1216" t="s">
        <v>45</v>
      </c>
      <c r="D1216">
        <v>47</v>
      </c>
      <c r="E1216" t="s">
        <v>1007</v>
      </c>
      <c r="F1216" t="s">
        <v>5324</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4" customHeight="1">
      <c r="A1217" t="s">
        <v>705</v>
      </c>
      <c r="B1217">
        <v>41</v>
      </c>
      <c r="C1217" t="s">
        <v>45</v>
      </c>
      <c r="D1217">
        <v>48</v>
      </c>
      <c r="E1217" t="s">
        <v>1007</v>
      </c>
      <c r="F1217" t="s">
        <v>5324</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4" customHeight="1">
      <c r="A1218" t="s">
        <v>705</v>
      </c>
      <c r="B1218">
        <v>42</v>
      </c>
      <c r="C1218" t="s">
        <v>45</v>
      </c>
      <c r="D1218">
        <v>49</v>
      </c>
      <c r="E1218" t="s">
        <v>1007</v>
      </c>
      <c r="F1218" t="s">
        <v>5325</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4" customHeight="1">
      <c r="A1219" t="s">
        <v>705</v>
      </c>
      <c r="B1219">
        <v>43</v>
      </c>
      <c r="C1219" t="s">
        <v>45</v>
      </c>
      <c r="D1219">
        <v>50</v>
      </c>
      <c r="E1219" t="s">
        <v>1019</v>
      </c>
      <c r="F1219" t="s">
        <v>5322</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4" customHeight="1">
      <c r="A1220" t="s">
        <v>705</v>
      </c>
      <c r="B1220">
        <v>44</v>
      </c>
      <c r="C1220" t="s">
        <v>45</v>
      </c>
      <c r="D1220">
        <v>51</v>
      </c>
      <c r="E1220" t="s">
        <v>1019</v>
      </c>
      <c r="F1220" t="s">
        <v>5323</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4" customHeight="1">
      <c r="A1221" t="s">
        <v>705</v>
      </c>
      <c r="B1221">
        <v>45</v>
      </c>
      <c r="C1221" t="s">
        <v>45</v>
      </c>
      <c r="D1221">
        <v>52</v>
      </c>
      <c r="E1221" t="s">
        <v>1019</v>
      </c>
      <c r="F1221" t="s">
        <v>5324</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4" customHeight="1">
      <c r="A1222" t="s">
        <v>705</v>
      </c>
      <c r="B1222">
        <v>46</v>
      </c>
      <c r="C1222" t="s">
        <v>45</v>
      </c>
      <c r="D1222">
        <v>53</v>
      </c>
      <c r="E1222" t="s">
        <v>1019</v>
      </c>
      <c r="F1222" t="s">
        <v>5324</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4" customHeight="1">
      <c r="A1223" t="s">
        <v>705</v>
      </c>
      <c r="B1223">
        <v>47</v>
      </c>
      <c r="C1223" t="s">
        <v>45</v>
      </c>
      <c r="D1223">
        <v>54</v>
      </c>
      <c r="E1223" t="s">
        <v>1019</v>
      </c>
      <c r="F1223" t="s">
        <v>5324</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4" customHeight="1">
      <c r="A1224" t="s">
        <v>705</v>
      </c>
      <c r="B1224">
        <v>48</v>
      </c>
      <c r="C1224" t="s">
        <v>45</v>
      </c>
      <c r="D1224">
        <v>55</v>
      </c>
      <c r="E1224" t="s">
        <v>1019</v>
      </c>
      <c r="F1224" t="s">
        <v>5324</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4" customHeight="1">
      <c r="A1225" t="s">
        <v>705</v>
      </c>
      <c r="B1225">
        <v>49</v>
      </c>
      <c r="C1225" t="s">
        <v>45</v>
      </c>
      <c r="D1225">
        <v>56</v>
      </c>
      <c r="E1225" t="s">
        <v>1019</v>
      </c>
      <c r="F1225" t="s">
        <v>5324</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4" customHeight="1">
      <c r="A1226" t="s">
        <v>705</v>
      </c>
      <c r="B1226">
        <v>50</v>
      </c>
      <c r="C1226" t="s">
        <v>45</v>
      </c>
      <c r="D1226">
        <v>57</v>
      </c>
      <c r="E1226" t="s">
        <v>1019</v>
      </c>
      <c r="F1226" t="s">
        <v>5324</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4" customHeight="1">
      <c r="A1227" t="s">
        <v>705</v>
      </c>
      <c r="B1227">
        <v>51</v>
      </c>
      <c r="C1227" t="s">
        <v>45</v>
      </c>
      <c r="D1227">
        <v>58</v>
      </c>
      <c r="E1227" t="s">
        <v>1019</v>
      </c>
      <c r="F1227" t="s">
        <v>5324</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4" customHeight="1">
      <c r="A1228" t="s">
        <v>705</v>
      </c>
      <c r="B1228">
        <v>52</v>
      </c>
      <c r="C1228" t="s">
        <v>45</v>
      </c>
      <c r="D1228">
        <v>59</v>
      </c>
      <c r="E1228" t="s">
        <v>1019</v>
      </c>
      <c r="F1228" t="s">
        <v>5324</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4" customHeight="1">
      <c r="A1229" t="s">
        <v>705</v>
      </c>
      <c r="B1229">
        <v>53</v>
      </c>
      <c r="C1229" t="s">
        <v>45</v>
      </c>
      <c r="D1229">
        <v>60</v>
      </c>
      <c r="E1229" t="s">
        <v>1019</v>
      </c>
      <c r="F1229" t="s">
        <v>5325</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4" customHeight="1">
      <c r="A1230" t="s">
        <v>705</v>
      </c>
      <c r="B1230">
        <v>54</v>
      </c>
      <c r="C1230" t="s">
        <v>45</v>
      </c>
      <c r="D1230">
        <v>61</v>
      </c>
      <c r="E1230" t="s">
        <v>1051</v>
      </c>
      <c r="F1230" t="s">
        <v>5322</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4" customHeight="1">
      <c r="A1231" t="s">
        <v>705</v>
      </c>
      <c r="B1231">
        <v>55</v>
      </c>
      <c r="C1231" t="s">
        <v>45</v>
      </c>
      <c r="D1231">
        <v>62</v>
      </c>
      <c r="E1231" t="s">
        <v>1051</v>
      </c>
      <c r="F1231" t="s">
        <v>5323</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4" customHeight="1">
      <c r="A1232" t="s">
        <v>705</v>
      </c>
      <c r="B1232">
        <v>56</v>
      </c>
      <c r="C1232" t="s">
        <v>45</v>
      </c>
      <c r="D1232">
        <v>63</v>
      </c>
      <c r="E1232" t="s">
        <v>1051</v>
      </c>
      <c r="F1232" t="s">
        <v>5324</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4" customHeight="1">
      <c r="A1233" t="s">
        <v>705</v>
      </c>
      <c r="B1233">
        <v>57</v>
      </c>
      <c r="C1233" t="s">
        <v>45</v>
      </c>
      <c r="D1233">
        <v>64</v>
      </c>
      <c r="E1233" t="s">
        <v>1051</v>
      </c>
      <c r="F1233" t="s">
        <v>5324</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4" customHeight="1">
      <c r="A1234" t="s">
        <v>705</v>
      </c>
      <c r="B1234">
        <v>58</v>
      </c>
      <c r="C1234" t="s">
        <v>45</v>
      </c>
      <c r="D1234">
        <v>65</v>
      </c>
      <c r="E1234" t="s">
        <v>1051</v>
      </c>
      <c r="F1234" t="s">
        <v>5324</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4" customHeight="1">
      <c r="A1235" t="s">
        <v>705</v>
      </c>
      <c r="B1235">
        <v>59</v>
      </c>
      <c r="C1235" t="s">
        <v>45</v>
      </c>
      <c r="D1235">
        <v>66</v>
      </c>
      <c r="E1235" t="s">
        <v>1051</v>
      </c>
      <c r="F1235" t="s">
        <v>5324</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4" customHeight="1">
      <c r="A1236" t="s">
        <v>705</v>
      </c>
      <c r="B1236">
        <v>60</v>
      </c>
      <c r="C1236" t="s">
        <v>45</v>
      </c>
      <c r="D1236">
        <v>67</v>
      </c>
      <c r="E1236" t="s">
        <v>1051</v>
      </c>
      <c r="F1236" t="s">
        <v>5324</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4" customHeight="1">
      <c r="A1237" t="s">
        <v>705</v>
      </c>
      <c r="B1237">
        <v>61</v>
      </c>
      <c r="C1237" t="s">
        <v>45</v>
      </c>
      <c r="D1237">
        <v>68</v>
      </c>
      <c r="E1237" t="s">
        <v>1051</v>
      </c>
      <c r="F1237" t="s">
        <v>5324</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4" customHeight="1">
      <c r="A1238" t="s">
        <v>705</v>
      </c>
      <c r="B1238">
        <v>62</v>
      </c>
      <c r="C1238" t="s">
        <v>45</v>
      </c>
      <c r="D1238">
        <v>69</v>
      </c>
      <c r="E1238" t="s">
        <v>1051</v>
      </c>
      <c r="F1238" t="s">
        <v>5324</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4" customHeight="1">
      <c r="A1239" t="s">
        <v>705</v>
      </c>
      <c r="B1239">
        <v>63</v>
      </c>
      <c r="C1239" t="s">
        <v>45</v>
      </c>
      <c r="D1239">
        <v>70</v>
      </c>
      <c r="E1239" t="s">
        <v>1051</v>
      </c>
      <c r="F1239" t="s">
        <v>5324</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4" customHeight="1">
      <c r="A1240" t="s">
        <v>705</v>
      </c>
      <c r="B1240">
        <v>64</v>
      </c>
      <c r="C1240" t="s">
        <v>45</v>
      </c>
      <c r="D1240">
        <v>71</v>
      </c>
      <c r="E1240" t="s">
        <v>1051</v>
      </c>
      <c r="F1240" t="s">
        <v>5325</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4" customHeight="1">
      <c r="A1241" t="s">
        <v>705</v>
      </c>
      <c r="B1241">
        <v>65</v>
      </c>
      <c r="C1241" t="s">
        <v>45</v>
      </c>
      <c r="D1241">
        <v>72</v>
      </c>
      <c r="E1241" t="s">
        <v>1052</v>
      </c>
      <c r="F1241" t="s">
        <v>5322</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4" customHeight="1">
      <c r="A1242" t="s">
        <v>705</v>
      </c>
      <c r="B1242">
        <v>66</v>
      </c>
      <c r="C1242" t="s">
        <v>45</v>
      </c>
      <c r="D1242">
        <v>73</v>
      </c>
      <c r="E1242" t="s">
        <v>1052</v>
      </c>
      <c r="F1242" t="s">
        <v>5323</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4" customHeight="1">
      <c r="A1243" t="s">
        <v>705</v>
      </c>
      <c r="B1243">
        <v>67</v>
      </c>
      <c r="C1243" t="s">
        <v>45</v>
      </c>
      <c r="D1243">
        <v>74</v>
      </c>
      <c r="E1243" t="s">
        <v>1052</v>
      </c>
      <c r="F1243" t="s">
        <v>5324</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4" customHeight="1">
      <c r="A1244" t="s">
        <v>705</v>
      </c>
      <c r="B1244">
        <v>68</v>
      </c>
      <c r="C1244" t="s">
        <v>45</v>
      </c>
      <c r="D1244">
        <v>75</v>
      </c>
      <c r="E1244" t="s">
        <v>1052</v>
      </c>
      <c r="F1244" t="s">
        <v>5324</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4" customHeight="1">
      <c r="A1245" t="s">
        <v>705</v>
      </c>
      <c r="B1245">
        <v>69</v>
      </c>
      <c r="C1245" t="s">
        <v>45</v>
      </c>
      <c r="D1245">
        <v>76</v>
      </c>
      <c r="E1245" t="s">
        <v>1052</v>
      </c>
      <c r="F1245" t="s">
        <v>5324</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4" customHeight="1">
      <c r="A1246" t="s">
        <v>705</v>
      </c>
      <c r="B1246">
        <v>70</v>
      </c>
      <c r="C1246" t="s">
        <v>45</v>
      </c>
      <c r="D1246">
        <v>77</v>
      </c>
      <c r="E1246" t="s">
        <v>1052</v>
      </c>
      <c r="F1246" t="s">
        <v>5324</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4" customHeight="1">
      <c r="A1247" t="s">
        <v>705</v>
      </c>
      <c r="B1247">
        <v>71</v>
      </c>
      <c r="C1247" t="s">
        <v>45</v>
      </c>
      <c r="D1247">
        <v>78</v>
      </c>
      <c r="E1247" t="s">
        <v>1052</v>
      </c>
      <c r="F1247" t="s">
        <v>5324</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4" customHeight="1">
      <c r="A1248" t="s">
        <v>705</v>
      </c>
      <c r="B1248">
        <v>72</v>
      </c>
      <c r="C1248" t="s">
        <v>45</v>
      </c>
      <c r="D1248">
        <v>79</v>
      </c>
      <c r="E1248" t="s">
        <v>1052</v>
      </c>
      <c r="F1248" t="s">
        <v>5324</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4" customHeight="1">
      <c r="A1249" t="s">
        <v>705</v>
      </c>
      <c r="B1249">
        <v>73</v>
      </c>
      <c r="C1249" t="s">
        <v>45</v>
      </c>
      <c r="D1249">
        <v>80</v>
      </c>
      <c r="E1249" t="s">
        <v>1052</v>
      </c>
      <c r="F1249" t="s">
        <v>5324</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4" customHeight="1">
      <c r="A1250" t="s">
        <v>705</v>
      </c>
      <c r="B1250">
        <v>74</v>
      </c>
      <c r="C1250" t="s">
        <v>45</v>
      </c>
      <c r="D1250">
        <v>81</v>
      </c>
      <c r="E1250" t="s">
        <v>1052</v>
      </c>
      <c r="F1250" t="s">
        <v>5324</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4" customHeight="1">
      <c r="A1251" t="s">
        <v>705</v>
      </c>
      <c r="B1251">
        <v>75</v>
      </c>
      <c r="C1251" t="s">
        <v>45</v>
      </c>
      <c r="D1251">
        <v>82</v>
      </c>
      <c r="E1251" t="s">
        <v>1052</v>
      </c>
      <c r="F1251" t="s">
        <v>5325</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4" customHeight="1">
      <c r="A1252" t="s">
        <v>2756</v>
      </c>
      <c r="B1252">
        <v>1</v>
      </c>
      <c r="C1252" t="s">
        <v>47</v>
      </c>
      <c r="D1252">
        <v>8</v>
      </c>
      <c r="E1252" t="s">
        <v>918</v>
      </c>
      <c r="F1252" t="s">
        <v>5322</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4" customHeight="1">
      <c r="A1253" t="s">
        <v>2756</v>
      </c>
      <c r="B1253">
        <v>2</v>
      </c>
      <c r="C1253" t="s">
        <v>47</v>
      </c>
      <c r="D1253">
        <v>9</v>
      </c>
      <c r="E1253" t="s">
        <v>918</v>
      </c>
      <c r="F1253" t="s">
        <v>5323</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4" customHeight="1">
      <c r="A1254" t="s">
        <v>2756</v>
      </c>
      <c r="B1254">
        <v>3</v>
      </c>
      <c r="C1254" t="s">
        <v>47</v>
      </c>
      <c r="D1254">
        <v>10</v>
      </c>
      <c r="E1254" t="s">
        <v>918</v>
      </c>
      <c r="F1254" t="s">
        <v>5324</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4" customHeight="1">
      <c r="A1255" t="s">
        <v>2756</v>
      </c>
      <c r="B1255">
        <v>4</v>
      </c>
      <c r="C1255" t="s">
        <v>47</v>
      </c>
      <c r="D1255">
        <v>11</v>
      </c>
      <c r="E1255" t="s">
        <v>918</v>
      </c>
      <c r="F1255" t="s">
        <v>5324</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4" customHeight="1">
      <c r="A1256" t="s">
        <v>2756</v>
      </c>
      <c r="B1256">
        <v>5</v>
      </c>
      <c r="C1256" t="s">
        <v>47</v>
      </c>
      <c r="D1256">
        <v>12</v>
      </c>
      <c r="E1256" t="s">
        <v>918</v>
      </c>
      <c r="F1256" t="s">
        <v>5325</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4" customHeight="1">
      <c r="A1257" t="s">
        <v>2756</v>
      </c>
      <c r="B1257">
        <v>6</v>
      </c>
      <c r="C1257" t="s">
        <v>47</v>
      </c>
      <c r="D1257">
        <v>13</v>
      </c>
      <c r="E1257" t="s">
        <v>936</v>
      </c>
      <c r="F1257" t="s">
        <v>5322</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4" customHeight="1">
      <c r="A1258" t="s">
        <v>2756</v>
      </c>
      <c r="B1258">
        <v>7</v>
      </c>
      <c r="C1258" t="s">
        <v>47</v>
      </c>
      <c r="D1258">
        <v>14</v>
      </c>
      <c r="E1258" t="s">
        <v>936</v>
      </c>
      <c r="F1258" t="s">
        <v>5323</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4" customHeight="1">
      <c r="A1259" t="s">
        <v>2756</v>
      </c>
      <c r="B1259">
        <v>8</v>
      </c>
      <c r="C1259" t="s">
        <v>47</v>
      </c>
      <c r="D1259">
        <v>15</v>
      </c>
      <c r="E1259" t="s">
        <v>936</v>
      </c>
      <c r="F1259" t="s">
        <v>5324</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4" customHeight="1">
      <c r="A1260" t="s">
        <v>2756</v>
      </c>
      <c r="B1260">
        <v>9</v>
      </c>
      <c r="C1260" t="s">
        <v>47</v>
      </c>
      <c r="D1260">
        <v>16</v>
      </c>
      <c r="E1260" t="s">
        <v>936</v>
      </c>
      <c r="F1260" t="s">
        <v>5324</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4" customHeight="1">
      <c r="A1261" t="s">
        <v>2756</v>
      </c>
      <c r="B1261">
        <v>10</v>
      </c>
      <c r="C1261" t="s">
        <v>47</v>
      </c>
      <c r="D1261">
        <v>17</v>
      </c>
      <c r="E1261" t="s">
        <v>936</v>
      </c>
      <c r="F1261" t="s">
        <v>5325</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4" customHeight="1">
      <c r="A1262" t="s">
        <v>2756</v>
      </c>
      <c r="B1262">
        <v>11</v>
      </c>
      <c r="C1262" t="s">
        <v>47</v>
      </c>
      <c r="D1262">
        <v>18</v>
      </c>
      <c r="E1262" t="s">
        <v>951</v>
      </c>
      <c r="F1262" t="s">
        <v>5322</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4" customHeight="1">
      <c r="A1263" t="s">
        <v>2756</v>
      </c>
      <c r="B1263">
        <v>12</v>
      </c>
      <c r="C1263" t="s">
        <v>47</v>
      </c>
      <c r="D1263">
        <v>19</v>
      </c>
      <c r="E1263" t="s">
        <v>951</v>
      </c>
      <c r="F1263" t="s">
        <v>5323</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4" customHeight="1">
      <c r="A1264" t="s">
        <v>2756</v>
      </c>
      <c r="B1264">
        <v>13</v>
      </c>
      <c r="C1264" t="s">
        <v>47</v>
      </c>
      <c r="D1264">
        <v>20</v>
      </c>
      <c r="E1264" t="s">
        <v>951</v>
      </c>
      <c r="F1264" t="s">
        <v>5324</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4" customHeight="1">
      <c r="A1265" t="s">
        <v>2756</v>
      </c>
      <c r="B1265">
        <v>14</v>
      </c>
      <c r="C1265" t="s">
        <v>47</v>
      </c>
      <c r="D1265">
        <v>21</v>
      </c>
      <c r="E1265" t="s">
        <v>951</v>
      </c>
      <c r="F1265" t="s">
        <v>5324</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4" customHeight="1">
      <c r="A1266" t="s">
        <v>2756</v>
      </c>
      <c r="B1266">
        <v>15</v>
      </c>
      <c r="C1266" t="s">
        <v>47</v>
      </c>
      <c r="D1266">
        <v>22</v>
      </c>
      <c r="E1266" t="s">
        <v>951</v>
      </c>
      <c r="F1266" t="s">
        <v>5325</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4" customHeight="1">
      <c r="A1267" t="s">
        <v>2756</v>
      </c>
      <c r="B1267">
        <v>16</v>
      </c>
      <c r="C1267" t="s">
        <v>47</v>
      </c>
      <c r="D1267">
        <v>23</v>
      </c>
      <c r="E1267" t="s">
        <v>964</v>
      </c>
      <c r="F1267" t="s">
        <v>5322</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4" customHeight="1">
      <c r="A1268" t="s">
        <v>2756</v>
      </c>
      <c r="B1268">
        <v>17</v>
      </c>
      <c r="C1268" t="s">
        <v>47</v>
      </c>
      <c r="D1268">
        <v>24</v>
      </c>
      <c r="E1268" t="s">
        <v>964</v>
      </c>
      <c r="F1268" t="s">
        <v>5323</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4" customHeight="1">
      <c r="A1269" t="s">
        <v>2756</v>
      </c>
      <c r="B1269">
        <v>18</v>
      </c>
      <c r="C1269" t="s">
        <v>47</v>
      </c>
      <c r="D1269">
        <v>25</v>
      </c>
      <c r="E1269" t="s">
        <v>964</v>
      </c>
      <c r="F1269" t="s">
        <v>5324</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4" customHeight="1">
      <c r="A1270" t="s">
        <v>2756</v>
      </c>
      <c r="B1270">
        <v>19</v>
      </c>
      <c r="C1270" t="s">
        <v>47</v>
      </c>
      <c r="D1270">
        <v>26</v>
      </c>
      <c r="E1270" t="s">
        <v>964</v>
      </c>
      <c r="F1270" t="s">
        <v>5324</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4" customHeight="1">
      <c r="A1271" t="s">
        <v>2756</v>
      </c>
      <c r="B1271">
        <v>20</v>
      </c>
      <c r="C1271" t="s">
        <v>47</v>
      </c>
      <c r="D1271">
        <v>27</v>
      </c>
      <c r="E1271" t="s">
        <v>964</v>
      </c>
      <c r="F1271" t="s">
        <v>5325</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4" customHeight="1">
      <c r="A1272" t="s">
        <v>2756</v>
      </c>
      <c r="B1272">
        <v>21</v>
      </c>
      <c r="C1272" t="s">
        <v>47</v>
      </c>
      <c r="D1272">
        <v>28</v>
      </c>
      <c r="E1272" t="s">
        <v>977</v>
      </c>
      <c r="F1272" t="s">
        <v>5322</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4" customHeight="1">
      <c r="A1273" t="s">
        <v>2756</v>
      </c>
      <c r="B1273">
        <v>22</v>
      </c>
      <c r="C1273" t="s">
        <v>47</v>
      </c>
      <c r="D1273">
        <v>29</v>
      </c>
      <c r="E1273" t="s">
        <v>977</v>
      </c>
      <c r="F1273" t="s">
        <v>5323</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4" customHeight="1">
      <c r="A1274" t="s">
        <v>2756</v>
      </c>
      <c r="B1274">
        <v>23</v>
      </c>
      <c r="C1274" t="s">
        <v>47</v>
      </c>
      <c r="D1274">
        <v>30</v>
      </c>
      <c r="E1274" t="s">
        <v>977</v>
      </c>
      <c r="F1274" t="s">
        <v>5324</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4" customHeight="1">
      <c r="A1275" t="s">
        <v>2756</v>
      </c>
      <c r="B1275">
        <v>24</v>
      </c>
      <c r="C1275" t="s">
        <v>47</v>
      </c>
      <c r="D1275">
        <v>31</v>
      </c>
      <c r="E1275" t="s">
        <v>977</v>
      </c>
      <c r="F1275" t="s">
        <v>5324</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4" customHeight="1">
      <c r="A1276" t="s">
        <v>2756</v>
      </c>
      <c r="B1276">
        <v>25</v>
      </c>
      <c r="C1276" t="s">
        <v>47</v>
      </c>
      <c r="D1276">
        <v>32</v>
      </c>
      <c r="E1276" t="s">
        <v>977</v>
      </c>
      <c r="F1276" t="s">
        <v>5325</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4" customHeight="1">
      <c r="A1277" t="s">
        <v>2756</v>
      </c>
      <c r="B1277">
        <v>26</v>
      </c>
      <c r="C1277" t="s">
        <v>47</v>
      </c>
      <c r="D1277">
        <v>33</v>
      </c>
      <c r="E1277" t="s">
        <v>994</v>
      </c>
      <c r="F1277" t="s">
        <v>5322</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4" customHeight="1">
      <c r="A1278" t="s">
        <v>2756</v>
      </c>
      <c r="B1278">
        <v>27</v>
      </c>
      <c r="C1278" t="s">
        <v>47</v>
      </c>
      <c r="D1278">
        <v>34</v>
      </c>
      <c r="E1278" t="s">
        <v>994</v>
      </c>
      <c r="F1278" t="s">
        <v>5323</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4" customHeight="1">
      <c r="A1279" t="s">
        <v>2756</v>
      </c>
      <c r="B1279">
        <v>28</v>
      </c>
      <c r="C1279" t="s">
        <v>47</v>
      </c>
      <c r="D1279">
        <v>35</v>
      </c>
      <c r="E1279" t="s">
        <v>994</v>
      </c>
      <c r="F1279" t="s">
        <v>5324</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4" customHeight="1">
      <c r="A1280" t="s">
        <v>2756</v>
      </c>
      <c r="B1280">
        <v>29</v>
      </c>
      <c r="C1280" t="s">
        <v>47</v>
      </c>
      <c r="D1280">
        <v>36</v>
      </c>
      <c r="E1280" t="s">
        <v>994</v>
      </c>
      <c r="F1280" t="s">
        <v>5324</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4" customHeight="1">
      <c r="A1281" t="s">
        <v>2756</v>
      </c>
      <c r="B1281">
        <v>30</v>
      </c>
      <c r="C1281" t="s">
        <v>47</v>
      </c>
      <c r="D1281">
        <v>37</v>
      </c>
      <c r="E1281" t="s">
        <v>994</v>
      </c>
      <c r="F1281" t="s">
        <v>5325</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4" customHeight="1">
      <c r="A1282" t="s">
        <v>2756</v>
      </c>
      <c r="B1282">
        <v>31</v>
      </c>
      <c r="C1282" t="s">
        <v>47</v>
      </c>
      <c r="D1282">
        <v>38</v>
      </c>
      <c r="E1282" t="s">
        <v>1007</v>
      </c>
      <c r="F1282" t="s">
        <v>5322</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4" customHeight="1">
      <c r="A1283" t="s">
        <v>2756</v>
      </c>
      <c r="B1283">
        <v>32</v>
      </c>
      <c r="C1283" t="s">
        <v>47</v>
      </c>
      <c r="D1283">
        <v>39</v>
      </c>
      <c r="E1283" t="s">
        <v>1007</v>
      </c>
      <c r="F1283" t="s">
        <v>5323</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4" customHeight="1">
      <c r="A1284" t="s">
        <v>2756</v>
      </c>
      <c r="B1284">
        <v>33</v>
      </c>
      <c r="C1284" t="s">
        <v>47</v>
      </c>
      <c r="D1284">
        <v>40</v>
      </c>
      <c r="E1284" t="s">
        <v>1007</v>
      </c>
      <c r="F1284" t="s">
        <v>5324</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4" customHeight="1">
      <c r="A1285" t="s">
        <v>2756</v>
      </c>
      <c r="B1285">
        <v>34</v>
      </c>
      <c r="C1285" t="s">
        <v>47</v>
      </c>
      <c r="D1285">
        <v>41</v>
      </c>
      <c r="E1285" t="s">
        <v>1007</v>
      </c>
      <c r="F1285" t="s">
        <v>5324</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4" customHeight="1">
      <c r="A1286" t="s">
        <v>2756</v>
      </c>
      <c r="B1286">
        <v>35</v>
      </c>
      <c r="C1286" t="s">
        <v>47</v>
      </c>
      <c r="D1286">
        <v>42</v>
      </c>
      <c r="E1286" t="s">
        <v>1007</v>
      </c>
      <c r="F1286" t="s">
        <v>5325</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4" customHeight="1">
      <c r="A1287" t="s">
        <v>2756</v>
      </c>
      <c r="B1287">
        <v>36</v>
      </c>
      <c r="C1287" t="s">
        <v>47</v>
      </c>
      <c r="D1287">
        <v>43</v>
      </c>
      <c r="E1287" t="s">
        <v>1019</v>
      </c>
      <c r="F1287" t="s">
        <v>5322</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4" customHeight="1">
      <c r="A1288" t="s">
        <v>2756</v>
      </c>
      <c r="B1288">
        <v>37</v>
      </c>
      <c r="C1288" t="s">
        <v>47</v>
      </c>
      <c r="D1288">
        <v>44</v>
      </c>
      <c r="E1288" t="s">
        <v>1019</v>
      </c>
      <c r="F1288" t="s">
        <v>5323</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4" customHeight="1">
      <c r="A1289" t="s">
        <v>2756</v>
      </c>
      <c r="B1289">
        <v>38</v>
      </c>
      <c r="C1289" t="s">
        <v>47</v>
      </c>
      <c r="D1289">
        <v>45</v>
      </c>
      <c r="E1289" t="s">
        <v>1019</v>
      </c>
      <c r="F1289" t="s">
        <v>5324</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4" customHeight="1">
      <c r="A1290" t="s">
        <v>2756</v>
      </c>
      <c r="B1290">
        <v>39</v>
      </c>
      <c r="C1290" t="s">
        <v>47</v>
      </c>
      <c r="D1290">
        <v>46</v>
      </c>
      <c r="E1290" t="s">
        <v>1019</v>
      </c>
      <c r="F1290" t="s">
        <v>5324</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4" customHeight="1">
      <c r="A1291" t="s">
        <v>2756</v>
      </c>
      <c r="B1291">
        <v>40</v>
      </c>
      <c r="C1291" t="s">
        <v>47</v>
      </c>
      <c r="D1291">
        <v>47</v>
      </c>
      <c r="E1291" t="s">
        <v>1019</v>
      </c>
      <c r="F1291" t="s">
        <v>5324</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4" customHeight="1">
      <c r="A1292" t="s">
        <v>2756</v>
      </c>
      <c r="B1292">
        <v>41</v>
      </c>
      <c r="C1292" t="s">
        <v>47</v>
      </c>
      <c r="D1292">
        <v>48</v>
      </c>
      <c r="E1292" t="s">
        <v>1019</v>
      </c>
      <c r="F1292" t="s">
        <v>5324</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4" customHeight="1">
      <c r="A1293" t="s">
        <v>2756</v>
      </c>
      <c r="B1293">
        <v>42</v>
      </c>
      <c r="C1293" t="s">
        <v>47</v>
      </c>
      <c r="D1293">
        <v>49</v>
      </c>
      <c r="E1293" t="s">
        <v>1019</v>
      </c>
      <c r="F1293" t="s">
        <v>5324</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4" customHeight="1">
      <c r="A1294" t="s">
        <v>2756</v>
      </c>
      <c r="B1294">
        <v>43</v>
      </c>
      <c r="C1294" t="s">
        <v>47</v>
      </c>
      <c r="D1294">
        <v>50</v>
      </c>
      <c r="E1294" t="s">
        <v>1019</v>
      </c>
      <c r="F1294" t="s">
        <v>5324</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4" customHeight="1">
      <c r="A1295" t="s">
        <v>2756</v>
      </c>
      <c r="B1295">
        <v>44</v>
      </c>
      <c r="C1295" t="s">
        <v>47</v>
      </c>
      <c r="D1295">
        <v>51</v>
      </c>
      <c r="E1295" t="s">
        <v>1019</v>
      </c>
      <c r="F1295" t="s">
        <v>5324</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4" customHeight="1">
      <c r="A1296" t="s">
        <v>2756</v>
      </c>
      <c r="B1296">
        <v>45</v>
      </c>
      <c r="C1296" t="s">
        <v>47</v>
      </c>
      <c r="D1296">
        <v>52</v>
      </c>
      <c r="E1296" t="s">
        <v>1019</v>
      </c>
      <c r="F1296" t="s">
        <v>5324</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4" customHeight="1">
      <c r="A1297" t="s">
        <v>2756</v>
      </c>
      <c r="B1297">
        <v>46</v>
      </c>
      <c r="C1297" t="s">
        <v>47</v>
      </c>
      <c r="D1297">
        <v>53</v>
      </c>
      <c r="E1297" t="s">
        <v>1019</v>
      </c>
      <c r="F1297" t="s">
        <v>5325</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4" customHeight="1">
      <c r="A1298" t="s">
        <v>2756</v>
      </c>
      <c r="B1298">
        <v>47</v>
      </c>
      <c r="C1298" t="s">
        <v>47</v>
      </c>
      <c r="D1298">
        <v>54</v>
      </c>
      <c r="E1298" t="s">
        <v>1051</v>
      </c>
      <c r="F1298" t="s">
        <v>5322</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4" customHeight="1">
      <c r="A1299" t="s">
        <v>2756</v>
      </c>
      <c r="B1299">
        <v>48</v>
      </c>
      <c r="C1299" t="s">
        <v>47</v>
      </c>
      <c r="D1299">
        <v>55</v>
      </c>
      <c r="E1299" t="s">
        <v>1051</v>
      </c>
      <c r="F1299" t="s">
        <v>5323</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4" customHeight="1">
      <c r="A1300" t="s">
        <v>2756</v>
      </c>
      <c r="B1300">
        <v>49</v>
      </c>
      <c r="C1300" t="s">
        <v>47</v>
      </c>
      <c r="D1300">
        <v>56</v>
      </c>
      <c r="E1300" t="s">
        <v>1051</v>
      </c>
      <c r="F1300" t="s">
        <v>5324</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4" customHeight="1">
      <c r="A1301" t="s">
        <v>2756</v>
      </c>
      <c r="B1301">
        <v>50</v>
      </c>
      <c r="C1301" t="s">
        <v>47</v>
      </c>
      <c r="D1301">
        <v>57</v>
      </c>
      <c r="E1301" t="s">
        <v>1051</v>
      </c>
      <c r="F1301" t="s">
        <v>5324</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4" customHeight="1">
      <c r="A1302" t="s">
        <v>2756</v>
      </c>
      <c r="B1302">
        <v>51</v>
      </c>
      <c r="C1302" t="s">
        <v>47</v>
      </c>
      <c r="D1302">
        <v>58</v>
      </c>
      <c r="E1302" t="s">
        <v>1051</v>
      </c>
      <c r="F1302" t="s">
        <v>5324</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4" customHeight="1">
      <c r="A1303" t="s">
        <v>2756</v>
      </c>
      <c r="B1303">
        <v>52</v>
      </c>
      <c r="C1303" t="s">
        <v>47</v>
      </c>
      <c r="D1303">
        <v>59</v>
      </c>
      <c r="E1303" t="s">
        <v>1051</v>
      </c>
      <c r="F1303" t="s">
        <v>5324</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4" customHeight="1">
      <c r="A1304" t="s">
        <v>2756</v>
      </c>
      <c r="B1304">
        <v>53</v>
      </c>
      <c r="C1304" t="s">
        <v>47</v>
      </c>
      <c r="D1304">
        <v>60</v>
      </c>
      <c r="E1304" t="s">
        <v>1051</v>
      </c>
      <c r="F1304" t="s">
        <v>5324</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4" customHeight="1">
      <c r="A1305" t="s">
        <v>2756</v>
      </c>
      <c r="B1305">
        <v>54</v>
      </c>
      <c r="C1305" t="s">
        <v>47</v>
      </c>
      <c r="D1305">
        <v>61</v>
      </c>
      <c r="E1305" t="s">
        <v>1051</v>
      </c>
      <c r="F1305" t="s">
        <v>5324</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4" customHeight="1">
      <c r="A1306" t="s">
        <v>2756</v>
      </c>
      <c r="B1306">
        <v>55</v>
      </c>
      <c r="C1306" t="s">
        <v>47</v>
      </c>
      <c r="D1306">
        <v>62</v>
      </c>
      <c r="E1306" t="s">
        <v>1051</v>
      </c>
      <c r="F1306" t="s">
        <v>5324</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4" customHeight="1">
      <c r="A1307" t="s">
        <v>2756</v>
      </c>
      <c r="B1307">
        <v>56</v>
      </c>
      <c r="C1307" t="s">
        <v>47</v>
      </c>
      <c r="D1307">
        <v>63</v>
      </c>
      <c r="E1307" t="s">
        <v>1051</v>
      </c>
      <c r="F1307" t="s">
        <v>5324</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4" customHeight="1">
      <c r="A1308" t="s">
        <v>2756</v>
      </c>
      <c r="B1308">
        <v>57</v>
      </c>
      <c r="C1308" t="s">
        <v>47</v>
      </c>
      <c r="D1308">
        <v>64</v>
      </c>
      <c r="E1308" t="s">
        <v>1051</v>
      </c>
      <c r="F1308" t="s">
        <v>5325</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4" customHeight="1">
      <c r="A1309" t="s">
        <v>2756</v>
      </c>
      <c r="B1309">
        <v>58</v>
      </c>
      <c r="C1309" t="s">
        <v>47</v>
      </c>
      <c r="D1309">
        <v>65</v>
      </c>
      <c r="E1309" t="s">
        <v>1052</v>
      </c>
      <c r="F1309" t="s">
        <v>5322</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4" customHeight="1">
      <c r="A1310" t="s">
        <v>2756</v>
      </c>
      <c r="B1310">
        <v>59</v>
      </c>
      <c r="C1310" t="s">
        <v>47</v>
      </c>
      <c r="D1310">
        <v>66</v>
      </c>
      <c r="E1310" t="s">
        <v>1052</v>
      </c>
      <c r="F1310" t="s">
        <v>5323</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4" customHeight="1">
      <c r="A1311" t="s">
        <v>2756</v>
      </c>
      <c r="B1311">
        <v>60</v>
      </c>
      <c r="C1311" t="s">
        <v>47</v>
      </c>
      <c r="D1311">
        <v>67</v>
      </c>
      <c r="E1311" t="s">
        <v>1052</v>
      </c>
      <c r="F1311" t="s">
        <v>5324</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4" customHeight="1">
      <c r="A1312" t="s">
        <v>2756</v>
      </c>
      <c r="B1312">
        <v>61</v>
      </c>
      <c r="C1312" t="s">
        <v>47</v>
      </c>
      <c r="D1312">
        <v>68</v>
      </c>
      <c r="E1312" t="s">
        <v>1052</v>
      </c>
      <c r="F1312" t="s">
        <v>5324</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4" customHeight="1">
      <c r="A1313" t="s">
        <v>2756</v>
      </c>
      <c r="B1313">
        <v>62</v>
      </c>
      <c r="C1313" t="s">
        <v>47</v>
      </c>
      <c r="D1313">
        <v>69</v>
      </c>
      <c r="E1313" t="s">
        <v>1052</v>
      </c>
      <c r="F1313" t="s">
        <v>5324</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4" customHeight="1">
      <c r="A1314" t="s">
        <v>2756</v>
      </c>
      <c r="B1314">
        <v>63</v>
      </c>
      <c r="C1314" t="s">
        <v>47</v>
      </c>
      <c r="D1314">
        <v>70</v>
      </c>
      <c r="E1314" t="s">
        <v>1052</v>
      </c>
      <c r="F1314" t="s">
        <v>5324</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4" customHeight="1">
      <c r="A1315" t="s">
        <v>2756</v>
      </c>
      <c r="B1315">
        <v>64</v>
      </c>
      <c r="C1315" t="s">
        <v>47</v>
      </c>
      <c r="D1315">
        <v>71</v>
      </c>
      <c r="E1315" t="s">
        <v>1052</v>
      </c>
      <c r="F1315" t="s">
        <v>5324</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4" customHeight="1">
      <c r="A1316" t="s">
        <v>2756</v>
      </c>
      <c r="B1316">
        <v>65</v>
      </c>
      <c r="C1316" t="s">
        <v>47</v>
      </c>
      <c r="D1316">
        <v>72</v>
      </c>
      <c r="E1316" t="s">
        <v>1052</v>
      </c>
      <c r="F1316" t="s">
        <v>5324</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4" customHeight="1">
      <c r="A1317" t="s">
        <v>2756</v>
      </c>
      <c r="B1317">
        <v>66</v>
      </c>
      <c r="C1317" t="s">
        <v>47</v>
      </c>
      <c r="D1317">
        <v>73</v>
      </c>
      <c r="E1317" t="s">
        <v>1052</v>
      </c>
      <c r="F1317" t="s">
        <v>5324</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4" customHeight="1">
      <c r="A1318" t="s">
        <v>2756</v>
      </c>
      <c r="B1318">
        <v>67</v>
      </c>
      <c r="C1318" t="s">
        <v>47</v>
      </c>
      <c r="D1318">
        <v>74</v>
      </c>
      <c r="E1318" t="s">
        <v>1052</v>
      </c>
      <c r="F1318" t="s">
        <v>5324</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4" customHeight="1">
      <c r="A1319" t="s">
        <v>2756</v>
      </c>
      <c r="B1319">
        <v>68</v>
      </c>
      <c r="C1319" t="s">
        <v>47</v>
      </c>
      <c r="D1319">
        <v>75</v>
      </c>
      <c r="E1319" t="s">
        <v>1052</v>
      </c>
      <c r="F1319" t="s">
        <v>5325</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4" customHeight="1">
      <c r="A1320" t="s">
        <v>2877</v>
      </c>
      <c r="B1320">
        <v>1</v>
      </c>
      <c r="C1320" t="s">
        <v>49</v>
      </c>
      <c r="D1320">
        <v>8</v>
      </c>
      <c r="E1320" t="s">
        <v>918</v>
      </c>
      <c r="F1320" t="s">
        <v>5322</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4" customHeight="1">
      <c r="A1321" t="s">
        <v>2877</v>
      </c>
      <c r="B1321">
        <v>2</v>
      </c>
      <c r="C1321" t="s">
        <v>49</v>
      </c>
      <c r="D1321">
        <v>9</v>
      </c>
      <c r="E1321" t="s">
        <v>918</v>
      </c>
      <c r="F1321" t="s">
        <v>5323</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4" customHeight="1">
      <c r="A1322" t="s">
        <v>2877</v>
      </c>
      <c r="B1322">
        <v>3</v>
      </c>
      <c r="C1322" t="s">
        <v>49</v>
      </c>
      <c r="D1322">
        <v>10</v>
      </c>
      <c r="E1322" t="s">
        <v>918</v>
      </c>
      <c r="F1322" t="s">
        <v>5324</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4" customHeight="1">
      <c r="A1323" t="s">
        <v>2877</v>
      </c>
      <c r="B1323">
        <v>4</v>
      </c>
      <c r="C1323" t="s">
        <v>49</v>
      </c>
      <c r="D1323">
        <v>11</v>
      </c>
      <c r="E1323" t="s">
        <v>918</v>
      </c>
      <c r="F1323" t="s">
        <v>5324</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4" customHeight="1">
      <c r="A1324" t="s">
        <v>2877</v>
      </c>
      <c r="B1324">
        <v>5</v>
      </c>
      <c r="C1324" t="s">
        <v>49</v>
      </c>
      <c r="D1324">
        <v>12</v>
      </c>
      <c r="E1324" t="s">
        <v>918</v>
      </c>
      <c r="F1324" t="s">
        <v>5324</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4" customHeight="1">
      <c r="A1325" t="s">
        <v>2877</v>
      </c>
      <c r="B1325">
        <v>6</v>
      </c>
      <c r="C1325" t="s">
        <v>49</v>
      </c>
      <c r="D1325">
        <v>13</v>
      </c>
      <c r="E1325" t="s">
        <v>918</v>
      </c>
      <c r="F1325" t="s">
        <v>5325</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4" customHeight="1">
      <c r="A1326" t="s">
        <v>2877</v>
      </c>
      <c r="B1326">
        <v>7</v>
      </c>
      <c r="C1326" t="s">
        <v>49</v>
      </c>
      <c r="D1326">
        <v>14</v>
      </c>
      <c r="E1326" t="s">
        <v>936</v>
      </c>
      <c r="F1326" t="s">
        <v>5322</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4" customHeight="1">
      <c r="A1327" t="s">
        <v>2877</v>
      </c>
      <c r="B1327">
        <v>8</v>
      </c>
      <c r="C1327" t="s">
        <v>49</v>
      </c>
      <c r="D1327">
        <v>15</v>
      </c>
      <c r="E1327" t="s">
        <v>936</v>
      </c>
      <c r="F1327" t="s">
        <v>5323</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4" customHeight="1">
      <c r="A1328" t="s">
        <v>2877</v>
      </c>
      <c r="B1328">
        <v>9</v>
      </c>
      <c r="C1328" t="s">
        <v>49</v>
      </c>
      <c r="D1328">
        <v>16</v>
      </c>
      <c r="E1328" t="s">
        <v>936</v>
      </c>
      <c r="F1328" t="s">
        <v>5324</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4" customHeight="1">
      <c r="A1329" t="s">
        <v>2877</v>
      </c>
      <c r="B1329">
        <v>10</v>
      </c>
      <c r="C1329" t="s">
        <v>49</v>
      </c>
      <c r="D1329">
        <v>17</v>
      </c>
      <c r="E1329" t="s">
        <v>936</v>
      </c>
      <c r="F1329" t="s">
        <v>5324</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4" customHeight="1">
      <c r="A1330" t="s">
        <v>2877</v>
      </c>
      <c r="B1330">
        <v>11</v>
      </c>
      <c r="C1330" t="s">
        <v>49</v>
      </c>
      <c r="D1330">
        <v>18</v>
      </c>
      <c r="E1330" t="s">
        <v>936</v>
      </c>
      <c r="F1330" t="s">
        <v>5324</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4" customHeight="1">
      <c r="A1331" t="s">
        <v>2877</v>
      </c>
      <c r="B1331">
        <v>12</v>
      </c>
      <c r="C1331" t="s">
        <v>49</v>
      </c>
      <c r="D1331">
        <v>19</v>
      </c>
      <c r="E1331" t="s">
        <v>936</v>
      </c>
      <c r="F1331" t="s">
        <v>5325</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4" customHeight="1">
      <c r="A1332" t="s">
        <v>2877</v>
      </c>
      <c r="B1332">
        <v>13</v>
      </c>
      <c r="C1332" t="s">
        <v>49</v>
      </c>
      <c r="D1332">
        <v>20</v>
      </c>
      <c r="E1332" t="s">
        <v>951</v>
      </c>
      <c r="F1332" t="s">
        <v>5322</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4" customHeight="1">
      <c r="A1333" t="s">
        <v>2877</v>
      </c>
      <c r="B1333">
        <v>14</v>
      </c>
      <c r="C1333" t="s">
        <v>49</v>
      </c>
      <c r="D1333">
        <v>21</v>
      </c>
      <c r="E1333" t="s">
        <v>951</v>
      </c>
      <c r="F1333" t="s">
        <v>5323</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4" customHeight="1">
      <c r="A1334" t="s">
        <v>2877</v>
      </c>
      <c r="B1334">
        <v>15</v>
      </c>
      <c r="C1334" t="s">
        <v>49</v>
      </c>
      <c r="D1334">
        <v>22</v>
      </c>
      <c r="E1334" t="s">
        <v>951</v>
      </c>
      <c r="F1334" t="s">
        <v>5324</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4" customHeight="1">
      <c r="A1335" t="s">
        <v>2877</v>
      </c>
      <c r="B1335">
        <v>16</v>
      </c>
      <c r="C1335" t="s">
        <v>49</v>
      </c>
      <c r="D1335">
        <v>23</v>
      </c>
      <c r="E1335" t="s">
        <v>951</v>
      </c>
      <c r="F1335" t="s">
        <v>5324</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4" customHeight="1">
      <c r="A1336" t="s">
        <v>2877</v>
      </c>
      <c r="B1336">
        <v>17</v>
      </c>
      <c r="C1336" t="s">
        <v>49</v>
      </c>
      <c r="D1336">
        <v>24</v>
      </c>
      <c r="E1336" t="s">
        <v>951</v>
      </c>
      <c r="F1336" t="s">
        <v>5324</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4" customHeight="1">
      <c r="A1337" t="s">
        <v>2877</v>
      </c>
      <c r="B1337">
        <v>18</v>
      </c>
      <c r="C1337" t="s">
        <v>49</v>
      </c>
      <c r="D1337">
        <v>25</v>
      </c>
      <c r="E1337" t="s">
        <v>951</v>
      </c>
      <c r="F1337" t="s">
        <v>5325</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4" customHeight="1">
      <c r="A1338" t="s">
        <v>2877</v>
      </c>
      <c r="B1338">
        <v>19</v>
      </c>
      <c r="C1338" t="s">
        <v>49</v>
      </c>
      <c r="D1338">
        <v>26</v>
      </c>
      <c r="E1338" t="s">
        <v>964</v>
      </c>
      <c r="F1338" t="s">
        <v>5322</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4" customHeight="1">
      <c r="A1339" t="s">
        <v>2877</v>
      </c>
      <c r="B1339">
        <v>20</v>
      </c>
      <c r="C1339" t="s">
        <v>49</v>
      </c>
      <c r="D1339">
        <v>27</v>
      </c>
      <c r="E1339" t="s">
        <v>964</v>
      </c>
      <c r="F1339" t="s">
        <v>5323</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4" customHeight="1">
      <c r="A1340" t="s">
        <v>2877</v>
      </c>
      <c r="B1340">
        <v>21</v>
      </c>
      <c r="C1340" t="s">
        <v>49</v>
      </c>
      <c r="D1340">
        <v>28</v>
      </c>
      <c r="E1340" t="s">
        <v>964</v>
      </c>
      <c r="F1340" t="s">
        <v>5324</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4" customHeight="1">
      <c r="A1341" t="s">
        <v>2877</v>
      </c>
      <c r="B1341">
        <v>22</v>
      </c>
      <c r="C1341" t="s">
        <v>49</v>
      </c>
      <c r="D1341">
        <v>29</v>
      </c>
      <c r="E1341" t="s">
        <v>964</v>
      </c>
      <c r="F1341" t="s">
        <v>5324</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4" customHeight="1">
      <c r="A1342" t="s">
        <v>2877</v>
      </c>
      <c r="B1342">
        <v>23</v>
      </c>
      <c r="C1342" t="s">
        <v>49</v>
      </c>
      <c r="D1342">
        <v>30</v>
      </c>
      <c r="E1342" t="s">
        <v>964</v>
      </c>
      <c r="F1342" t="s">
        <v>5324</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4" customHeight="1">
      <c r="A1343" t="s">
        <v>2877</v>
      </c>
      <c r="B1343">
        <v>24</v>
      </c>
      <c r="C1343" t="s">
        <v>49</v>
      </c>
      <c r="D1343">
        <v>31</v>
      </c>
      <c r="E1343" t="s">
        <v>964</v>
      </c>
      <c r="F1343" t="s">
        <v>5325</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4" customHeight="1">
      <c r="A1344" t="s">
        <v>2877</v>
      </c>
      <c r="B1344">
        <v>25</v>
      </c>
      <c r="C1344" t="s">
        <v>49</v>
      </c>
      <c r="D1344">
        <v>32</v>
      </c>
      <c r="E1344" t="s">
        <v>977</v>
      </c>
      <c r="F1344" t="s">
        <v>5322</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4" customHeight="1">
      <c r="A1345" t="s">
        <v>2877</v>
      </c>
      <c r="B1345">
        <v>26</v>
      </c>
      <c r="C1345" t="s">
        <v>49</v>
      </c>
      <c r="D1345">
        <v>33</v>
      </c>
      <c r="E1345" t="s">
        <v>977</v>
      </c>
      <c r="F1345" t="s">
        <v>5323</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4" customHeight="1">
      <c r="A1346" t="s">
        <v>2877</v>
      </c>
      <c r="B1346">
        <v>27</v>
      </c>
      <c r="C1346" t="s">
        <v>49</v>
      </c>
      <c r="D1346">
        <v>34</v>
      </c>
      <c r="E1346" t="s">
        <v>977</v>
      </c>
      <c r="F1346" t="s">
        <v>5324</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4" customHeight="1">
      <c r="A1347" t="s">
        <v>2877</v>
      </c>
      <c r="B1347">
        <v>28</v>
      </c>
      <c r="C1347" t="s">
        <v>49</v>
      </c>
      <c r="D1347">
        <v>35</v>
      </c>
      <c r="E1347" t="s">
        <v>977</v>
      </c>
      <c r="F1347" t="s">
        <v>5324</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4" customHeight="1">
      <c r="A1348" t="s">
        <v>2877</v>
      </c>
      <c r="B1348">
        <v>29</v>
      </c>
      <c r="C1348" t="s">
        <v>49</v>
      </c>
      <c r="D1348">
        <v>36</v>
      </c>
      <c r="E1348" t="s">
        <v>977</v>
      </c>
      <c r="F1348" t="s">
        <v>5324</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4" customHeight="1">
      <c r="A1349" t="s">
        <v>2877</v>
      </c>
      <c r="B1349">
        <v>30</v>
      </c>
      <c r="C1349" t="s">
        <v>49</v>
      </c>
      <c r="D1349">
        <v>37</v>
      </c>
      <c r="E1349" t="s">
        <v>977</v>
      </c>
      <c r="F1349" t="s">
        <v>5325</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4" customHeight="1">
      <c r="A1350" t="s">
        <v>2877</v>
      </c>
      <c r="B1350">
        <v>31</v>
      </c>
      <c r="C1350" t="s">
        <v>49</v>
      </c>
      <c r="D1350">
        <v>38</v>
      </c>
      <c r="E1350" t="s">
        <v>994</v>
      </c>
      <c r="F1350" t="s">
        <v>5322</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4" customHeight="1">
      <c r="A1351" t="s">
        <v>2877</v>
      </c>
      <c r="B1351">
        <v>32</v>
      </c>
      <c r="C1351" t="s">
        <v>49</v>
      </c>
      <c r="D1351">
        <v>39</v>
      </c>
      <c r="E1351" t="s">
        <v>994</v>
      </c>
      <c r="F1351" t="s">
        <v>5323</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4" customHeight="1">
      <c r="A1352" t="s">
        <v>2877</v>
      </c>
      <c r="B1352">
        <v>33</v>
      </c>
      <c r="C1352" t="s">
        <v>49</v>
      </c>
      <c r="D1352">
        <v>40</v>
      </c>
      <c r="E1352" t="s">
        <v>994</v>
      </c>
      <c r="F1352" t="s">
        <v>5324</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4" customHeight="1">
      <c r="A1353" t="s">
        <v>2877</v>
      </c>
      <c r="B1353">
        <v>34</v>
      </c>
      <c r="C1353" t="s">
        <v>49</v>
      </c>
      <c r="D1353">
        <v>41</v>
      </c>
      <c r="E1353" t="s">
        <v>994</v>
      </c>
      <c r="F1353" t="s">
        <v>5324</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4" customHeight="1">
      <c r="A1354" t="s">
        <v>2877</v>
      </c>
      <c r="B1354">
        <v>35</v>
      </c>
      <c r="C1354" t="s">
        <v>49</v>
      </c>
      <c r="D1354">
        <v>42</v>
      </c>
      <c r="E1354" t="s">
        <v>994</v>
      </c>
      <c r="F1354" t="s">
        <v>5324</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4" customHeight="1">
      <c r="A1355" t="s">
        <v>2877</v>
      </c>
      <c r="B1355">
        <v>36</v>
      </c>
      <c r="C1355" t="s">
        <v>49</v>
      </c>
      <c r="D1355">
        <v>43</v>
      </c>
      <c r="E1355" t="s">
        <v>994</v>
      </c>
      <c r="F1355" t="s">
        <v>5325</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4" customHeight="1">
      <c r="A1356" t="s">
        <v>2877</v>
      </c>
      <c r="B1356">
        <v>37</v>
      </c>
      <c r="C1356" t="s">
        <v>49</v>
      </c>
      <c r="D1356">
        <v>44</v>
      </c>
      <c r="E1356" t="s">
        <v>1007</v>
      </c>
      <c r="F1356" t="s">
        <v>5322</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4" customHeight="1">
      <c r="A1357" t="s">
        <v>2877</v>
      </c>
      <c r="B1357">
        <v>38</v>
      </c>
      <c r="C1357" t="s">
        <v>49</v>
      </c>
      <c r="D1357">
        <v>45</v>
      </c>
      <c r="E1357" t="s">
        <v>1007</v>
      </c>
      <c r="F1357" t="s">
        <v>5323</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4" customHeight="1">
      <c r="A1358" t="s">
        <v>2877</v>
      </c>
      <c r="B1358">
        <v>39</v>
      </c>
      <c r="C1358" t="s">
        <v>49</v>
      </c>
      <c r="D1358">
        <v>46</v>
      </c>
      <c r="E1358" t="s">
        <v>1007</v>
      </c>
      <c r="F1358" t="s">
        <v>5324</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4" customHeight="1">
      <c r="A1359" t="s">
        <v>2877</v>
      </c>
      <c r="B1359">
        <v>40</v>
      </c>
      <c r="C1359" t="s">
        <v>49</v>
      </c>
      <c r="D1359">
        <v>47</v>
      </c>
      <c r="E1359" t="s">
        <v>1007</v>
      </c>
      <c r="F1359" t="s">
        <v>5324</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4" customHeight="1">
      <c r="A1360" t="s">
        <v>2877</v>
      </c>
      <c r="B1360">
        <v>41</v>
      </c>
      <c r="C1360" t="s">
        <v>49</v>
      </c>
      <c r="D1360">
        <v>48</v>
      </c>
      <c r="E1360" t="s">
        <v>1007</v>
      </c>
      <c r="F1360" t="s">
        <v>5324</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4" customHeight="1">
      <c r="A1361" t="s">
        <v>2877</v>
      </c>
      <c r="B1361">
        <v>42</v>
      </c>
      <c r="C1361" t="s">
        <v>49</v>
      </c>
      <c r="D1361">
        <v>49</v>
      </c>
      <c r="E1361" t="s">
        <v>1007</v>
      </c>
      <c r="F1361" t="s">
        <v>5325</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4" customHeight="1">
      <c r="A1362" t="s">
        <v>2877</v>
      </c>
      <c r="B1362">
        <v>43</v>
      </c>
      <c r="C1362" t="s">
        <v>49</v>
      </c>
      <c r="D1362">
        <v>50</v>
      </c>
      <c r="E1362" t="s">
        <v>1019</v>
      </c>
      <c r="F1362" t="s">
        <v>5322</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4" customHeight="1">
      <c r="A1363" t="s">
        <v>2877</v>
      </c>
      <c r="B1363">
        <v>44</v>
      </c>
      <c r="C1363" t="s">
        <v>49</v>
      </c>
      <c r="D1363">
        <v>51</v>
      </c>
      <c r="E1363" t="s">
        <v>1019</v>
      </c>
      <c r="F1363" t="s">
        <v>5323</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4" customHeight="1">
      <c r="A1364" t="s">
        <v>2877</v>
      </c>
      <c r="B1364">
        <v>45</v>
      </c>
      <c r="C1364" t="s">
        <v>49</v>
      </c>
      <c r="D1364">
        <v>52</v>
      </c>
      <c r="E1364" t="s">
        <v>1019</v>
      </c>
      <c r="F1364" t="s">
        <v>5324</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4" customHeight="1">
      <c r="A1365" t="s">
        <v>2877</v>
      </c>
      <c r="B1365">
        <v>46</v>
      </c>
      <c r="C1365" t="s">
        <v>49</v>
      </c>
      <c r="D1365">
        <v>53</v>
      </c>
      <c r="E1365" t="s">
        <v>1019</v>
      </c>
      <c r="F1365" t="s">
        <v>5324</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4" customHeight="1">
      <c r="A1366" t="s">
        <v>2877</v>
      </c>
      <c r="B1366">
        <v>47</v>
      </c>
      <c r="C1366" t="s">
        <v>49</v>
      </c>
      <c r="D1366">
        <v>54</v>
      </c>
      <c r="E1366" t="s">
        <v>1019</v>
      </c>
      <c r="F1366" t="s">
        <v>5324</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4" customHeight="1">
      <c r="A1367" t="s">
        <v>2877</v>
      </c>
      <c r="B1367">
        <v>48</v>
      </c>
      <c r="C1367" t="s">
        <v>49</v>
      </c>
      <c r="D1367">
        <v>55</v>
      </c>
      <c r="E1367" t="s">
        <v>1019</v>
      </c>
      <c r="F1367" t="s">
        <v>5324</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4" customHeight="1">
      <c r="A1368" t="s">
        <v>2877</v>
      </c>
      <c r="B1368">
        <v>49</v>
      </c>
      <c r="C1368" t="s">
        <v>49</v>
      </c>
      <c r="D1368">
        <v>56</v>
      </c>
      <c r="E1368" t="s">
        <v>1019</v>
      </c>
      <c r="F1368" t="s">
        <v>5324</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4" customHeight="1">
      <c r="A1369" t="s">
        <v>2877</v>
      </c>
      <c r="B1369">
        <v>50</v>
      </c>
      <c r="C1369" t="s">
        <v>49</v>
      </c>
      <c r="D1369">
        <v>57</v>
      </c>
      <c r="E1369" t="s">
        <v>1019</v>
      </c>
      <c r="F1369" t="s">
        <v>5324</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4" customHeight="1">
      <c r="A1370" t="s">
        <v>2877</v>
      </c>
      <c r="B1370">
        <v>51</v>
      </c>
      <c r="C1370" t="s">
        <v>49</v>
      </c>
      <c r="D1370">
        <v>58</v>
      </c>
      <c r="E1370" t="s">
        <v>1019</v>
      </c>
      <c r="F1370" t="s">
        <v>5324</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4" customHeight="1">
      <c r="A1371" t="s">
        <v>2877</v>
      </c>
      <c r="B1371">
        <v>52</v>
      </c>
      <c r="C1371" t="s">
        <v>49</v>
      </c>
      <c r="D1371">
        <v>59</v>
      </c>
      <c r="E1371" t="s">
        <v>1019</v>
      </c>
      <c r="F1371" t="s">
        <v>5324</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4" customHeight="1">
      <c r="A1372" t="s">
        <v>2877</v>
      </c>
      <c r="B1372">
        <v>53</v>
      </c>
      <c r="C1372" t="s">
        <v>49</v>
      </c>
      <c r="D1372">
        <v>60</v>
      </c>
      <c r="E1372" t="s">
        <v>1019</v>
      </c>
      <c r="F1372" t="s">
        <v>5325</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4" customHeight="1">
      <c r="A1373" t="s">
        <v>2877</v>
      </c>
      <c r="B1373">
        <v>54</v>
      </c>
      <c r="C1373" t="s">
        <v>49</v>
      </c>
      <c r="D1373">
        <v>61</v>
      </c>
      <c r="E1373" t="s">
        <v>1051</v>
      </c>
      <c r="F1373" t="s">
        <v>5322</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4" customHeight="1">
      <c r="A1374" t="s">
        <v>2877</v>
      </c>
      <c r="B1374">
        <v>55</v>
      </c>
      <c r="C1374" t="s">
        <v>49</v>
      </c>
      <c r="D1374">
        <v>62</v>
      </c>
      <c r="E1374" t="s">
        <v>1051</v>
      </c>
      <c r="F1374" t="s">
        <v>5323</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4" customHeight="1">
      <c r="A1375" t="s">
        <v>2877</v>
      </c>
      <c r="B1375">
        <v>56</v>
      </c>
      <c r="C1375" t="s">
        <v>49</v>
      </c>
      <c r="D1375">
        <v>63</v>
      </c>
      <c r="E1375" t="s">
        <v>1051</v>
      </c>
      <c r="F1375" t="s">
        <v>5324</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4" customHeight="1">
      <c r="A1376" t="s">
        <v>2877</v>
      </c>
      <c r="B1376">
        <v>57</v>
      </c>
      <c r="C1376" t="s">
        <v>49</v>
      </c>
      <c r="D1376">
        <v>64</v>
      </c>
      <c r="E1376" t="s">
        <v>1051</v>
      </c>
      <c r="F1376" t="s">
        <v>5324</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4" customHeight="1">
      <c r="A1377" t="s">
        <v>2877</v>
      </c>
      <c r="B1377">
        <v>58</v>
      </c>
      <c r="C1377" t="s">
        <v>49</v>
      </c>
      <c r="D1377">
        <v>65</v>
      </c>
      <c r="E1377" t="s">
        <v>1051</v>
      </c>
      <c r="F1377" t="s">
        <v>5324</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4" customHeight="1">
      <c r="A1378" t="s">
        <v>2877</v>
      </c>
      <c r="B1378">
        <v>59</v>
      </c>
      <c r="C1378" t="s">
        <v>49</v>
      </c>
      <c r="D1378">
        <v>66</v>
      </c>
      <c r="E1378" t="s">
        <v>1051</v>
      </c>
      <c r="F1378" t="s">
        <v>5324</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4" customHeight="1">
      <c r="A1379" t="s">
        <v>2877</v>
      </c>
      <c r="B1379">
        <v>60</v>
      </c>
      <c r="C1379" t="s">
        <v>49</v>
      </c>
      <c r="D1379">
        <v>67</v>
      </c>
      <c r="E1379" t="s">
        <v>1051</v>
      </c>
      <c r="F1379" t="s">
        <v>5324</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4" customHeight="1">
      <c r="A1380" t="s">
        <v>2877</v>
      </c>
      <c r="B1380">
        <v>61</v>
      </c>
      <c r="C1380" t="s">
        <v>49</v>
      </c>
      <c r="D1380">
        <v>68</v>
      </c>
      <c r="E1380" t="s">
        <v>1051</v>
      </c>
      <c r="F1380" t="s">
        <v>5324</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4" customHeight="1">
      <c r="A1381" t="s">
        <v>2877</v>
      </c>
      <c r="B1381">
        <v>62</v>
      </c>
      <c r="C1381" t="s">
        <v>49</v>
      </c>
      <c r="D1381">
        <v>69</v>
      </c>
      <c r="E1381" t="s">
        <v>1051</v>
      </c>
      <c r="F1381" t="s">
        <v>5324</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4" customHeight="1">
      <c r="A1382" t="s">
        <v>2877</v>
      </c>
      <c r="B1382">
        <v>63</v>
      </c>
      <c r="C1382" t="s">
        <v>49</v>
      </c>
      <c r="D1382">
        <v>70</v>
      </c>
      <c r="E1382" t="s">
        <v>1051</v>
      </c>
      <c r="F1382" t="s">
        <v>5324</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4" customHeight="1">
      <c r="A1383" t="s">
        <v>2877</v>
      </c>
      <c r="B1383">
        <v>64</v>
      </c>
      <c r="C1383" t="s">
        <v>49</v>
      </c>
      <c r="D1383">
        <v>71</v>
      </c>
      <c r="E1383" t="s">
        <v>1051</v>
      </c>
      <c r="F1383" t="s">
        <v>5325</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4" customHeight="1">
      <c r="A1384" t="s">
        <v>2877</v>
      </c>
      <c r="B1384">
        <v>65</v>
      </c>
      <c r="C1384" t="s">
        <v>49</v>
      </c>
      <c r="D1384">
        <v>72</v>
      </c>
      <c r="E1384" t="s">
        <v>1052</v>
      </c>
      <c r="F1384" t="s">
        <v>5322</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4" customHeight="1">
      <c r="A1385" t="s">
        <v>2877</v>
      </c>
      <c r="B1385">
        <v>66</v>
      </c>
      <c r="C1385" t="s">
        <v>49</v>
      </c>
      <c r="D1385">
        <v>73</v>
      </c>
      <c r="E1385" t="s">
        <v>1052</v>
      </c>
      <c r="F1385" t="s">
        <v>5323</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4" customHeight="1">
      <c r="A1386" t="s">
        <v>2877</v>
      </c>
      <c r="B1386">
        <v>67</v>
      </c>
      <c r="C1386" t="s">
        <v>49</v>
      </c>
      <c r="D1386">
        <v>74</v>
      </c>
      <c r="E1386" t="s">
        <v>1052</v>
      </c>
      <c r="F1386" t="s">
        <v>5324</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4" customHeight="1">
      <c r="A1387" t="s">
        <v>2877</v>
      </c>
      <c r="B1387">
        <v>68</v>
      </c>
      <c r="C1387" t="s">
        <v>49</v>
      </c>
      <c r="D1387">
        <v>75</v>
      </c>
      <c r="E1387" t="s">
        <v>1052</v>
      </c>
      <c r="F1387" t="s">
        <v>5324</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4" customHeight="1">
      <c r="A1388" t="s">
        <v>2877</v>
      </c>
      <c r="B1388">
        <v>69</v>
      </c>
      <c r="C1388" t="s">
        <v>49</v>
      </c>
      <c r="D1388">
        <v>76</v>
      </c>
      <c r="E1388" t="s">
        <v>1052</v>
      </c>
      <c r="F1388" t="s">
        <v>5324</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4" customHeight="1">
      <c r="A1389" t="s">
        <v>2877</v>
      </c>
      <c r="B1389">
        <v>70</v>
      </c>
      <c r="C1389" t="s">
        <v>49</v>
      </c>
      <c r="D1389">
        <v>77</v>
      </c>
      <c r="E1389" t="s">
        <v>1052</v>
      </c>
      <c r="F1389" t="s">
        <v>5324</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4" customHeight="1">
      <c r="A1390" t="s">
        <v>2877</v>
      </c>
      <c r="B1390">
        <v>71</v>
      </c>
      <c r="C1390" t="s">
        <v>49</v>
      </c>
      <c r="D1390">
        <v>78</v>
      </c>
      <c r="E1390" t="s">
        <v>1052</v>
      </c>
      <c r="F1390" t="s">
        <v>5324</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4" customHeight="1">
      <c r="A1391" t="s">
        <v>2877</v>
      </c>
      <c r="B1391">
        <v>72</v>
      </c>
      <c r="C1391" t="s">
        <v>49</v>
      </c>
      <c r="D1391">
        <v>79</v>
      </c>
      <c r="E1391" t="s">
        <v>1052</v>
      </c>
      <c r="F1391" t="s">
        <v>5324</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4" customHeight="1">
      <c r="A1392" t="s">
        <v>2877</v>
      </c>
      <c r="B1392">
        <v>73</v>
      </c>
      <c r="C1392" t="s">
        <v>49</v>
      </c>
      <c r="D1392">
        <v>80</v>
      </c>
      <c r="E1392" t="s">
        <v>1052</v>
      </c>
      <c r="F1392" t="s">
        <v>5324</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4" customHeight="1">
      <c r="A1393" t="s">
        <v>2877</v>
      </c>
      <c r="B1393">
        <v>74</v>
      </c>
      <c r="C1393" t="s">
        <v>49</v>
      </c>
      <c r="D1393">
        <v>81</v>
      </c>
      <c r="E1393" t="s">
        <v>1052</v>
      </c>
      <c r="F1393" t="s">
        <v>5324</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4" customHeight="1">
      <c r="A1394" t="s">
        <v>2877</v>
      </c>
      <c r="B1394">
        <v>75</v>
      </c>
      <c r="C1394" t="s">
        <v>49</v>
      </c>
      <c r="D1394">
        <v>82</v>
      </c>
      <c r="E1394" t="s">
        <v>1052</v>
      </c>
      <c r="F1394" t="s">
        <v>5325</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4" customHeight="1">
      <c r="A1395" t="s">
        <v>707</v>
      </c>
      <c r="B1395">
        <v>1</v>
      </c>
      <c r="C1395" t="s">
        <v>51</v>
      </c>
      <c r="D1395">
        <v>8</v>
      </c>
      <c r="E1395" t="s">
        <v>918</v>
      </c>
      <c r="F1395" t="s">
        <v>5322</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4" customHeight="1">
      <c r="A1396" t="s">
        <v>707</v>
      </c>
      <c r="B1396">
        <v>2</v>
      </c>
      <c r="C1396" t="s">
        <v>51</v>
      </c>
      <c r="D1396">
        <v>9</v>
      </c>
      <c r="E1396" t="s">
        <v>918</v>
      </c>
      <c r="F1396" t="s">
        <v>5323</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4" customHeight="1">
      <c r="A1397" t="s">
        <v>707</v>
      </c>
      <c r="B1397">
        <v>3</v>
      </c>
      <c r="C1397" t="s">
        <v>51</v>
      </c>
      <c r="D1397">
        <v>10</v>
      </c>
      <c r="E1397" t="s">
        <v>918</v>
      </c>
      <c r="F1397" t="s">
        <v>5324</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4" customHeight="1">
      <c r="A1398" t="s">
        <v>707</v>
      </c>
      <c r="B1398">
        <v>4</v>
      </c>
      <c r="C1398" t="s">
        <v>51</v>
      </c>
      <c r="D1398">
        <v>11</v>
      </c>
      <c r="E1398" t="s">
        <v>918</v>
      </c>
      <c r="F1398" t="s">
        <v>5324</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4" customHeight="1">
      <c r="A1399" t="s">
        <v>707</v>
      </c>
      <c r="B1399">
        <v>5</v>
      </c>
      <c r="C1399" t="s">
        <v>51</v>
      </c>
      <c r="D1399">
        <v>12</v>
      </c>
      <c r="E1399" t="s">
        <v>918</v>
      </c>
      <c r="F1399" t="s">
        <v>5325</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4" customHeight="1">
      <c r="A1400" t="s">
        <v>707</v>
      </c>
      <c r="B1400">
        <v>6</v>
      </c>
      <c r="C1400" t="s">
        <v>51</v>
      </c>
      <c r="D1400">
        <v>13</v>
      </c>
      <c r="E1400" t="s">
        <v>936</v>
      </c>
      <c r="F1400" t="s">
        <v>5322</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4" customHeight="1">
      <c r="A1401" t="s">
        <v>707</v>
      </c>
      <c r="B1401">
        <v>7</v>
      </c>
      <c r="C1401" t="s">
        <v>51</v>
      </c>
      <c r="D1401">
        <v>14</v>
      </c>
      <c r="E1401" t="s">
        <v>936</v>
      </c>
      <c r="F1401" t="s">
        <v>5323</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4" customHeight="1">
      <c r="A1402" t="s">
        <v>707</v>
      </c>
      <c r="B1402">
        <v>8</v>
      </c>
      <c r="C1402" t="s">
        <v>51</v>
      </c>
      <c r="D1402">
        <v>15</v>
      </c>
      <c r="E1402" t="s">
        <v>936</v>
      </c>
      <c r="F1402" t="s">
        <v>5324</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4" customHeight="1">
      <c r="A1403" t="s">
        <v>707</v>
      </c>
      <c r="B1403">
        <v>9</v>
      </c>
      <c r="C1403" t="s">
        <v>51</v>
      </c>
      <c r="D1403">
        <v>16</v>
      </c>
      <c r="E1403" t="s">
        <v>936</v>
      </c>
      <c r="F1403" t="s">
        <v>5324</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4" customHeight="1">
      <c r="A1404" t="s">
        <v>707</v>
      </c>
      <c r="B1404">
        <v>10</v>
      </c>
      <c r="C1404" t="s">
        <v>51</v>
      </c>
      <c r="D1404">
        <v>17</v>
      </c>
      <c r="E1404" t="s">
        <v>936</v>
      </c>
      <c r="F1404" t="s">
        <v>5325</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4" customHeight="1">
      <c r="A1405" t="s">
        <v>707</v>
      </c>
      <c r="B1405">
        <v>11</v>
      </c>
      <c r="C1405" t="s">
        <v>51</v>
      </c>
      <c r="D1405">
        <v>18</v>
      </c>
      <c r="E1405" t="s">
        <v>951</v>
      </c>
      <c r="F1405" t="s">
        <v>5322</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4" customHeight="1">
      <c r="A1406" t="s">
        <v>707</v>
      </c>
      <c r="B1406">
        <v>12</v>
      </c>
      <c r="C1406" t="s">
        <v>51</v>
      </c>
      <c r="D1406">
        <v>19</v>
      </c>
      <c r="E1406" t="s">
        <v>951</v>
      </c>
      <c r="F1406" t="s">
        <v>5323</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4" customHeight="1">
      <c r="A1407" t="s">
        <v>707</v>
      </c>
      <c r="B1407">
        <v>13</v>
      </c>
      <c r="C1407" t="s">
        <v>51</v>
      </c>
      <c r="D1407">
        <v>20</v>
      </c>
      <c r="E1407" t="s">
        <v>951</v>
      </c>
      <c r="F1407" t="s">
        <v>5324</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4" customHeight="1">
      <c r="A1408" t="s">
        <v>707</v>
      </c>
      <c r="B1408">
        <v>14</v>
      </c>
      <c r="C1408" t="s">
        <v>51</v>
      </c>
      <c r="D1408">
        <v>21</v>
      </c>
      <c r="E1408" t="s">
        <v>951</v>
      </c>
      <c r="F1408" t="s">
        <v>5324</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4" customHeight="1">
      <c r="A1409" t="s">
        <v>707</v>
      </c>
      <c r="B1409">
        <v>15</v>
      </c>
      <c r="C1409" t="s">
        <v>51</v>
      </c>
      <c r="D1409">
        <v>22</v>
      </c>
      <c r="E1409" t="s">
        <v>951</v>
      </c>
      <c r="F1409" t="s">
        <v>5325</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4" customHeight="1">
      <c r="A1410" t="s">
        <v>707</v>
      </c>
      <c r="B1410">
        <v>16</v>
      </c>
      <c r="C1410" t="s">
        <v>51</v>
      </c>
      <c r="D1410">
        <v>23</v>
      </c>
      <c r="E1410" t="s">
        <v>964</v>
      </c>
      <c r="F1410" t="s">
        <v>5322</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4" customHeight="1">
      <c r="A1411" t="s">
        <v>707</v>
      </c>
      <c r="B1411">
        <v>17</v>
      </c>
      <c r="C1411" t="s">
        <v>51</v>
      </c>
      <c r="D1411">
        <v>24</v>
      </c>
      <c r="E1411" t="s">
        <v>964</v>
      </c>
      <c r="F1411" t="s">
        <v>5323</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4" customHeight="1">
      <c r="A1412" t="s">
        <v>707</v>
      </c>
      <c r="B1412">
        <v>18</v>
      </c>
      <c r="C1412" t="s">
        <v>51</v>
      </c>
      <c r="D1412">
        <v>25</v>
      </c>
      <c r="E1412" t="s">
        <v>964</v>
      </c>
      <c r="F1412" t="s">
        <v>5324</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4" customHeight="1">
      <c r="A1413" t="s">
        <v>707</v>
      </c>
      <c r="B1413">
        <v>19</v>
      </c>
      <c r="C1413" t="s">
        <v>51</v>
      </c>
      <c r="D1413">
        <v>26</v>
      </c>
      <c r="E1413" t="s">
        <v>964</v>
      </c>
      <c r="F1413" t="s">
        <v>5324</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4" customHeight="1">
      <c r="A1414" t="s">
        <v>707</v>
      </c>
      <c r="B1414">
        <v>20</v>
      </c>
      <c r="C1414" t="s">
        <v>51</v>
      </c>
      <c r="D1414">
        <v>27</v>
      </c>
      <c r="E1414" t="s">
        <v>964</v>
      </c>
      <c r="F1414" t="s">
        <v>5325</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4" customHeight="1">
      <c r="A1415" t="s">
        <v>707</v>
      </c>
      <c r="B1415">
        <v>21</v>
      </c>
      <c r="C1415" t="s">
        <v>51</v>
      </c>
      <c r="D1415">
        <v>28</v>
      </c>
      <c r="E1415" t="s">
        <v>977</v>
      </c>
      <c r="F1415" t="s">
        <v>5322</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4" customHeight="1">
      <c r="A1416" t="s">
        <v>707</v>
      </c>
      <c r="B1416">
        <v>22</v>
      </c>
      <c r="C1416" t="s">
        <v>51</v>
      </c>
      <c r="D1416">
        <v>29</v>
      </c>
      <c r="E1416" t="s">
        <v>977</v>
      </c>
      <c r="F1416" t="s">
        <v>5323</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4" customHeight="1">
      <c r="A1417" t="s">
        <v>707</v>
      </c>
      <c r="B1417">
        <v>23</v>
      </c>
      <c r="C1417" t="s">
        <v>51</v>
      </c>
      <c r="D1417">
        <v>30</v>
      </c>
      <c r="E1417" t="s">
        <v>977</v>
      </c>
      <c r="F1417" t="s">
        <v>5324</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4" customHeight="1">
      <c r="A1418" t="s">
        <v>707</v>
      </c>
      <c r="B1418">
        <v>24</v>
      </c>
      <c r="C1418" t="s">
        <v>51</v>
      </c>
      <c r="D1418">
        <v>31</v>
      </c>
      <c r="E1418" t="s">
        <v>977</v>
      </c>
      <c r="F1418" t="s">
        <v>5324</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4" customHeight="1">
      <c r="A1419" t="s">
        <v>707</v>
      </c>
      <c r="B1419">
        <v>25</v>
      </c>
      <c r="C1419" t="s">
        <v>51</v>
      </c>
      <c r="D1419">
        <v>32</v>
      </c>
      <c r="E1419" t="s">
        <v>977</v>
      </c>
      <c r="F1419" t="s">
        <v>5325</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4" customHeight="1">
      <c r="A1420" t="s">
        <v>707</v>
      </c>
      <c r="B1420">
        <v>26</v>
      </c>
      <c r="C1420" t="s">
        <v>51</v>
      </c>
      <c r="D1420">
        <v>33</v>
      </c>
      <c r="E1420" t="s">
        <v>994</v>
      </c>
      <c r="F1420" t="s">
        <v>5322</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4" customHeight="1">
      <c r="A1421" t="s">
        <v>707</v>
      </c>
      <c r="B1421">
        <v>27</v>
      </c>
      <c r="C1421" t="s">
        <v>51</v>
      </c>
      <c r="D1421">
        <v>34</v>
      </c>
      <c r="E1421" t="s">
        <v>994</v>
      </c>
      <c r="F1421" t="s">
        <v>5323</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4" customHeight="1">
      <c r="A1422" t="s">
        <v>707</v>
      </c>
      <c r="B1422">
        <v>28</v>
      </c>
      <c r="C1422" t="s">
        <v>51</v>
      </c>
      <c r="D1422">
        <v>35</v>
      </c>
      <c r="E1422" t="s">
        <v>994</v>
      </c>
      <c r="F1422" t="s">
        <v>5324</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4" customHeight="1">
      <c r="A1423" t="s">
        <v>707</v>
      </c>
      <c r="B1423">
        <v>29</v>
      </c>
      <c r="C1423" t="s">
        <v>51</v>
      </c>
      <c r="D1423">
        <v>36</v>
      </c>
      <c r="E1423" t="s">
        <v>994</v>
      </c>
      <c r="F1423" t="s">
        <v>5324</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4" customHeight="1">
      <c r="A1424" t="s">
        <v>707</v>
      </c>
      <c r="B1424">
        <v>30</v>
      </c>
      <c r="C1424" t="s">
        <v>51</v>
      </c>
      <c r="D1424">
        <v>37</v>
      </c>
      <c r="E1424" t="s">
        <v>994</v>
      </c>
      <c r="F1424" t="s">
        <v>5325</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4" customHeight="1">
      <c r="A1425" t="s">
        <v>707</v>
      </c>
      <c r="B1425">
        <v>31</v>
      </c>
      <c r="C1425" t="s">
        <v>51</v>
      </c>
      <c r="D1425">
        <v>38</v>
      </c>
      <c r="E1425" t="s">
        <v>1007</v>
      </c>
      <c r="F1425" t="s">
        <v>5322</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4" customHeight="1">
      <c r="A1426" t="s">
        <v>707</v>
      </c>
      <c r="B1426">
        <v>32</v>
      </c>
      <c r="C1426" t="s">
        <v>51</v>
      </c>
      <c r="D1426">
        <v>39</v>
      </c>
      <c r="E1426" t="s">
        <v>1007</v>
      </c>
      <c r="F1426" t="s">
        <v>5323</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4" customHeight="1">
      <c r="A1427" t="s">
        <v>707</v>
      </c>
      <c r="B1427">
        <v>33</v>
      </c>
      <c r="C1427" t="s">
        <v>51</v>
      </c>
      <c r="D1427">
        <v>40</v>
      </c>
      <c r="E1427" t="s">
        <v>1007</v>
      </c>
      <c r="F1427" t="s">
        <v>5324</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4" customHeight="1">
      <c r="A1428" t="s">
        <v>707</v>
      </c>
      <c r="B1428">
        <v>34</v>
      </c>
      <c r="C1428" t="s">
        <v>51</v>
      </c>
      <c r="D1428">
        <v>41</v>
      </c>
      <c r="E1428" t="s">
        <v>1007</v>
      </c>
      <c r="F1428" t="s">
        <v>5324</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4" customHeight="1">
      <c r="A1429" t="s">
        <v>707</v>
      </c>
      <c r="B1429">
        <v>35</v>
      </c>
      <c r="C1429" t="s">
        <v>51</v>
      </c>
      <c r="D1429">
        <v>42</v>
      </c>
      <c r="E1429" t="s">
        <v>1007</v>
      </c>
      <c r="F1429" t="s">
        <v>5325</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4" customHeight="1">
      <c r="A1430" t="s">
        <v>707</v>
      </c>
      <c r="B1430">
        <v>36</v>
      </c>
      <c r="C1430" t="s">
        <v>51</v>
      </c>
      <c r="D1430">
        <v>43</v>
      </c>
      <c r="E1430" t="s">
        <v>1019</v>
      </c>
      <c r="F1430" t="s">
        <v>5322</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4" customHeight="1">
      <c r="A1431" t="s">
        <v>707</v>
      </c>
      <c r="B1431">
        <v>37</v>
      </c>
      <c r="C1431" t="s">
        <v>51</v>
      </c>
      <c r="D1431">
        <v>44</v>
      </c>
      <c r="E1431" t="s">
        <v>1019</v>
      </c>
      <c r="F1431" t="s">
        <v>5323</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4" customHeight="1">
      <c r="A1432" t="s">
        <v>707</v>
      </c>
      <c r="B1432">
        <v>38</v>
      </c>
      <c r="C1432" t="s">
        <v>51</v>
      </c>
      <c r="D1432">
        <v>45</v>
      </c>
      <c r="E1432" t="s">
        <v>1019</v>
      </c>
      <c r="F1432" t="s">
        <v>5324</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4" customHeight="1">
      <c r="A1433" t="s">
        <v>707</v>
      </c>
      <c r="B1433">
        <v>39</v>
      </c>
      <c r="C1433" t="s">
        <v>51</v>
      </c>
      <c r="D1433">
        <v>46</v>
      </c>
      <c r="E1433" t="s">
        <v>1019</v>
      </c>
      <c r="F1433" t="s">
        <v>5324</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4" customHeight="1">
      <c r="A1434" t="s">
        <v>707</v>
      </c>
      <c r="B1434">
        <v>40</v>
      </c>
      <c r="C1434" t="s">
        <v>51</v>
      </c>
      <c r="D1434">
        <v>47</v>
      </c>
      <c r="E1434" t="s">
        <v>1019</v>
      </c>
      <c r="F1434" t="s">
        <v>5324</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4" customHeight="1">
      <c r="A1435" t="s">
        <v>707</v>
      </c>
      <c r="B1435">
        <v>41</v>
      </c>
      <c r="C1435" t="s">
        <v>51</v>
      </c>
      <c r="D1435">
        <v>48</v>
      </c>
      <c r="E1435" t="s">
        <v>1019</v>
      </c>
      <c r="F1435" t="s">
        <v>5324</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4" customHeight="1">
      <c r="A1436" t="s">
        <v>707</v>
      </c>
      <c r="B1436">
        <v>42</v>
      </c>
      <c r="C1436" t="s">
        <v>51</v>
      </c>
      <c r="D1436">
        <v>49</v>
      </c>
      <c r="E1436" t="s">
        <v>1019</v>
      </c>
      <c r="F1436" t="s">
        <v>5324</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4" customHeight="1">
      <c r="A1437" t="s">
        <v>707</v>
      </c>
      <c r="B1437">
        <v>43</v>
      </c>
      <c r="C1437" t="s">
        <v>51</v>
      </c>
      <c r="D1437">
        <v>50</v>
      </c>
      <c r="E1437" t="s">
        <v>1019</v>
      </c>
      <c r="F1437" t="s">
        <v>5324</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4" customHeight="1">
      <c r="A1438" t="s">
        <v>707</v>
      </c>
      <c r="B1438">
        <v>44</v>
      </c>
      <c r="C1438" t="s">
        <v>51</v>
      </c>
      <c r="D1438">
        <v>51</v>
      </c>
      <c r="E1438" t="s">
        <v>1019</v>
      </c>
      <c r="F1438" t="s">
        <v>5324</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4" customHeight="1">
      <c r="A1439" t="s">
        <v>707</v>
      </c>
      <c r="B1439">
        <v>45</v>
      </c>
      <c r="C1439" t="s">
        <v>51</v>
      </c>
      <c r="D1439">
        <v>52</v>
      </c>
      <c r="E1439" t="s">
        <v>1019</v>
      </c>
      <c r="F1439" t="s">
        <v>5324</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4" customHeight="1">
      <c r="A1440" t="s">
        <v>707</v>
      </c>
      <c r="B1440">
        <v>46</v>
      </c>
      <c r="C1440" t="s">
        <v>51</v>
      </c>
      <c r="D1440">
        <v>53</v>
      </c>
      <c r="E1440" t="s">
        <v>1019</v>
      </c>
      <c r="F1440" t="s">
        <v>5325</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4" customHeight="1">
      <c r="A1441" t="s">
        <v>707</v>
      </c>
      <c r="B1441">
        <v>47</v>
      </c>
      <c r="C1441" t="s">
        <v>51</v>
      </c>
      <c r="D1441">
        <v>54</v>
      </c>
      <c r="E1441" t="s">
        <v>1051</v>
      </c>
      <c r="F1441" t="s">
        <v>5322</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4" customHeight="1">
      <c r="A1442" t="s">
        <v>707</v>
      </c>
      <c r="B1442">
        <v>48</v>
      </c>
      <c r="C1442" t="s">
        <v>51</v>
      </c>
      <c r="D1442">
        <v>55</v>
      </c>
      <c r="E1442" t="s">
        <v>1051</v>
      </c>
      <c r="F1442" t="s">
        <v>5323</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4" customHeight="1">
      <c r="A1443" t="s">
        <v>707</v>
      </c>
      <c r="B1443">
        <v>49</v>
      </c>
      <c r="C1443" t="s">
        <v>51</v>
      </c>
      <c r="D1443">
        <v>56</v>
      </c>
      <c r="E1443" t="s">
        <v>1051</v>
      </c>
      <c r="F1443" t="s">
        <v>5324</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4" customHeight="1">
      <c r="A1444" t="s">
        <v>707</v>
      </c>
      <c r="B1444">
        <v>50</v>
      </c>
      <c r="C1444" t="s">
        <v>51</v>
      </c>
      <c r="D1444">
        <v>57</v>
      </c>
      <c r="E1444" t="s">
        <v>1051</v>
      </c>
      <c r="F1444" t="s">
        <v>5324</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4" customHeight="1">
      <c r="A1445" t="s">
        <v>707</v>
      </c>
      <c r="B1445">
        <v>51</v>
      </c>
      <c r="C1445" t="s">
        <v>51</v>
      </c>
      <c r="D1445">
        <v>58</v>
      </c>
      <c r="E1445" t="s">
        <v>1051</v>
      </c>
      <c r="F1445" t="s">
        <v>5324</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4" customHeight="1">
      <c r="A1446" t="s">
        <v>707</v>
      </c>
      <c r="B1446">
        <v>52</v>
      </c>
      <c r="C1446" t="s">
        <v>51</v>
      </c>
      <c r="D1446">
        <v>59</v>
      </c>
      <c r="E1446" t="s">
        <v>1051</v>
      </c>
      <c r="F1446" t="s">
        <v>5324</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4" customHeight="1">
      <c r="A1447" t="s">
        <v>707</v>
      </c>
      <c r="B1447">
        <v>53</v>
      </c>
      <c r="C1447" t="s">
        <v>51</v>
      </c>
      <c r="D1447">
        <v>60</v>
      </c>
      <c r="E1447" t="s">
        <v>1051</v>
      </c>
      <c r="F1447" t="s">
        <v>5324</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4" customHeight="1">
      <c r="A1448" t="s">
        <v>707</v>
      </c>
      <c r="B1448">
        <v>54</v>
      </c>
      <c r="C1448" t="s">
        <v>51</v>
      </c>
      <c r="D1448">
        <v>61</v>
      </c>
      <c r="E1448" t="s">
        <v>1051</v>
      </c>
      <c r="F1448" t="s">
        <v>5324</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4" customHeight="1">
      <c r="A1449" t="s">
        <v>707</v>
      </c>
      <c r="B1449">
        <v>55</v>
      </c>
      <c r="C1449" t="s">
        <v>51</v>
      </c>
      <c r="D1449">
        <v>62</v>
      </c>
      <c r="E1449" t="s">
        <v>1051</v>
      </c>
      <c r="F1449" t="s">
        <v>5324</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4" customHeight="1">
      <c r="A1450" t="s">
        <v>707</v>
      </c>
      <c r="B1450">
        <v>56</v>
      </c>
      <c r="C1450" t="s">
        <v>51</v>
      </c>
      <c r="D1450">
        <v>63</v>
      </c>
      <c r="E1450" t="s">
        <v>1051</v>
      </c>
      <c r="F1450" t="s">
        <v>5324</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4" customHeight="1">
      <c r="A1451" t="s">
        <v>707</v>
      </c>
      <c r="B1451">
        <v>57</v>
      </c>
      <c r="C1451" t="s">
        <v>51</v>
      </c>
      <c r="D1451">
        <v>64</v>
      </c>
      <c r="E1451" t="s">
        <v>1051</v>
      </c>
      <c r="F1451" t="s">
        <v>5325</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4" customHeight="1">
      <c r="A1452" t="s">
        <v>707</v>
      </c>
      <c r="B1452">
        <v>58</v>
      </c>
      <c r="C1452" t="s">
        <v>51</v>
      </c>
      <c r="D1452">
        <v>65</v>
      </c>
      <c r="E1452" t="s">
        <v>1052</v>
      </c>
      <c r="F1452" t="s">
        <v>5322</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4" customHeight="1">
      <c r="A1453" t="s">
        <v>707</v>
      </c>
      <c r="B1453">
        <v>59</v>
      </c>
      <c r="C1453" t="s">
        <v>51</v>
      </c>
      <c r="D1453">
        <v>66</v>
      </c>
      <c r="E1453" t="s">
        <v>1052</v>
      </c>
      <c r="F1453" t="s">
        <v>5323</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4" customHeight="1">
      <c r="A1454" t="s">
        <v>707</v>
      </c>
      <c r="B1454">
        <v>60</v>
      </c>
      <c r="C1454" t="s">
        <v>51</v>
      </c>
      <c r="D1454">
        <v>67</v>
      </c>
      <c r="E1454" t="s">
        <v>1052</v>
      </c>
      <c r="F1454" t="s">
        <v>5324</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4" customHeight="1">
      <c r="A1455" t="s">
        <v>707</v>
      </c>
      <c r="B1455">
        <v>61</v>
      </c>
      <c r="C1455" t="s">
        <v>51</v>
      </c>
      <c r="D1455">
        <v>68</v>
      </c>
      <c r="E1455" t="s">
        <v>1052</v>
      </c>
      <c r="F1455" t="s">
        <v>5324</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4" customHeight="1">
      <c r="A1456" t="s">
        <v>707</v>
      </c>
      <c r="B1456">
        <v>62</v>
      </c>
      <c r="C1456" t="s">
        <v>51</v>
      </c>
      <c r="D1456">
        <v>69</v>
      </c>
      <c r="E1456" t="s">
        <v>1052</v>
      </c>
      <c r="F1456" t="s">
        <v>5324</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4" customHeight="1">
      <c r="A1457" t="s">
        <v>707</v>
      </c>
      <c r="B1457">
        <v>63</v>
      </c>
      <c r="C1457" t="s">
        <v>51</v>
      </c>
      <c r="D1457">
        <v>70</v>
      </c>
      <c r="E1457" t="s">
        <v>1052</v>
      </c>
      <c r="F1457" t="s">
        <v>5324</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4" customHeight="1">
      <c r="A1458" t="s">
        <v>707</v>
      </c>
      <c r="B1458">
        <v>64</v>
      </c>
      <c r="C1458" t="s">
        <v>51</v>
      </c>
      <c r="D1458">
        <v>71</v>
      </c>
      <c r="E1458" t="s">
        <v>1052</v>
      </c>
      <c r="F1458" t="s">
        <v>5324</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4" customHeight="1">
      <c r="A1459" t="s">
        <v>707</v>
      </c>
      <c r="B1459">
        <v>65</v>
      </c>
      <c r="C1459" t="s">
        <v>51</v>
      </c>
      <c r="D1459">
        <v>72</v>
      </c>
      <c r="E1459" t="s">
        <v>1052</v>
      </c>
      <c r="F1459" t="s">
        <v>5324</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4" customHeight="1">
      <c r="A1460" t="s">
        <v>707</v>
      </c>
      <c r="B1460">
        <v>66</v>
      </c>
      <c r="C1460" t="s">
        <v>51</v>
      </c>
      <c r="D1460">
        <v>73</v>
      </c>
      <c r="E1460" t="s">
        <v>1052</v>
      </c>
      <c r="F1460" t="s">
        <v>5324</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4" customHeight="1">
      <c r="A1461" t="s">
        <v>707</v>
      </c>
      <c r="B1461">
        <v>67</v>
      </c>
      <c r="C1461" t="s">
        <v>51</v>
      </c>
      <c r="D1461">
        <v>74</v>
      </c>
      <c r="E1461" t="s">
        <v>1052</v>
      </c>
      <c r="F1461" t="s">
        <v>5324</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4" customHeight="1">
      <c r="A1462" t="s">
        <v>707</v>
      </c>
      <c r="B1462">
        <v>68</v>
      </c>
      <c r="C1462" t="s">
        <v>51</v>
      </c>
      <c r="D1462">
        <v>75</v>
      </c>
      <c r="E1462" t="s">
        <v>1052</v>
      </c>
      <c r="F1462" t="s">
        <v>5325</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4" customHeight="1">
      <c r="A1463" t="s">
        <v>372</v>
      </c>
      <c r="B1463">
        <v>1</v>
      </c>
      <c r="C1463" t="s">
        <v>53</v>
      </c>
      <c r="D1463">
        <v>8</v>
      </c>
      <c r="E1463" t="s">
        <v>918</v>
      </c>
      <c r="F1463" t="s">
        <v>5322</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4" customHeight="1">
      <c r="A1464" t="s">
        <v>372</v>
      </c>
      <c r="B1464">
        <v>2</v>
      </c>
      <c r="C1464" t="s">
        <v>53</v>
      </c>
      <c r="D1464">
        <v>9</v>
      </c>
      <c r="E1464" t="s">
        <v>918</v>
      </c>
      <c r="F1464" t="s">
        <v>5323</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4" customHeight="1">
      <c r="A1465" t="s">
        <v>372</v>
      </c>
      <c r="B1465">
        <v>3</v>
      </c>
      <c r="C1465" t="s">
        <v>53</v>
      </c>
      <c r="D1465">
        <v>10</v>
      </c>
      <c r="E1465" t="s">
        <v>918</v>
      </c>
      <c r="F1465" t="s">
        <v>5324</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4" customHeight="1">
      <c r="A1466" t="s">
        <v>372</v>
      </c>
      <c r="B1466">
        <v>4</v>
      </c>
      <c r="C1466" t="s">
        <v>53</v>
      </c>
      <c r="D1466">
        <v>11</v>
      </c>
      <c r="E1466" t="s">
        <v>918</v>
      </c>
      <c r="F1466" t="s">
        <v>5324</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4" customHeight="1">
      <c r="A1467" t="s">
        <v>372</v>
      </c>
      <c r="B1467">
        <v>5</v>
      </c>
      <c r="C1467" t="s">
        <v>53</v>
      </c>
      <c r="D1467">
        <v>12</v>
      </c>
      <c r="E1467" t="s">
        <v>918</v>
      </c>
      <c r="F1467" t="s">
        <v>5325</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4" customHeight="1">
      <c r="A1468" t="s">
        <v>372</v>
      </c>
      <c r="B1468">
        <v>6</v>
      </c>
      <c r="C1468" t="s">
        <v>53</v>
      </c>
      <c r="D1468">
        <v>13</v>
      </c>
      <c r="E1468" t="s">
        <v>936</v>
      </c>
      <c r="F1468" t="s">
        <v>5322</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4" customHeight="1">
      <c r="A1469" t="s">
        <v>372</v>
      </c>
      <c r="B1469">
        <v>7</v>
      </c>
      <c r="C1469" t="s">
        <v>53</v>
      </c>
      <c r="D1469">
        <v>14</v>
      </c>
      <c r="E1469" t="s">
        <v>936</v>
      </c>
      <c r="F1469" t="s">
        <v>5323</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4" customHeight="1">
      <c r="A1470" t="s">
        <v>372</v>
      </c>
      <c r="B1470">
        <v>8</v>
      </c>
      <c r="C1470" t="s">
        <v>53</v>
      </c>
      <c r="D1470">
        <v>15</v>
      </c>
      <c r="E1470" t="s">
        <v>936</v>
      </c>
      <c r="F1470" t="s">
        <v>5324</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4" customHeight="1">
      <c r="A1471" t="s">
        <v>372</v>
      </c>
      <c r="B1471">
        <v>9</v>
      </c>
      <c r="C1471" t="s">
        <v>53</v>
      </c>
      <c r="D1471">
        <v>16</v>
      </c>
      <c r="E1471" t="s">
        <v>936</v>
      </c>
      <c r="F1471" t="s">
        <v>5324</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4" customHeight="1">
      <c r="A1472" t="s">
        <v>372</v>
      </c>
      <c r="B1472">
        <v>10</v>
      </c>
      <c r="C1472" t="s">
        <v>53</v>
      </c>
      <c r="D1472">
        <v>17</v>
      </c>
      <c r="E1472" t="s">
        <v>936</v>
      </c>
      <c r="F1472" t="s">
        <v>5325</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4" customHeight="1">
      <c r="A1473" t="s">
        <v>372</v>
      </c>
      <c r="B1473">
        <v>11</v>
      </c>
      <c r="C1473" t="s">
        <v>53</v>
      </c>
      <c r="D1473">
        <v>18</v>
      </c>
      <c r="E1473" t="s">
        <v>951</v>
      </c>
      <c r="F1473" t="s">
        <v>5322</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4" customHeight="1">
      <c r="A1474" t="s">
        <v>372</v>
      </c>
      <c r="B1474">
        <v>12</v>
      </c>
      <c r="C1474" t="s">
        <v>53</v>
      </c>
      <c r="D1474">
        <v>19</v>
      </c>
      <c r="E1474" t="s">
        <v>951</v>
      </c>
      <c r="F1474" t="s">
        <v>5323</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4" customHeight="1">
      <c r="A1475" t="s">
        <v>372</v>
      </c>
      <c r="B1475">
        <v>13</v>
      </c>
      <c r="C1475" t="s">
        <v>53</v>
      </c>
      <c r="D1475">
        <v>20</v>
      </c>
      <c r="E1475" t="s">
        <v>951</v>
      </c>
      <c r="F1475" t="s">
        <v>5324</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4" customHeight="1">
      <c r="A1476" t="s">
        <v>372</v>
      </c>
      <c r="B1476">
        <v>14</v>
      </c>
      <c r="C1476" t="s">
        <v>53</v>
      </c>
      <c r="D1476">
        <v>21</v>
      </c>
      <c r="E1476" t="s">
        <v>951</v>
      </c>
      <c r="F1476" t="s">
        <v>5324</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4" customHeight="1">
      <c r="A1477" t="s">
        <v>372</v>
      </c>
      <c r="B1477">
        <v>15</v>
      </c>
      <c r="C1477" t="s">
        <v>53</v>
      </c>
      <c r="D1477">
        <v>22</v>
      </c>
      <c r="E1477" t="s">
        <v>951</v>
      </c>
      <c r="F1477" t="s">
        <v>5325</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4" customHeight="1">
      <c r="A1478" t="s">
        <v>372</v>
      </c>
      <c r="B1478">
        <v>16</v>
      </c>
      <c r="C1478" t="s">
        <v>53</v>
      </c>
      <c r="D1478">
        <v>23</v>
      </c>
      <c r="E1478" t="s">
        <v>964</v>
      </c>
      <c r="F1478" t="s">
        <v>5322</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4" customHeight="1">
      <c r="A1479" t="s">
        <v>372</v>
      </c>
      <c r="B1479">
        <v>17</v>
      </c>
      <c r="C1479" t="s">
        <v>53</v>
      </c>
      <c r="D1479">
        <v>24</v>
      </c>
      <c r="E1479" t="s">
        <v>964</v>
      </c>
      <c r="F1479" t="s">
        <v>5323</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4" customHeight="1">
      <c r="A1480" t="s">
        <v>372</v>
      </c>
      <c r="B1480">
        <v>18</v>
      </c>
      <c r="C1480" t="s">
        <v>53</v>
      </c>
      <c r="D1480">
        <v>25</v>
      </c>
      <c r="E1480" t="s">
        <v>964</v>
      </c>
      <c r="F1480" t="s">
        <v>5324</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4" customHeight="1">
      <c r="A1481" t="s">
        <v>372</v>
      </c>
      <c r="B1481">
        <v>19</v>
      </c>
      <c r="C1481" t="s">
        <v>53</v>
      </c>
      <c r="D1481">
        <v>26</v>
      </c>
      <c r="E1481" t="s">
        <v>964</v>
      </c>
      <c r="F1481" t="s">
        <v>5324</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4" customHeight="1">
      <c r="A1482" t="s">
        <v>372</v>
      </c>
      <c r="B1482">
        <v>20</v>
      </c>
      <c r="C1482" t="s">
        <v>53</v>
      </c>
      <c r="D1482">
        <v>27</v>
      </c>
      <c r="E1482" t="s">
        <v>964</v>
      </c>
      <c r="F1482" t="s">
        <v>5325</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4" customHeight="1">
      <c r="A1483" t="s">
        <v>372</v>
      </c>
      <c r="B1483">
        <v>21</v>
      </c>
      <c r="C1483" t="s">
        <v>53</v>
      </c>
      <c r="D1483">
        <v>28</v>
      </c>
      <c r="E1483" t="s">
        <v>977</v>
      </c>
      <c r="F1483" t="s">
        <v>5322</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4" customHeight="1">
      <c r="A1484" t="s">
        <v>372</v>
      </c>
      <c r="B1484">
        <v>22</v>
      </c>
      <c r="C1484" t="s">
        <v>53</v>
      </c>
      <c r="D1484">
        <v>29</v>
      </c>
      <c r="E1484" t="s">
        <v>977</v>
      </c>
      <c r="F1484" t="s">
        <v>5323</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4" customHeight="1">
      <c r="A1485" t="s">
        <v>372</v>
      </c>
      <c r="B1485">
        <v>23</v>
      </c>
      <c r="C1485" t="s">
        <v>53</v>
      </c>
      <c r="D1485">
        <v>30</v>
      </c>
      <c r="E1485" t="s">
        <v>977</v>
      </c>
      <c r="F1485" t="s">
        <v>5324</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4" customHeight="1">
      <c r="A1486" t="s">
        <v>372</v>
      </c>
      <c r="B1486">
        <v>24</v>
      </c>
      <c r="C1486" t="s">
        <v>53</v>
      </c>
      <c r="D1486">
        <v>31</v>
      </c>
      <c r="E1486" t="s">
        <v>977</v>
      </c>
      <c r="F1486" t="s">
        <v>5324</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4" customHeight="1">
      <c r="A1487" t="s">
        <v>372</v>
      </c>
      <c r="B1487">
        <v>25</v>
      </c>
      <c r="C1487" t="s">
        <v>53</v>
      </c>
      <c r="D1487">
        <v>32</v>
      </c>
      <c r="E1487" t="s">
        <v>977</v>
      </c>
      <c r="F1487" t="s">
        <v>5325</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4" customHeight="1">
      <c r="A1488" t="s">
        <v>372</v>
      </c>
      <c r="B1488">
        <v>26</v>
      </c>
      <c r="C1488" t="s">
        <v>53</v>
      </c>
      <c r="D1488">
        <v>33</v>
      </c>
      <c r="E1488" t="s">
        <v>994</v>
      </c>
      <c r="F1488" t="s">
        <v>5322</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4" customHeight="1">
      <c r="A1489" t="s">
        <v>372</v>
      </c>
      <c r="B1489">
        <v>27</v>
      </c>
      <c r="C1489" t="s">
        <v>53</v>
      </c>
      <c r="D1489">
        <v>34</v>
      </c>
      <c r="E1489" t="s">
        <v>994</v>
      </c>
      <c r="F1489" t="s">
        <v>5323</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4" customHeight="1">
      <c r="A1490" t="s">
        <v>372</v>
      </c>
      <c r="B1490">
        <v>28</v>
      </c>
      <c r="C1490" t="s">
        <v>53</v>
      </c>
      <c r="D1490">
        <v>35</v>
      </c>
      <c r="E1490" t="s">
        <v>994</v>
      </c>
      <c r="F1490" t="s">
        <v>5324</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4" customHeight="1">
      <c r="A1491" t="s">
        <v>372</v>
      </c>
      <c r="B1491">
        <v>29</v>
      </c>
      <c r="C1491" t="s">
        <v>53</v>
      </c>
      <c r="D1491">
        <v>36</v>
      </c>
      <c r="E1491" t="s">
        <v>994</v>
      </c>
      <c r="F1491" t="s">
        <v>5324</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4" customHeight="1">
      <c r="A1492" t="s">
        <v>372</v>
      </c>
      <c r="B1492">
        <v>30</v>
      </c>
      <c r="C1492" t="s">
        <v>53</v>
      </c>
      <c r="D1492">
        <v>37</v>
      </c>
      <c r="E1492" t="s">
        <v>994</v>
      </c>
      <c r="F1492" t="s">
        <v>5325</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4" customHeight="1">
      <c r="A1493" t="s">
        <v>372</v>
      </c>
      <c r="B1493">
        <v>31</v>
      </c>
      <c r="C1493" t="s">
        <v>53</v>
      </c>
      <c r="D1493">
        <v>38</v>
      </c>
      <c r="E1493" t="s">
        <v>1007</v>
      </c>
      <c r="F1493" t="s">
        <v>5322</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4" customHeight="1">
      <c r="A1494" t="s">
        <v>372</v>
      </c>
      <c r="B1494">
        <v>32</v>
      </c>
      <c r="C1494" t="s">
        <v>53</v>
      </c>
      <c r="D1494">
        <v>39</v>
      </c>
      <c r="E1494" t="s">
        <v>1007</v>
      </c>
      <c r="F1494" t="s">
        <v>5323</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4" customHeight="1">
      <c r="A1495" t="s">
        <v>372</v>
      </c>
      <c r="B1495">
        <v>33</v>
      </c>
      <c r="C1495" t="s">
        <v>53</v>
      </c>
      <c r="D1495">
        <v>40</v>
      </c>
      <c r="E1495" t="s">
        <v>1007</v>
      </c>
      <c r="F1495" t="s">
        <v>5324</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4" customHeight="1">
      <c r="A1496" t="s">
        <v>372</v>
      </c>
      <c r="B1496">
        <v>34</v>
      </c>
      <c r="C1496" t="s">
        <v>53</v>
      </c>
      <c r="D1496">
        <v>41</v>
      </c>
      <c r="E1496" t="s">
        <v>1007</v>
      </c>
      <c r="F1496" t="s">
        <v>5324</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4" customHeight="1">
      <c r="A1497" t="s">
        <v>372</v>
      </c>
      <c r="B1497">
        <v>35</v>
      </c>
      <c r="C1497" t="s">
        <v>53</v>
      </c>
      <c r="D1497">
        <v>42</v>
      </c>
      <c r="E1497" t="s">
        <v>1007</v>
      </c>
      <c r="F1497" t="s">
        <v>5325</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4" customHeight="1">
      <c r="A1498" t="s">
        <v>372</v>
      </c>
      <c r="B1498">
        <v>36</v>
      </c>
      <c r="C1498" t="s">
        <v>53</v>
      </c>
      <c r="D1498">
        <v>43</v>
      </c>
      <c r="E1498" t="s">
        <v>1019</v>
      </c>
      <c r="F1498" t="s">
        <v>5322</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4" customHeight="1">
      <c r="A1499" t="s">
        <v>372</v>
      </c>
      <c r="B1499">
        <v>37</v>
      </c>
      <c r="C1499" t="s">
        <v>53</v>
      </c>
      <c r="D1499">
        <v>44</v>
      </c>
      <c r="E1499" t="s">
        <v>1019</v>
      </c>
      <c r="F1499" t="s">
        <v>5323</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4" customHeight="1">
      <c r="A1500" t="s">
        <v>372</v>
      </c>
      <c r="B1500">
        <v>38</v>
      </c>
      <c r="C1500" t="s">
        <v>53</v>
      </c>
      <c r="D1500">
        <v>45</v>
      </c>
      <c r="E1500" t="s">
        <v>1019</v>
      </c>
      <c r="F1500" t="s">
        <v>5324</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4" customHeight="1">
      <c r="A1501" t="s">
        <v>372</v>
      </c>
      <c r="B1501">
        <v>39</v>
      </c>
      <c r="C1501" t="s">
        <v>53</v>
      </c>
      <c r="D1501">
        <v>46</v>
      </c>
      <c r="E1501" t="s">
        <v>1019</v>
      </c>
      <c r="F1501" t="s">
        <v>5324</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4" customHeight="1">
      <c r="A1502" t="s">
        <v>372</v>
      </c>
      <c r="B1502">
        <v>40</v>
      </c>
      <c r="C1502" t="s">
        <v>53</v>
      </c>
      <c r="D1502">
        <v>47</v>
      </c>
      <c r="E1502" t="s">
        <v>1019</v>
      </c>
      <c r="F1502" t="s">
        <v>5324</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4" customHeight="1">
      <c r="A1503" t="s">
        <v>372</v>
      </c>
      <c r="B1503">
        <v>41</v>
      </c>
      <c r="C1503" t="s">
        <v>53</v>
      </c>
      <c r="D1503">
        <v>48</v>
      </c>
      <c r="E1503" t="s">
        <v>1019</v>
      </c>
      <c r="F1503" t="s">
        <v>5324</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4" customHeight="1">
      <c r="A1504" t="s">
        <v>372</v>
      </c>
      <c r="B1504">
        <v>42</v>
      </c>
      <c r="C1504" t="s">
        <v>53</v>
      </c>
      <c r="D1504">
        <v>49</v>
      </c>
      <c r="E1504" t="s">
        <v>1019</v>
      </c>
      <c r="F1504" t="s">
        <v>5324</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4" customHeight="1">
      <c r="A1505" t="s">
        <v>372</v>
      </c>
      <c r="B1505">
        <v>43</v>
      </c>
      <c r="C1505" t="s">
        <v>53</v>
      </c>
      <c r="D1505">
        <v>50</v>
      </c>
      <c r="E1505" t="s">
        <v>1019</v>
      </c>
      <c r="F1505" t="s">
        <v>5324</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4" customHeight="1">
      <c r="A1506" t="s">
        <v>372</v>
      </c>
      <c r="B1506">
        <v>44</v>
      </c>
      <c r="C1506" t="s">
        <v>53</v>
      </c>
      <c r="D1506">
        <v>51</v>
      </c>
      <c r="E1506" t="s">
        <v>1019</v>
      </c>
      <c r="F1506" t="s">
        <v>5324</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4" customHeight="1">
      <c r="A1507" t="s">
        <v>372</v>
      </c>
      <c r="B1507">
        <v>45</v>
      </c>
      <c r="C1507" t="s">
        <v>53</v>
      </c>
      <c r="D1507">
        <v>52</v>
      </c>
      <c r="E1507" t="s">
        <v>1019</v>
      </c>
      <c r="F1507" t="s">
        <v>5324</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4" customHeight="1">
      <c r="A1508" t="s">
        <v>372</v>
      </c>
      <c r="B1508">
        <v>46</v>
      </c>
      <c r="C1508" t="s">
        <v>53</v>
      </c>
      <c r="D1508">
        <v>53</v>
      </c>
      <c r="E1508" t="s">
        <v>1019</v>
      </c>
      <c r="F1508" t="s">
        <v>5325</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4" customHeight="1">
      <c r="A1509" t="s">
        <v>372</v>
      </c>
      <c r="B1509">
        <v>47</v>
      </c>
      <c r="C1509" t="s">
        <v>53</v>
      </c>
      <c r="D1509">
        <v>54</v>
      </c>
      <c r="E1509" t="s">
        <v>1051</v>
      </c>
      <c r="F1509" t="s">
        <v>5322</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4" customHeight="1">
      <c r="A1510" t="s">
        <v>372</v>
      </c>
      <c r="B1510">
        <v>48</v>
      </c>
      <c r="C1510" t="s">
        <v>53</v>
      </c>
      <c r="D1510">
        <v>55</v>
      </c>
      <c r="E1510" t="s">
        <v>1051</v>
      </c>
      <c r="F1510" t="s">
        <v>5323</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4" customHeight="1">
      <c r="A1511" t="s">
        <v>372</v>
      </c>
      <c r="B1511">
        <v>49</v>
      </c>
      <c r="C1511" t="s">
        <v>53</v>
      </c>
      <c r="D1511">
        <v>56</v>
      </c>
      <c r="E1511" t="s">
        <v>1051</v>
      </c>
      <c r="F1511" t="s">
        <v>5324</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4" customHeight="1">
      <c r="A1512" t="s">
        <v>372</v>
      </c>
      <c r="B1512">
        <v>50</v>
      </c>
      <c r="C1512" t="s">
        <v>53</v>
      </c>
      <c r="D1512">
        <v>57</v>
      </c>
      <c r="E1512" t="s">
        <v>1051</v>
      </c>
      <c r="F1512" t="s">
        <v>5324</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4" customHeight="1">
      <c r="A1513" t="s">
        <v>372</v>
      </c>
      <c r="B1513">
        <v>51</v>
      </c>
      <c r="C1513" t="s">
        <v>53</v>
      </c>
      <c r="D1513">
        <v>58</v>
      </c>
      <c r="E1513" t="s">
        <v>1051</v>
      </c>
      <c r="F1513" t="s">
        <v>5324</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4" customHeight="1">
      <c r="A1514" t="s">
        <v>372</v>
      </c>
      <c r="B1514">
        <v>52</v>
      </c>
      <c r="C1514" t="s">
        <v>53</v>
      </c>
      <c r="D1514">
        <v>59</v>
      </c>
      <c r="E1514" t="s">
        <v>1051</v>
      </c>
      <c r="F1514" t="s">
        <v>5324</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4" customHeight="1">
      <c r="A1515" t="s">
        <v>372</v>
      </c>
      <c r="B1515">
        <v>53</v>
      </c>
      <c r="C1515" t="s">
        <v>53</v>
      </c>
      <c r="D1515">
        <v>60</v>
      </c>
      <c r="E1515" t="s">
        <v>1051</v>
      </c>
      <c r="F1515" t="s">
        <v>5324</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4" customHeight="1">
      <c r="A1516" t="s">
        <v>372</v>
      </c>
      <c r="B1516">
        <v>54</v>
      </c>
      <c r="C1516" t="s">
        <v>53</v>
      </c>
      <c r="D1516">
        <v>61</v>
      </c>
      <c r="E1516" t="s">
        <v>1051</v>
      </c>
      <c r="F1516" t="s">
        <v>5324</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4" customHeight="1">
      <c r="A1517" t="s">
        <v>372</v>
      </c>
      <c r="B1517">
        <v>55</v>
      </c>
      <c r="C1517" t="s">
        <v>53</v>
      </c>
      <c r="D1517">
        <v>62</v>
      </c>
      <c r="E1517" t="s">
        <v>1051</v>
      </c>
      <c r="F1517" t="s">
        <v>5324</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4" customHeight="1">
      <c r="A1518" t="s">
        <v>372</v>
      </c>
      <c r="B1518">
        <v>56</v>
      </c>
      <c r="C1518" t="s">
        <v>53</v>
      </c>
      <c r="D1518">
        <v>63</v>
      </c>
      <c r="E1518" t="s">
        <v>1051</v>
      </c>
      <c r="F1518" t="s">
        <v>5324</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4" customHeight="1">
      <c r="A1519" t="s">
        <v>372</v>
      </c>
      <c r="B1519">
        <v>57</v>
      </c>
      <c r="C1519" t="s">
        <v>53</v>
      </c>
      <c r="D1519">
        <v>64</v>
      </c>
      <c r="E1519" t="s">
        <v>1051</v>
      </c>
      <c r="F1519" t="s">
        <v>5325</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4" customHeight="1">
      <c r="A1520" t="s">
        <v>372</v>
      </c>
      <c r="B1520">
        <v>58</v>
      </c>
      <c r="C1520" t="s">
        <v>53</v>
      </c>
      <c r="D1520">
        <v>65</v>
      </c>
      <c r="E1520" t="s">
        <v>1052</v>
      </c>
      <c r="F1520" t="s">
        <v>5322</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4" customHeight="1">
      <c r="A1521" t="s">
        <v>372</v>
      </c>
      <c r="B1521">
        <v>59</v>
      </c>
      <c r="C1521" t="s">
        <v>53</v>
      </c>
      <c r="D1521">
        <v>66</v>
      </c>
      <c r="E1521" t="s">
        <v>1052</v>
      </c>
      <c r="F1521" t="s">
        <v>5323</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4" customHeight="1">
      <c r="A1522" t="s">
        <v>372</v>
      </c>
      <c r="B1522">
        <v>60</v>
      </c>
      <c r="C1522" t="s">
        <v>53</v>
      </c>
      <c r="D1522">
        <v>67</v>
      </c>
      <c r="E1522" t="s">
        <v>1052</v>
      </c>
      <c r="F1522" t="s">
        <v>5324</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4" customHeight="1">
      <c r="A1523" t="s">
        <v>372</v>
      </c>
      <c r="B1523">
        <v>61</v>
      </c>
      <c r="C1523" t="s">
        <v>53</v>
      </c>
      <c r="D1523">
        <v>68</v>
      </c>
      <c r="E1523" t="s">
        <v>1052</v>
      </c>
      <c r="F1523" t="s">
        <v>5324</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4" customHeight="1">
      <c r="A1524" t="s">
        <v>372</v>
      </c>
      <c r="B1524">
        <v>62</v>
      </c>
      <c r="C1524" t="s">
        <v>53</v>
      </c>
      <c r="D1524">
        <v>69</v>
      </c>
      <c r="E1524" t="s">
        <v>1052</v>
      </c>
      <c r="F1524" t="s">
        <v>5324</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4" customHeight="1">
      <c r="A1525" t="s">
        <v>372</v>
      </c>
      <c r="B1525">
        <v>63</v>
      </c>
      <c r="C1525" t="s">
        <v>53</v>
      </c>
      <c r="D1525">
        <v>70</v>
      </c>
      <c r="E1525" t="s">
        <v>1052</v>
      </c>
      <c r="F1525" t="s">
        <v>5324</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4" customHeight="1">
      <c r="A1526" t="s">
        <v>372</v>
      </c>
      <c r="B1526">
        <v>64</v>
      </c>
      <c r="C1526" t="s">
        <v>53</v>
      </c>
      <c r="D1526">
        <v>71</v>
      </c>
      <c r="E1526" t="s">
        <v>1052</v>
      </c>
      <c r="F1526" t="s">
        <v>5324</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4" customHeight="1">
      <c r="A1527" t="s">
        <v>372</v>
      </c>
      <c r="B1527">
        <v>65</v>
      </c>
      <c r="C1527" t="s">
        <v>53</v>
      </c>
      <c r="D1527">
        <v>72</v>
      </c>
      <c r="E1527" t="s">
        <v>1052</v>
      </c>
      <c r="F1527" t="s">
        <v>5324</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4" customHeight="1">
      <c r="A1528" t="s">
        <v>372</v>
      </c>
      <c r="B1528">
        <v>66</v>
      </c>
      <c r="C1528" t="s">
        <v>53</v>
      </c>
      <c r="D1528">
        <v>73</v>
      </c>
      <c r="E1528" t="s">
        <v>1052</v>
      </c>
      <c r="F1528" t="s">
        <v>5324</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4" customHeight="1">
      <c r="A1529" t="s">
        <v>372</v>
      </c>
      <c r="B1529">
        <v>67</v>
      </c>
      <c r="C1529" t="s">
        <v>53</v>
      </c>
      <c r="D1529">
        <v>74</v>
      </c>
      <c r="E1529" t="s">
        <v>1052</v>
      </c>
      <c r="F1529" t="s">
        <v>5324</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4" customHeight="1">
      <c r="A1530" t="s">
        <v>372</v>
      </c>
      <c r="B1530">
        <v>68</v>
      </c>
      <c r="C1530" t="s">
        <v>53</v>
      </c>
      <c r="D1530">
        <v>75</v>
      </c>
      <c r="E1530" t="s">
        <v>1052</v>
      </c>
      <c r="F1530" t="s">
        <v>5325</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4" customHeight="1">
      <c r="A1531" t="s">
        <v>374</v>
      </c>
      <c r="B1531">
        <v>1</v>
      </c>
      <c r="C1531" t="s">
        <v>55</v>
      </c>
      <c r="D1531">
        <v>8</v>
      </c>
      <c r="E1531" t="s">
        <v>918</v>
      </c>
      <c r="F1531" t="s">
        <v>5322</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4" customHeight="1">
      <c r="A1532" t="s">
        <v>374</v>
      </c>
      <c r="B1532">
        <v>2</v>
      </c>
      <c r="C1532" t="s">
        <v>55</v>
      </c>
      <c r="D1532">
        <v>9</v>
      </c>
      <c r="E1532" t="s">
        <v>918</v>
      </c>
      <c r="F1532" t="s">
        <v>5323</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4" customHeight="1">
      <c r="A1533" t="s">
        <v>374</v>
      </c>
      <c r="B1533">
        <v>3</v>
      </c>
      <c r="C1533" t="s">
        <v>55</v>
      </c>
      <c r="D1533">
        <v>10</v>
      </c>
      <c r="E1533" t="s">
        <v>918</v>
      </c>
      <c r="F1533" t="s">
        <v>5324</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4" customHeight="1">
      <c r="A1534" t="s">
        <v>374</v>
      </c>
      <c r="B1534">
        <v>4</v>
      </c>
      <c r="C1534" t="s">
        <v>55</v>
      </c>
      <c r="D1534">
        <v>11</v>
      </c>
      <c r="E1534" t="s">
        <v>918</v>
      </c>
      <c r="F1534" t="s">
        <v>5324</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4" customHeight="1">
      <c r="A1535" t="s">
        <v>374</v>
      </c>
      <c r="B1535">
        <v>5</v>
      </c>
      <c r="C1535" t="s">
        <v>55</v>
      </c>
      <c r="D1535">
        <v>12</v>
      </c>
      <c r="E1535" t="s">
        <v>918</v>
      </c>
      <c r="F1535" t="s">
        <v>5324</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4" customHeight="1">
      <c r="A1536" t="s">
        <v>374</v>
      </c>
      <c r="B1536">
        <v>6</v>
      </c>
      <c r="C1536" t="s">
        <v>55</v>
      </c>
      <c r="D1536">
        <v>13</v>
      </c>
      <c r="E1536" t="s">
        <v>918</v>
      </c>
      <c r="F1536" t="s">
        <v>5324</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4" customHeight="1">
      <c r="A1537" t="s">
        <v>374</v>
      </c>
      <c r="B1537">
        <v>7</v>
      </c>
      <c r="C1537" t="s">
        <v>55</v>
      </c>
      <c r="D1537">
        <v>14</v>
      </c>
      <c r="E1537" t="s">
        <v>918</v>
      </c>
      <c r="F1537" t="s">
        <v>5325</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4" customHeight="1">
      <c r="A1538" t="s">
        <v>374</v>
      </c>
      <c r="B1538">
        <v>8</v>
      </c>
      <c r="C1538" t="s">
        <v>55</v>
      </c>
      <c r="D1538">
        <v>15</v>
      </c>
      <c r="E1538" t="s">
        <v>936</v>
      </c>
      <c r="F1538" t="s">
        <v>5322</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4" customHeight="1">
      <c r="A1539" t="s">
        <v>374</v>
      </c>
      <c r="B1539">
        <v>9</v>
      </c>
      <c r="C1539" t="s">
        <v>55</v>
      </c>
      <c r="D1539">
        <v>16</v>
      </c>
      <c r="E1539" t="s">
        <v>936</v>
      </c>
      <c r="F1539" t="s">
        <v>5323</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4" customHeight="1">
      <c r="A1540" t="s">
        <v>374</v>
      </c>
      <c r="B1540">
        <v>10</v>
      </c>
      <c r="C1540" t="s">
        <v>55</v>
      </c>
      <c r="D1540">
        <v>17</v>
      </c>
      <c r="E1540" t="s">
        <v>936</v>
      </c>
      <c r="F1540" t="s">
        <v>5324</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4" customHeight="1">
      <c r="A1541" t="s">
        <v>374</v>
      </c>
      <c r="B1541">
        <v>11</v>
      </c>
      <c r="C1541" t="s">
        <v>55</v>
      </c>
      <c r="D1541">
        <v>18</v>
      </c>
      <c r="E1541" t="s">
        <v>936</v>
      </c>
      <c r="F1541" t="s">
        <v>5324</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4" customHeight="1">
      <c r="A1542" t="s">
        <v>374</v>
      </c>
      <c r="B1542">
        <v>12</v>
      </c>
      <c r="C1542" t="s">
        <v>55</v>
      </c>
      <c r="D1542">
        <v>19</v>
      </c>
      <c r="E1542" t="s">
        <v>936</v>
      </c>
      <c r="F1542" t="s">
        <v>5324</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4" customHeight="1">
      <c r="A1543" t="s">
        <v>374</v>
      </c>
      <c r="B1543">
        <v>13</v>
      </c>
      <c r="C1543" t="s">
        <v>55</v>
      </c>
      <c r="D1543">
        <v>20</v>
      </c>
      <c r="E1543" t="s">
        <v>936</v>
      </c>
      <c r="F1543" t="s">
        <v>5324</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4" customHeight="1">
      <c r="A1544" t="s">
        <v>374</v>
      </c>
      <c r="B1544">
        <v>14</v>
      </c>
      <c r="C1544" t="s">
        <v>55</v>
      </c>
      <c r="D1544">
        <v>21</v>
      </c>
      <c r="E1544" t="s">
        <v>936</v>
      </c>
      <c r="F1544" t="s">
        <v>5325</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4" customHeight="1">
      <c r="A1545" t="s">
        <v>374</v>
      </c>
      <c r="B1545">
        <v>15</v>
      </c>
      <c r="C1545" t="s">
        <v>55</v>
      </c>
      <c r="D1545">
        <v>22</v>
      </c>
      <c r="E1545" t="s">
        <v>951</v>
      </c>
      <c r="F1545" t="s">
        <v>5322</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4" customHeight="1">
      <c r="A1546" t="s">
        <v>374</v>
      </c>
      <c r="B1546">
        <v>16</v>
      </c>
      <c r="C1546" t="s">
        <v>55</v>
      </c>
      <c r="D1546">
        <v>23</v>
      </c>
      <c r="E1546" t="s">
        <v>951</v>
      </c>
      <c r="F1546" t="s">
        <v>5323</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4" customHeight="1">
      <c r="A1547" t="s">
        <v>374</v>
      </c>
      <c r="B1547">
        <v>17</v>
      </c>
      <c r="C1547" t="s">
        <v>55</v>
      </c>
      <c r="D1547">
        <v>24</v>
      </c>
      <c r="E1547" t="s">
        <v>951</v>
      </c>
      <c r="F1547" t="s">
        <v>5324</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4" customHeight="1">
      <c r="A1548" t="s">
        <v>374</v>
      </c>
      <c r="B1548">
        <v>18</v>
      </c>
      <c r="C1548" t="s">
        <v>55</v>
      </c>
      <c r="D1548">
        <v>25</v>
      </c>
      <c r="E1548" t="s">
        <v>951</v>
      </c>
      <c r="F1548" t="s">
        <v>5324</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4" customHeight="1">
      <c r="A1549" t="s">
        <v>374</v>
      </c>
      <c r="B1549">
        <v>19</v>
      </c>
      <c r="C1549" t="s">
        <v>55</v>
      </c>
      <c r="D1549">
        <v>26</v>
      </c>
      <c r="E1549" t="s">
        <v>951</v>
      </c>
      <c r="F1549" t="s">
        <v>5324</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4" customHeight="1">
      <c r="A1550" t="s">
        <v>374</v>
      </c>
      <c r="B1550">
        <v>20</v>
      </c>
      <c r="C1550" t="s">
        <v>55</v>
      </c>
      <c r="D1550">
        <v>27</v>
      </c>
      <c r="E1550" t="s">
        <v>951</v>
      </c>
      <c r="F1550" t="s">
        <v>5324</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4" customHeight="1">
      <c r="A1551" t="s">
        <v>374</v>
      </c>
      <c r="B1551">
        <v>21</v>
      </c>
      <c r="C1551" t="s">
        <v>55</v>
      </c>
      <c r="D1551">
        <v>28</v>
      </c>
      <c r="E1551" t="s">
        <v>951</v>
      </c>
      <c r="F1551" t="s">
        <v>5325</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4" customHeight="1">
      <c r="A1552" t="s">
        <v>374</v>
      </c>
      <c r="B1552">
        <v>22</v>
      </c>
      <c r="C1552" t="s">
        <v>55</v>
      </c>
      <c r="D1552">
        <v>29</v>
      </c>
      <c r="E1552" t="s">
        <v>964</v>
      </c>
      <c r="F1552" t="s">
        <v>5322</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4" customHeight="1">
      <c r="A1553" t="s">
        <v>374</v>
      </c>
      <c r="B1553">
        <v>23</v>
      </c>
      <c r="C1553" t="s">
        <v>55</v>
      </c>
      <c r="D1553">
        <v>30</v>
      </c>
      <c r="E1553" t="s">
        <v>964</v>
      </c>
      <c r="F1553" t="s">
        <v>5323</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4" customHeight="1">
      <c r="A1554" t="s">
        <v>374</v>
      </c>
      <c r="B1554">
        <v>24</v>
      </c>
      <c r="C1554" t="s">
        <v>55</v>
      </c>
      <c r="D1554">
        <v>31</v>
      </c>
      <c r="E1554" t="s">
        <v>964</v>
      </c>
      <c r="F1554" t="s">
        <v>5324</v>
      </c>
      <c r="G1554" t="str">
        <f>B61_Assessment!A31</f>
        <v>B13H-A</v>
      </c>
      <c r="H1554" t="str">
        <f>B61_Assessment!B31</f>
        <v>IU-0-01 / CU-0-01</v>
      </c>
      <c r="I1554" t="str">
        <f>B61_Assessment!C31</f>
        <v>Pass</v>
      </c>
      <c r="J1554" t="str">
        <f>B61_Assessment!D31</f>
        <v>Pass</v>
      </c>
      <c r="K1554" t="str">
        <f>B61_Assessment!E31</f>
        <v>Pass</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4" customHeight="1">
      <c r="A1555" t="s">
        <v>374</v>
      </c>
      <c r="B1555">
        <v>25</v>
      </c>
      <c r="C1555" t="s">
        <v>55</v>
      </c>
      <c r="D1555">
        <v>32</v>
      </c>
      <c r="E1555" t="s">
        <v>964</v>
      </c>
      <c r="F1555" t="s">
        <v>5324</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4" customHeight="1">
      <c r="A1556" t="s">
        <v>374</v>
      </c>
      <c r="B1556">
        <v>26</v>
      </c>
      <c r="C1556" t="s">
        <v>55</v>
      </c>
      <c r="D1556">
        <v>33</v>
      </c>
      <c r="E1556" t="s">
        <v>964</v>
      </c>
      <c r="F1556" t="s">
        <v>5324</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4" customHeight="1">
      <c r="A1557" t="s">
        <v>374</v>
      </c>
      <c r="B1557">
        <v>27</v>
      </c>
      <c r="C1557" t="s">
        <v>55</v>
      </c>
      <c r="D1557">
        <v>34</v>
      </c>
      <c r="E1557" t="s">
        <v>964</v>
      </c>
      <c r="F1557" t="s">
        <v>5324</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4" customHeight="1">
      <c r="A1558" t="s">
        <v>374</v>
      </c>
      <c r="B1558">
        <v>28</v>
      </c>
      <c r="C1558" t="s">
        <v>55</v>
      </c>
      <c r="D1558">
        <v>35</v>
      </c>
      <c r="E1558" t="s">
        <v>964</v>
      </c>
      <c r="F1558" t="s">
        <v>5325</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4" customHeight="1">
      <c r="A1559" t="s">
        <v>374</v>
      </c>
      <c r="B1559">
        <v>29</v>
      </c>
      <c r="C1559" t="s">
        <v>55</v>
      </c>
      <c r="D1559">
        <v>36</v>
      </c>
      <c r="E1559" t="s">
        <v>977</v>
      </c>
      <c r="F1559" t="s">
        <v>5322</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4" customHeight="1">
      <c r="A1560" t="s">
        <v>374</v>
      </c>
      <c r="B1560">
        <v>30</v>
      </c>
      <c r="C1560" t="s">
        <v>55</v>
      </c>
      <c r="D1560">
        <v>37</v>
      </c>
      <c r="E1560" t="s">
        <v>977</v>
      </c>
      <c r="F1560" t="s">
        <v>5323</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4" customHeight="1">
      <c r="A1561" t="s">
        <v>374</v>
      </c>
      <c r="B1561">
        <v>31</v>
      </c>
      <c r="C1561" t="s">
        <v>55</v>
      </c>
      <c r="D1561">
        <v>38</v>
      </c>
      <c r="E1561" t="s">
        <v>977</v>
      </c>
      <c r="F1561" t="s">
        <v>5324</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4" customHeight="1">
      <c r="A1562" t="s">
        <v>374</v>
      </c>
      <c r="B1562">
        <v>32</v>
      </c>
      <c r="C1562" t="s">
        <v>55</v>
      </c>
      <c r="D1562">
        <v>39</v>
      </c>
      <c r="E1562" t="s">
        <v>977</v>
      </c>
      <c r="F1562" t="s">
        <v>5324</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4" customHeight="1">
      <c r="A1563" t="s">
        <v>374</v>
      </c>
      <c r="B1563">
        <v>33</v>
      </c>
      <c r="C1563" t="s">
        <v>55</v>
      </c>
      <c r="D1563">
        <v>40</v>
      </c>
      <c r="E1563" t="s">
        <v>977</v>
      </c>
      <c r="F1563" t="s">
        <v>5324</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4" customHeight="1">
      <c r="A1564" t="s">
        <v>374</v>
      </c>
      <c r="B1564">
        <v>34</v>
      </c>
      <c r="C1564" t="s">
        <v>55</v>
      </c>
      <c r="D1564">
        <v>41</v>
      </c>
      <c r="E1564" t="s">
        <v>977</v>
      </c>
      <c r="F1564" t="s">
        <v>5324</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4" customHeight="1">
      <c r="A1565" t="s">
        <v>374</v>
      </c>
      <c r="B1565">
        <v>35</v>
      </c>
      <c r="C1565" t="s">
        <v>55</v>
      </c>
      <c r="D1565">
        <v>42</v>
      </c>
      <c r="E1565" t="s">
        <v>977</v>
      </c>
      <c r="F1565" t="s">
        <v>5325</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4" customHeight="1">
      <c r="A1566" t="s">
        <v>374</v>
      </c>
      <c r="B1566">
        <v>36</v>
      </c>
      <c r="C1566" t="s">
        <v>55</v>
      </c>
      <c r="D1566">
        <v>43</v>
      </c>
      <c r="E1566" t="s">
        <v>994</v>
      </c>
      <c r="F1566" t="s">
        <v>5322</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4" customHeight="1">
      <c r="A1567" t="s">
        <v>374</v>
      </c>
      <c r="B1567">
        <v>37</v>
      </c>
      <c r="C1567" t="s">
        <v>55</v>
      </c>
      <c r="D1567">
        <v>44</v>
      </c>
      <c r="E1567" t="s">
        <v>994</v>
      </c>
      <c r="F1567" t="s">
        <v>5323</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4" customHeight="1">
      <c r="A1568" t="s">
        <v>374</v>
      </c>
      <c r="B1568">
        <v>38</v>
      </c>
      <c r="C1568" t="s">
        <v>55</v>
      </c>
      <c r="D1568">
        <v>45</v>
      </c>
      <c r="E1568" t="s">
        <v>994</v>
      </c>
      <c r="F1568" t="s">
        <v>5324</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4" customHeight="1">
      <c r="A1569" t="s">
        <v>374</v>
      </c>
      <c r="B1569">
        <v>39</v>
      </c>
      <c r="C1569" t="s">
        <v>55</v>
      </c>
      <c r="D1569">
        <v>46</v>
      </c>
      <c r="E1569" t="s">
        <v>994</v>
      </c>
      <c r="F1569" t="s">
        <v>5324</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4" customHeight="1">
      <c r="A1570" t="s">
        <v>374</v>
      </c>
      <c r="B1570">
        <v>40</v>
      </c>
      <c r="C1570" t="s">
        <v>55</v>
      </c>
      <c r="D1570">
        <v>47</v>
      </c>
      <c r="E1570" t="s">
        <v>994</v>
      </c>
      <c r="F1570" t="s">
        <v>5324</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4" customHeight="1">
      <c r="A1571" t="s">
        <v>374</v>
      </c>
      <c r="B1571">
        <v>41</v>
      </c>
      <c r="C1571" t="s">
        <v>55</v>
      </c>
      <c r="D1571">
        <v>48</v>
      </c>
      <c r="E1571" t="s">
        <v>994</v>
      </c>
      <c r="F1571" t="s">
        <v>5324</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4" customHeight="1">
      <c r="A1572" t="s">
        <v>374</v>
      </c>
      <c r="B1572">
        <v>42</v>
      </c>
      <c r="C1572" t="s">
        <v>55</v>
      </c>
      <c r="D1572">
        <v>49</v>
      </c>
      <c r="E1572" t="s">
        <v>994</v>
      </c>
      <c r="F1572" t="s">
        <v>5325</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4" customHeight="1">
      <c r="A1573" t="s">
        <v>374</v>
      </c>
      <c r="B1573">
        <v>43</v>
      </c>
      <c r="C1573" t="s">
        <v>55</v>
      </c>
      <c r="D1573">
        <v>50</v>
      </c>
      <c r="E1573" t="s">
        <v>1007</v>
      </c>
      <c r="F1573" t="s">
        <v>5322</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4" customHeight="1">
      <c r="A1574" t="s">
        <v>374</v>
      </c>
      <c r="B1574">
        <v>44</v>
      </c>
      <c r="C1574" t="s">
        <v>55</v>
      </c>
      <c r="D1574">
        <v>51</v>
      </c>
      <c r="E1574" t="s">
        <v>1007</v>
      </c>
      <c r="F1574" t="s">
        <v>5323</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4" customHeight="1">
      <c r="A1575" t="s">
        <v>374</v>
      </c>
      <c r="B1575">
        <v>45</v>
      </c>
      <c r="C1575" t="s">
        <v>55</v>
      </c>
      <c r="D1575">
        <v>52</v>
      </c>
      <c r="E1575" t="s">
        <v>1007</v>
      </c>
      <c r="F1575" t="s">
        <v>5324</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4" customHeight="1">
      <c r="A1576" t="s">
        <v>374</v>
      </c>
      <c r="B1576">
        <v>46</v>
      </c>
      <c r="C1576" t="s">
        <v>55</v>
      </c>
      <c r="D1576">
        <v>53</v>
      </c>
      <c r="E1576" t="s">
        <v>1007</v>
      </c>
      <c r="F1576" t="s">
        <v>5324</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4" customHeight="1">
      <c r="A1577" t="s">
        <v>374</v>
      </c>
      <c r="B1577">
        <v>47</v>
      </c>
      <c r="C1577" t="s">
        <v>55</v>
      </c>
      <c r="D1577">
        <v>54</v>
      </c>
      <c r="E1577" t="s">
        <v>1007</v>
      </c>
      <c r="F1577" t="s">
        <v>5324</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4" customHeight="1">
      <c r="A1578" t="s">
        <v>374</v>
      </c>
      <c r="B1578">
        <v>48</v>
      </c>
      <c r="C1578" t="s">
        <v>55</v>
      </c>
      <c r="D1578">
        <v>55</v>
      </c>
      <c r="E1578" t="s">
        <v>1007</v>
      </c>
      <c r="F1578" t="s">
        <v>5324</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4" customHeight="1">
      <c r="A1579" t="s">
        <v>374</v>
      </c>
      <c r="B1579">
        <v>49</v>
      </c>
      <c r="C1579" t="s">
        <v>55</v>
      </c>
      <c r="D1579">
        <v>56</v>
      </c>
      <c r="E1579" t="s">
        <v>1007</v>
      </c>
      <c r="F1579" t="s">
        <v>5325</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4" customHeight="1">
      <c r="A1580" t="s">
        <v>374</v>
      </c>
      <c r="B1580">
        <v>50</v>
      </c>
      <c r="C1580" t="s">
        <v>55</v>
      </c>
      <c r="D1580">
        <v>57</v>
      </c>
      <c r="E1580" t="s">
        <v>1019</v>
      </c>
      <c r="F1580" t="s">
        <v>5322</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4" customHeight="1">
      <c r="A1581" t="s">
        <v>374</v>
      </c>
      <c r="B1581">
        <v>51</v>
      </c>
      <c r="C1581" t="s">
        <v>55</v>
      </c>
      <c r="D1581">
        <v>58</v>
      </c>
      <c r="E1581" t="s">
        <v>1019</v>
      </c>
      <c r="F1581" t="s">
        <v>5323</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4" customHeight="1">
      <c r="A1582" t="s">
        <v>374</v>
      </c>
      <c r="B1582">
        <v>52</v>
      </c>
      <c r="C1582" t="s">
        <v>55</v>
      </c>
      <c r="D1582">
        <v>59</v>
      </c>
      <c r="E1582" t="s">
        <v>1019</v>
      </c>
      <c r="F1582" t="s">
        <v>5324</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Open</v>
      </c>
      <c r="P1582" t="str">
        <f>B61_Assessment!J59</f>
        <v>Large multi-room scope with active demarc/server equipment.</v>
      </c>
      <c r="Q1582" t="str">
        <f t="shared" si="24"/>
        <v>61|52</v>
      </c>
    </row>
    <row r="1583" spans="1:17" ht="6.4" customHeight="1">
      <c r="A1583" t="s">
        <v>374</v>
      </c>
      <c r="B1583">
        <v>53</v>
      </c>
      <c r="C1583" t="s">
        <v>55</v>
      </c>
      <c r="D1583">
        <v>60</v>
      </c>
      <c r="E1583" t="s">
        <v>1019</v>
      </c>
      <c r="F1583" t="s">
        <v>5324</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Open</v>
      </c>
      <c r="P1583" t="str">
        <f>B61_Assessment!J60</f>
        <v>Drawing index includes 61H-101 and 61H-102 hazardous material abatement plans.</v>
      </c>
      <c r="Q1583" t="str">
        <f t="shared" si="24"/>
        <v>61|53</v>
      </c>
    </row>
    <row r="1584" spans="1:17" ht="6.4" customHeight="1">
      <c r="A1584" t="s">
        <v>374</v>
      </c>
      <c r="B1584">
        <v>54</v>
      </c>
      <c r="C1584" t="s">
        <v>55</v>
      </c>
      <c r="D1584">
        <v>61</v>
      </c>
      <c r="E1584" t="s">
        <v>1019</v>
      </c>
      <c r="F1584" t="s">
        <v>5324</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Open</v>
      </c>
      <c r="P1584" t="str">
        <f>B61_Assessment!J61</f>
        <v>Existing APC/Fujitsu/rack/patch equipment shown in Room 137 inventory/rack elevations.</v>
      </c>
      <c r="Q1584" t="str">
        <f t="shared" si="24"/>
        <v>61|54</v>
      </c>
    </row>
    <row r="1585" spans="1:17" ht="6.4" customHeight="1">
      <c r="A1585" t="s">
        <v>374</v>
      </c>
      <c r="B1585">
        <v>55</v>
      </c>
      <c r="C1585" t="s">
        <v>55</v>
      </c>
      <c r="D1585">
        <v>62</v>
      </c>
      <c r="E1585" t="s">
        <v>1019</v>
      </c>
      <c r="F1585" t="s">
        <v>5324</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Open</v>
      </c>
      <c r="P1585" t="str">
        <f>B61_Assessment!J62</f>
        <v>Cooling is central to TR/server readiness.</v>
      </c>
      <c r="Q1585" t="str">
        <f t="shared" si="24"/>
        <v>61|55</v>
      </c>
    </row>
    <row r="1586" spans="1:17" ht="6.4" customHeight="1">
      <c r="A1586" t="s">
        <v>374</v>
      </c>
      <c r="B1586">
        <v>56</v>
      </c>
      <c r="C1586" t="s">
        <v>55</v>
      </c>
      <c r="D1586">
        <v>63</v>
      </c>
      <c r="E1586" t="s">
        <v>1019</v>
      </c>
      <c r="F1586" t="s">
        <v>5324</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Open</v>
      </c>
      <c r="P1586" t="str">
        <f>B61_Assessment!J63</f>
        <v>Multiple telecom panelboards and PD panels shown.</v>
      </c>
      <c r="Q1586" t="str">
        <f t="shared" si="24"/>
        <v>61|56</v>
      </c>
    </row>
    <row r="1587" spans="1:17" ht="6.4" customHeight="1">
      <c r="A1587" t="s">
        <v>374</v>
      </c>
      <c r="B1587">
        <v>57</v>
      </c>
      <c r="C1587" t="s">
        <v>55</v>
      </c>
      <c r="D1587">
        <v>64</v>
      </c>
      <c r="E1587" t="s">
        <v>1019</v>
      </c>
      <c r="F1587" t="s">
        <v>5324</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Open</v>
      </c>
      <c r="P1587" t="str">
        <f>B61_Assessment!J64</f>
        <v>Cable tray schedule: basement 890 ft, first 499 ft, second 578 ft.</v>
      </c>
      <c r="Q1587" t="str">
        <f t="shared" si="24"/>
        <v>61|57</v>
      </c>
    </row>
    <row r="1588" spans="1:17" ht="6.4" customHeight="1">
      <c r="A1588" t="s">
        <v>374</v>
      </c>
      <c r="B1588">
        <v>58</v>
      </c>
      <c r="C1588" t="s">
        <v>55</v>
      </c>
      <c r="D1588">
        <v>65</v>
      </c>
      <c r="E1588" t="s">
        <v>1019</v>
      </c>
      <c r="F1588" t="s">
        <v>5324</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Open</v>
      </c>
      <c r="P1588" t="str">
        <f>B61_Assessment!J65</f>
        <v>WAO counts and active ports are substantial across B13H-A, 124 and 226.</v>
      </c>
      <c r="Q1588" t="str">
        <f t="shared" si="24"/>
        <v>61|58</v>
      </c>
    </row>
    <row r="1589" spans="1:17" ht="6.4" customHeight="1">
      <c r="A1589" t="s">
        <v>374</v>
      </c>
      <c r="B1589">
        <v>59</v>
      </c>
      <c r="C1589" t="s">
        <v>55</v>
      </c>
      <c r="D1589">
        <v>66</v>
      </c>
      <c r="E1589" t="s">
        <v>1019</v>
      </c>
      <c r="F1589" t="s">
        <v>5324</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Open</v>
      </c>
      <c r="P1589" t="str">
        <f>B61_Assessment!J66</f>
        <v>Full-scope building with multiple divisions.</v>
      </c>
      <c r="Q1589" t="str">
        <f t="shared" si="24"/>
        <v>61|59</v>
      </c>
    </row>
    <row r="1590" spans="1:17" ht="6.4" customHeight="1">
      <c r="A1590" t="s">
        <v>374</v>
      </c>
      <c r="B1590">
        <v>60</v>
      </c>
      <c r="C1590" t="s">
        <v>55</v>
      </c>
      <c r="D1590">
        <v>67</v>
      </c>
      <c r="E1590" t="s">
        <v>1019</v>
      </c>
      <c r="F1590" t="s">
        <v>5325</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4" customHeight="1">
      <c r="A1591" t="s">
        <v>374</v>
      </c>
      <c r="B1591">
        <v>61</v>
      </c>
      <c r="C1591" t="s">
        <v>55</v>
      </c>
      <c r="D1591">
        <v>68</v>
      </c>
      <c r="E1591" t="s">
        <v>1051</v>
      </c>
      <c r="F1591" t="s">
        <v>5322</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4" customHeight="1">
      <c r="A1592" t="s">
        <v>374</v>
      </c>
      <c r="B1592">
        <v>62</v>
      </c>
      <c r="C1592" t="s">
        <v>55</v>
      </c>
      <c r="D1592">
        <v>69</v>
      </c>
      <c r="E1592" t="s">
        <v>1051</v>
      </c>
      <c r="F1592" t="s">
        <v>5323</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4" customHeight="1">
      <c r="A1593" t="s">
        <v>374</v>
      </c>
      <c r="B1593">
        <v>63</v>
      </c>
      <c r="C1593" t="s">
        <v>55</v>
      </c>
      <c r="D1593">
        <v>70</v>
      </c>
      <c r="E1593" t="s">
        <v>1051</v>
      </c>
      <c r="F1593" t="s">
        <v>5324</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Open</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4" customHeight="1">
      <c r="A1594" t="s">
        <v>374</v>
      </c>
      <c r="B1594">
        <v>64</v>
      </c>
      <c r="C1594" t="s">
        <v>55</v>
      </c>
      <c r="D1594">
        <v>71</v>
      </c>
      <c r="E1594" t="s">
        <v>1051</v>
      </c>
      <c r="F1594" t="s">
        <v>5324</v>
      </c>
      <c r="G1594" t="str">
        <f>B61_Assessment!A71</f>
        <v>B61-Q2</v>
      </c>
      <c r="H1594" t="str">
        <f>B61_Assessment!B71</f>
        <v>What active services and circuits are currently housed in Room 137/137A?</v>
      </c>
      <c r="I1594" t="str">
        <f>B61_Assessment!C71</f>
        <v>OIT / Contractor</v>
      </c>
      <c r="J1594" t="str">
        <f>B61_Assessment!D71</f>
        <v>Open</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4" customHeight="1">
      <c r="A1595" t="s">
        <v>374</v>
      </c>
      <c r="B1595">
        <v>65</v>
      </c>
      <c r="C1595" t="s">
        <v>55</v>
      </c>
      <c r="D1595">
        <v>72</v>
      </c>
      <c r="E1595" t="s">
        <v>1051</v>
      </c>
      <c r="F1595" t="s">
        <v>5324</v>
      </c>
      <c r="G1595" t="str">
        <f>B61_Assessment!A72</f>
        <v>B61-Q3</v>
      </c>
      <c r="H1595" t="str">
        <f>B61_Assessment!B72</f>
        <v>Are B61-TR137AA/AB panel references tied to Room 137 or a schedule naming mismatch for Room 124?</v>
      </c>
      <c r="I1595" t="str">
        <f>B61_Assessment!C72</f>
        <v>Electrical / Designer</v>
      </c>
      <c r="J1595" t="str">
        <f>B61_Assessment!D72</f>
        <v>Open</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4" customHeight="1">
      <c r="A1596" t="s">
        <v>374</v>
      </c>
      <c r="B1596">
        <v>66</v>
      </c>
      <c r="C1596" t="s">
        <v>55</v>
      </c>
      <c r="D1596">
        <v>73</v>
      </c>
      <c r="E1596" t="s">
        <v>1051</v>
      </c>
      <c r="F1596" t="s">
        <v>5324</v>
      </c>
      <c r="G1596" t="str">
        <f>B61_Assessment!A73</f>
        <v>B61-Q4</v>
      </c>
      <c r="H1596" t="str">
        <f>B61_Assessment!B73</f>
        <v>Are IU/CU-0-01, 1-01 and 2-01 on emergency/backup power and dedicated to the TRs they serve?</v>
      </c>
      <c r="I1596" t="str">
        <f>B61_Assessment!C73</f>
        <v>Mechanical / Electrical / VA</v>
      </c>
      <c r="J1596" t="str">
        <f>B61_Assessment!D73</f>
        <v>Open</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4" customHeight="1">
      <c r="A1597" t="s">
        <v>374</v>
      </c>
      <c r="B1597">
        <v>67</v>
      </c>
      <c r="C1597" t="s">
        <v>55</v>
      </c>
      <c r="D1597">
        <v>74</v>
      </c>
      <c r="E1597" t="s">
        <v>1051</v>
      </c>
      <c r="F1597" t="s">
        <v>5324</v>
      </c>
      <c r="G1597" t="str">
        <f>B61_Assessment!A74</f>
        <v>B61-Q5</v>
      </c>
      <c r="H1597" t="str">
        <f>B61_Assessment!B74</f>
        <v>Where are clean-agent/CO2 FEC cabinets located within 75 ft of each new TR?</v>
      </c>
      <c r="I1597" t="str">
        <f>B61_Assessment!C74</f>
        <v>GC / COR</v>
      </c>
      <c r="J1597" t="str">
        <f>B61_Assessment!D74</f>
        <v>Open</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4" customHeight="1">
      <c r="A1598" t="s">
        <v>374</v>
      </c>
      <c r="B1598">
        <v>68</v>
      </c>
      <c r="C1598" t="s">
        <v>55</v>
      </c>
      <c r="D1598">
        <v>75</v>
      </c>
      <c r="E1598" t="s">
        <v>1051</v>
      </c>
      <c r="F1598" t="s">
        <v>5324</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Open</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4" customHeight="1">
      <c r="A1599" t="s">
        <v>374</v>
      </c>
      <c r="B1599">
        <v>69</v>
      </c>
      <c r="C1599" t="s">
        <v>55</v>
      </c>
      <c r="D1599">
        <v>76</v>
      </c>
      <c r="E1599" t="s">
        <v>1051</v>
      </c>
      <c r="F1599" t="s">
        <v>5324</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Open</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4" customHeight="1">
      <c r="A1600" t="s">
        <v>374</v>
      </c>
      <c r="B1600">
        <v>70</v>
      </c>
      <c r="C1600" t="s">
        <v>55</v>
      </c>
      <c r="D1600">
        <v>77</v>
      </c>
      <c r="E1600" t="s">
        <v>1051</v>
      </c>
      <c r="F1600" t="s">
        <v>5324</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Open</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4" customHeight="1">
      <c r="A1601" t="s">
        <v>374</v>
      </c>
      <c r="B1601">
        <v>71</v>
      </c>
      <c r="C1601" t="s">
        <v>55</v>
      </c>
      <c r="D1601">
        <v>78</v>
      </c>
      <c r="E1601" t="s">
        <v>1051</v>
      </c>
      <c r="F1601" t="s">
        <v>5325</v>
      </c>
      <c r="G1601" t="str">
        <f>B61_Assessment!A78</f>
        <v>B61-Q9</v>
      </c>
      <c r="H1601" t="str">
        <f>B61_Assessment!B78</f>
        <v xml:space="preserve">How did this sheetget made? </v>
      </c>
      <c r="I1601" t="str">
        <f>B61_Assessment!C78</f>
        <v>GC / Cx Manager / OIT</v>
      </c>
      <c r="J1601" t="str">
        <f>B61_Assessment!D78</f>
        <v>Open</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4" customHeight="1">
      <c r="A1602" t="s">
        <v>374</v>
      </c>
      <c r="B1602">
        <v>72</v>
      </c>
      <c r="C1602" t="s">
        <v>55</v>
      </c>
      <c r="D1602">
        <v>79</v>
      </c>
      <c r="E1602" t="s">
        <v>1052</v>
      </c>
      <c r="F1602" t="s">
        <v>5322</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4" customHeight="1">
      <c r="A1603" t="s">
        <v>374</v>
      </c>
      <c r="B1603">
        <v>73</v>
      </c>
      <c r="C1603" t="s">
        <v>55</v>
      </c>
      <c r="D1603">
        <v>80</v>
      </c>
      <c r="E1603" t="s">
        <v>1052</v>
      </c>
      <c r="F1603" t="s">
        <v>5323</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4" customHeight="1">
      <c r="A1604" t="s">
        <v>374</v>
      </c>
      <c r="B1604">
        <v>74</v>
      </c>
      <c r="C1604" t="s">
        <v>55</v>
      </c>
      <c r="D1604">
        <v>81</v>
      </c>
      <c r="E1604" t="s">
        <v>1052</v>
      </c>
      <c r="F1604" t="s">
        <v>5324</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4" customHeight="1">
      <c r="A1605" t="s">
        <v>374</v>
      </c>
      <c r="B1605">
        <v>75</v>
      </c>
      <c r="C1605" t="s">
        <v>55</v>
      </c>
      <c r="D1605">
        <v>82</v>
      </c>
      <c r="E1605" t="s">
        <v>1052</v>
      </c>
      <c r="F1605" t="s">
        <v>5324</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4" customHeight="1">
      <c r="A1606" t="s">
        <v>374</v>
      </c>
      <c r="B1606">
        <v>76</v>
      </c>
      <c r="C1606" t="s">
        <v>55</v>
      </c>
      <c r="D1606">
        <v>83</v>
      </c>
      <c r="E1606" t="s">
        <v>1052</v>
      </c>
      <c r="F1606" t="s">
        <v>5324</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4" customHeight="1">
      <c r="A1607" t="s">
        <v>374</v>
      </c>
      <c r="B1607">
        <v>77</v>
      </c>
      <c r="C1607" t="s">
        <v>55</v>
      </c>
      <c r="D1607">
        <v>84</v>
      </c>
      <c r="E1607" t="s">
        <v>1052</v>
      </c>
      <c r="F1607" t="s">
        <v>5324</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4" customHeight="1">
      <c r="A1608" t="s">
        <v>374</v>
      </c>
      <c r="B1608">
        <v>78</v>
      </c>
      <c r="C1608" t="s">
        <v>55</v>
      </c>
      <c r="D1608">
        <v>85</v>
      </c>
      <c r="E1608" t="s">
        <v>1052</v>
      </c>
      <c r="F1608" t="s">
        <v>5324</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4" customHeight="1">
      <c r="A1609" t="s">
        <v>374</v>
      </c>
      <c r="B1609">
        <v>79</v>
      </c>
      <c r="C1609" t="s">
        <v>55</v>
      </c>
      <c r="D1609">
        <v>86</v>
      </c>
      <c r="E1609" t="s">
        <v>1052</v>
      </c>
      <c r="F1609" t="s">
        <v>5324</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4" customHeight="1">
      <c r="A1610" t="s">
        <v>374</v>
      </c>
      <c r="B1610">
        <v>80</v>
      </c>
      <c r="C1610" t="s">
        <v>55</v>
      </c>
      <c r="D1610">
        <v>87</v>
      </c>
      <c r="E1610" t="s">
        <v>1052</v>
      </c>
      <c r="F1610" t="s">
        <v>5324</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4" customHeight="1">
      <c r="A1611" t="s">
        <v>374</v>
      </c>
      <c r="B1611">
        <v>81</v>
      </c>
      <c r="C1611" t="s">
        <v>55</v>
      </c>
      <c r="D1611">
        <v>88</v>
      </c>
      <c r="E1611" t="s">
        <v>1052</v>
      </c>
      <c r="F1611" t="s">
        <v>5324</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4" customHeight="1">
      <c r="A1612" t="s">
        <v>374</v>
      </c>
      <c r="B1612">
        <v>82</v>
      </c>
      <c r="C1612" t="s">
        <v>55</v>
      </c>
      <c r="D1612">
        <v>89</v>
      </c>
      <c r="E1612" t="s">
        <v>1052</v>
      </c>
      <c r="F1612" t="s">
        <v>5325</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4" customHeight="1">
      <c r="A1613" t="s">
        <v>376</v>
      </c>
      <c r="B1613">
        <v>1</v>
      </c>
      <c r="C1613" t="s">
        <v>57</v>
      </c>
      <c r="D1613">
        <v>8</v>
      </c>
      <c r="E1613" t="s">
        <v>918</v>
      </c>
      <c r="F1613" t="s">
        <v>5322</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4" customHeight="1">
      <c r="A1614" t="s">
        <v>376</v>
      </c>
      <c r="B1614">
        <v>2</v>
      </c>
      <c r="C1614" t="s">
        <v>57</v>
      </c>
      <c r="D1614">
        <v>9</v>
      </c>
      <c r="E1614" t="s">
        <v>918</v>
      </c>
      <c r="F1614" t="s">
        <v>5323</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4" customHeight="1">
      <c r="A1615" t="s">
        <v>376</v>
      </c>
      <c r="B1615">
        <v>3</v>
      </c>
      <c r="C1615" t="s">
        <v>57</v>
      </c>
      <c r="D1615">
        <v>10</v>
      </c>
      <c r="E1615" t="s">
        <v>918</v>
      </c>
      <c r="F1615" t="s">
        <v>5324</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4" customHeight="1">
      <c r="A1616" t="s">
        <v>376</v>
      </c>
      <c r="B1616">
        <v>4</v>
      </c>
      <c r="C1616" t="s">
        <v>57</v>
      </c>
      <c r="D1616">
        <v>11</v>
      </c>
      <c r="E1616" t="s">
        <v>918</v>
      </c>
      <c r="F1616" t="s">
        <v>5324</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4" customHeight="1">
      <c r="A1617" t="s">
        <v>376</v>
      </c>
      <c r="B1617">
        <v>5</v>
      </c>
      <c r="C1617" t="s">
        <v>57</v>
      </c>
      <c r="D1617">
        <v>12</v>
      </c>
      <c r="E1617" t="s">
        <v>918</v>
      </c>
      <c r="F1617" t="s">
        <v>5324</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4" customHeight="1">
      <c r="A1618" t="s">
        <v>376</v>
      </c>
      <c r="B1618">
        <v>6</v>
      </c>
      <c r="C1618" t="s">
        <v>57</v>
      </c>
      <c r="D1618">
        <v>13</v>
      </c>
      <c r="E1618" t="s">
        <v>918</v>
      </c>
      <c r="F1618" t="s">
        <v>5325</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4" customHeight="1">
      <c r="A1619" t="s">
        <v>376</v>
      </c>
      <c r="B1619">
        <v>7</v>
      </c>
      <c r="C1619" t="s">
        <v>57</v>
      </c>
      <c r="D1619">
        <v>14</v>
      </c>
      <c r="E1619" t="s">
        <v>918</v>
      </c>
      <c r="F1619" t="s">
        <v>5325</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4" customHeight="1">
      <c r="A1620" t="s">
        <v>376</v>
      </c>
      <c r="B1620">
        <v>8</v>
      </c>
      <c r="C1620" t="s">
        <v>57</v>
      </c>
      <c r="D1620">
        <v>15</v>
      </c>
      <c r="E1620" t="s">
        <v>936</v>
      </c>
      <c r="F1620" t="s">
        <v>5322</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4" customHeight="1">
      <c r="A1621" t="s">
        <v>376</v>
      </c>
      <c r="B1621">
        <v>9</v>
      </c>
      <c r="C1621" t="s">
        <v>57</v>
      </c>
      <c r="D1621">
        <v>16</v>
      </c>
      <c r="E1621" t="s">
        <v>936</v>
      </c>
      <c r="F1621" t="s">
        <v>5323</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4" customHeight="1">
      <c r="A1622" t="s">
        <v>376</v>
      </c>
      <c r="B1622">
        <v>10</v>
      </c>
      <c r="C1622" t="s">
        <v>57</v>
      </c>
      <c r="D1622">
        <v>17</v>
      </c>
      <c r="E1622" t="s">
        <v>936</v>
      </c>
      <c r="F1622" t="s">
        <v>5324</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4" customHeight="1">
      <c r="A1623" t="s">
        <v>376</v>
      </c>
      <c r="B1623">
        <v>11</v>
      </c>
      <c r="C1623" t="s">
        <v>57</v>
      </c>
      <c r="D1623">
        <v>18</v>
      </c>
      <c r="E1623" t="s">
        <v>936</v>
      </c>
      <c r="F1623" t="s">
        <v>5324</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4" customHeight="1">
      <c r="A1624" t="s">
        <v>376</v>
      </c>
      <c r="B1624">
        <v>12</v>
      </c>
      <c r="C1624" t="s">
        <v>57</v>
      </c>
      <c r="D1624">
        <v>19</v>
      </c>
      <c r="E1624" t="s">
        <v>936</v>
      </c>
      <c r="F1624" t="s">
        <v>5324</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4" customHeight="1">
      <c r="A1625" t="s">
        <v>376</v>
      </c>
      <c r="B1625">
        <v>13</v>
      </c>
      <c r="C1625" t="s">
        <v>57</v>
      </c>
      <c r="D1625">
        <v>20</v>
      </c>
      <c r="E1625" t="s">
        <v>936</v>
      </c>
      <c r="F1625" t="s">
        <v>5325</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4" customHeight="1">
      <c r="A1626" t="s">
        <v>376</v>
      </c>
      <c r="B1626">
        <v>14</v>
      </c>
      <c r="C1626" t="s">
        <v>57</v>
      </c>
      <c r="D1626">
        <v>21</v>
      </c>
      <c r="E1626" t="s">
        <v>936</v>
      </c>
      <c r="F1626" t="s">
        <v>5325</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4" customHeight="1">
      <c r="A1627" t="s">
        <v>376</v>
      </c>
      <c r="B1627">
        <v>15</v>
      </c>
      <c r="C1627" t="s">
        <v>57</v>
      </c>
      <c r="D1627">
        <v>22</v>
      </c>
      <c r="E1627" t="s">
        <v>951</v>
      </c>
      <c r="F1627" t="s">
        <v>5322</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4" customHeight="1">
      <c r="A1628" t="s">
        <v>376</v>
      </c>
      <c r="B1628">
        <v>16</v>
      </c>
      <c r="C1628" t="s">
        <v>57</v>
      </c>
      <c r="D1628">
        <v>23</v>
      </c>
      <c r="E1628" t="s">
        <v>951</v>
      </c>
      <c r="F1628" t="s">
        <v>5323</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4" customHeight="1">
      <c r="A1629" t="s">
        <v>376</v>
      </c>
      <c r="B1629">
        <v>17</v>
      </c>
      <c r="C1629" t="s">
        <v>57</v>
      </c>
      <c r="D1629">
        <v>24</v>
      </c>
      <c r="E1629" t="s">
        <v>951</v>
      </c>
      <c r="F1629" t="s">
        <v>5324</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4" customHeight="1">
      <c r="A1630" t="s">
        <v>376</v>
      </c>
      <c r="B1630">
        <v>18</v>
      </c>
      <c r="C1630" t="s">
        <v>57</v>
      </c>
      <c r="D1630">
        <v>25</v>
      </c>
      <c r="E1630" t="s">
        <v>951</v>
      </c>
      <c r="F1630" t="s">
        <v>5324</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4" customHeight="1">
      <c r="A1631" t="s">
        <v>376</v>
      </c>
      <c r="B1631">
        <v>19</v>
      </c>
      <c r="C1631" t="s">
        <v>57</v>
      </c>
      <c r="D1631">
        <v>26</v>
      </c>
      <c r="E1631" t="s">
        <v>951</v>
      </c>
      <c r="F1631" t="s">
        <v>5324</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4" customHeight="1">
      <c r="A1632" t="s">
        <v>376</v>
      </c>
      <c r="B1632">
        <v>20</v>
      </c>
      <c r="C1632" t="s">
        <v>57</v>
      </c>
      <c r="D1632">
        <v>27</v>
      </c>
      <c r="E1632" t="s">
        <v>951</v>
      </c>
      <c r="F1632" t="s">
        <v>5325</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4" customHeight="1">
      <c r="A1633" t="s">
        <v>376</v>
      </c>
      <c r="B1633">
        <v>21</v>
      </c>
      <c r="C1633" t="s">
        <v>57</v>
      </c>
      <c r="D1633">
        <v>28</v>
      </c>
      <c r="E1633" t="s">
        <v>951</v>
      </c>
      <c r="F1633" t="s">
        <v>5325</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4" customHeight="1">
      <c r="A1634" t="s">
        <v>376</v>
      </c>
      <c r="B1634">
        <v>22</v>
      </c>
      <c r="C1634" t="s">
        <v>57</v>
      </c>
      <c r="D1634">
        <v>29</v>
      </c>
      <c r="E1634" t="s">
        <v>964</v>
      </c>
      <c r="F1634" t="s">
        <v>5322</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4" customHeight="1">
      <c r="A1635" t="s">
        <v>376</v>
      </c>
      <c r="B1635">
        <v>23</v>
      </c>
      <c r="C1635" t="s">
        <v>57</v>
      </c>
      <c r="D1635">
        <v>30</v>
      </c>
      <c r="E1635" t="s">
        <v>964</v>
      </c>
      <c r="F1635" t="s">
        <v>5323</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4" customHeight="1">
      <c r="A1636" t="s">
        <v>376</v>
      </c>
      <c r="B1636">
        <v>24</v>
      </c>
      <c r="C1636" t="s">
        <v>57</v>
      </c>
      <c r="D1636">
        <v>31</v>
      </c>
      <c r="E1636" t="s">
        <v>964</v>
      </c>
      <c r="F1636" t="s">
        <v>5324</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4" customHeight="1">
      <c r="A1637" t="s">
        <v>376</v>
      </c>
      <c r="B1637">
        <v>25</v>
      </c>
      <c r="C1637" t="s">
        <v>57</v>
      </c>
      <c r="D1637">
        <v>32</v>
      </c>
      <c r="E1637" t="s">
        <v>964</v>
      </c>
      <c r="F1637" t="s">
        <v>5324</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4" customHeight="1">
      <c r="A1638" t="s">
        <v>376</v>
      </c>
      <c r="B1638">
        <v>26</v>
      </c>
      <c r="C1638" t="s">
        <v>57</v>
      </c>
      <c r="D1638">
        <v>33</v>
      </c>
      <c r="E1638" t="s">
        <v>964</v>
      </c>
      <c r="F1638" t="s">
        <v>5324</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4" customHeight="1">
      <c r="A1639" t="s">
        <v>376</v>
      </c>
      <c r="B1639">
        <v>27</v>
      </c>
      <c r="C1639" t="s">
        <v>57</v>
      </c>
      <c r="D1639">
        <v>34</v>
      </c>
      <c r="E1639" t="s">
        <v>964</v>
      </c>
      <c r="F1639" t="s">
        <v>5325</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4" customHeight="1">
      <c r="A1640" t="s">
        <v>376</v>
      </c>
      <c r="B1640">
        <v>28</v>
      </c>
      <c r="C1640" t="s">
        <v>57</v>
      </c>
      <c r="D1640">
        <v>35</v>
      </c>
      <c r="E1640" t="s">
        <v>964</v>
      </c>
      <c r="F1640" t="s">
        <v>5325</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4" customHeight="1">
      <c r="A1641" t="s">
        <v>376</v>
      </c>
      <c r="B1641">
        <v>29</v>
      </c>
      <c r="C1641" t="s">
        <v>57</v>
      </c>
      <c r="D1641">
        <v>36</v>
      </c>
      <c r="E1641" t="s">
        <v>977</v>
      </c>
      <c r="F1641" t="s">
        <v>5322</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4" customHeight="1">
      <c r="A1642" t="s">
        <v>376</v>
      </c>
      <c r="B1642">
        <v>30</v>
      </c>
      <c r="C1642" t="s">
        <v>57</v>
      </c>
      <c r="D1642">
        <v>37</v>
      </c>
      <c r="E1642" t="s">
        <v>977</v>
      </c>
      <c r="F1642" t="s">
        <v>5323</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4" customHeight="1">
      <c r="A1643" t="s">
        <v>376</v>
      </c>
      <c r="B1643">
        <v>31</v>
      </c>
      <c r="C1643" t="s">
        <v>57</v>
      </c>
      <c r="D1643">
        <v>38</v>
      </c>
      <c r="E1643" t="s">
        <v>977</v>
      </c>
      <c r="F1643" t="s">
        <v>5324</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4" customHeight="1">
      <c r="A1644" t="s">
        <v>376</v>
      </c>
      <c r="B1644">
        <v>32</v>
      </c>
      <c r="C1644" t="s">
        <v>57</v>
      </c>
      <c r="D1644">
        <v>39</v>
      </c>
      <c r="E1644" t="s">
        <v>977</v>
      </c>
      <c r="F1644" t="s">
        <v>5324</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4" customHeight="1">
      <c r="A1645" t="s">
        <v>376</v>
      </c>
      <c r="B1645">
        <v>33</v>
      </c>
      <c r="C1645" t="s">
        <v>57</v>
      </c>
      <c r="D1645">
        <v>40</v>
      </c>
      <c r="E1645" t="s">
        <v>977</v>
      </c>
      <c r="F1645" t="s">
        <v>5324</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4" customHeight="1">
      <c r="A1646" t="s">
        <v>376</v>
      </c>
      <c r="B1646">
        <v>34</v>
      </c>
      <c r="C1646" t="s">
        <v>57</v>
      </c>
      <c r="D1646">
        <v>41</v>
      </c>
      <c r="E1646" t="s">
        <v>977</v>
      </c>
      <c r="F1646" t="s">
        <v>5325</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4" customHeight="1">
      <c r="A1647" t="s">
        <v>376</v>
      </c>
      <c r="B1647">
        <v>35</v>
      </c>
      <c r="C1647" t="s">
        <v>57</v>
      </c>
      <c r="D1647">
        <v>42</v>
      </c>
      <c r="E1647" t="s">
        <v>977</v>
      </c>
      <c r="F1647" t="s">
        <v>5325</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4" customHeight="1">
      <c r="A1648" t="s">
        <v>376</v>
      </c>
      <c r="B1648">
        <v>36</v>
      </c>
      <c r="C1648" t="s">
        <v>57</v>
      </c>
      <c r="D1648">
        <v>43</v>
      </c>
      <c r="E1648" t="s">
        <v>3310</v>
      </c>
      <c r="F1648" t="s">
        <v>5322</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4" customHeight="1">
      <c r="A1649" t="s">
        <v>376</v>
      </c>
      <c r="B1649">
        <v>37</v>
      </c>
      <c r="C1649" t="s">
        <v>57</v>
      </c>
      <c r="D1649">
        <v>44</v>
      </c>
      <c r="E1649" t="s">
        <v>3310</v>
      </c>
      <c r="F1649" t="s">
        <v>5323</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4" customHeight="1">
      <c r="A1650" t="s">
        <v>376</v>
      </c>
      <c r="B1650">
        <v>38</v>
      </c>
      <c r="C1650" t="s">
        <v>57</v>
      </c>
      <c r="D1650">
        <v>45</v>
      </c>
      <c r="E1650" t="s">
        <v>3310</v>
      </c>
      <c r="F1650" t="s">
        <v>5324</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4" customHeight="1">
      <c r="A1651" t="s">
        <v>376</v>
      </c>
      <c r="B1651">
        <v>39</v>
      </c>
      <c r="C1651" t="s">
        <v>57</v>
      </c>
      <c r="D1651">
        <v>46</v>
      </c>
      <c r="E1651" t="s">
        <v>3310</v>
      </c>
      <c r="F1651" t="s">
        <v>5324</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4" customHeight="1">
      <c r="A1652" t="s">
        <v>376</v>
      </c>
      <c r="B1652">
        <v>40</v>
      </c>
      <c r="C1652" t="s">
        <v>57</v>
      </c>
      <c r="D1652">
        <v>47</v>
      </c>
      <c r="E1652" t="s">
        <v>3310</v>
      </c>
      <c r="F1652" t="s">
        <v>5324</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4" customHeight="1">
      <c r="A1653" t="s">
        <v>376</v>
      </c>
      <c r="B1653">
        <v>41</v>
      </c>
      <c r="C1653" t="s">
        <v>57</v>
      </c>
      <c r="D1653">
        <v>48</v>
      </c>
      <c r="E1653" t="s">
        <v>3310</v>
      </c>
      <c r="F1653" t="s">
        <v>5325</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4" customHeight="1">
      <c r="A1654" t="s">
        <v>376</v>
      </c>
      <c r="B1654">
        <v>42</v>
      </c>
      <c r="C1654" t="s">
        <v>57</v>
      </c>
      <c r="D1654">
        <v>49</v>
      </c>
      <c r="E1654" t="s">
        <v>3310</v>
      </c>
      <c r="F1654" t="s">
        <v>5325</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4" customHeight="1">
      <c r="A1655" t="s">
        <v>376</v>
      </c>
      <c r="B1655">
        <v>43</v>
      </c>
      <c r="C1655" t="s">
        <v>57</v>
      </c>
      <c r="D1655">
        <v>50</v>
      </c>
      <c r="E1655" t="s">
        <v>3311</v>
      </c>
      <c r="F1655" t="s">
        <v>5322</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4" customHeight="1">
      <c r="A1656" t="s">
        <v>376</v>
      </c>
      <c r="B1656">
        <v>44</v>
      </c>
      <c r="C1656" t="s">
        <v>57</v>
      </c>
      <c r="D1656">
        <v>51</v>
      </c>
      <c r="E1656" t="s">
        <v>3311</v>
      </c>
      <c r="F1656" t="s">
        <v>5323</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4" customHeight="1">
      <c r="A1657" t="s">
        <v>376</v>
      </c>
      <c r="B1657">
        <v>45</v>
      </c>
      <c r="C1657" t="s">
        <v>57</v>
      </c>
      <c r="D1657">
        <v>52</v>
      </c>
      <c r="E1657" t="s">
        <v>3311</v>
      </c>
      <c r="F1657" t="s">
        <v>5324</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4" customHeight="1">
      <c r="A1658" t="s">
        <v>376</v>
      </c>
      <c r="B1658">
        <v>46</v>
      </c>
      <c r="C1658" t="s">
        <v>57</v>
      </c>
      <c r="D1658">
        <v>53</v>
      </c>
      <c r="E1658" t="s">
        <v>3311</v>
      </c>
      <c r="F1658" t="s">
        <v>5324</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4" customHeight="1">
      <c r="A1659" t="s">
        <v>376</v>
      </c>
      <c r="B1659">
        <v>47</v>
      </c>
      <c r="C1659" t="s">
        <v>57</v>
      </c>
      <c r="D1659">
        <v>54</v>
      </c>
      <c r="E1659" t="s">
        <v>3311</v>
      </c>
      <c r="F1659" t="s">
        <v>5324</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4" customHeight="1">
      <c r="A1660" t="s">
        <v>376</v>
      </c>
      <c r="B1660">
        <v>48</v>
      </c>
      <c r="C1660" t="s">
        <v>57</v>
      </c>
      <c r="D1660">
        <v>55</v>
      </c>
      <c r="E1660" t="s">
        <v>3311</v>
      </c>
      <c r="F1660" t="s">
        <v>5324</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4" customHeight="1">
      <c r="A1661" t="s">
        <v>376</v>
      </c>
      <c r="B1661">
        <v>49</v>
      </c>
      <c r="C1661" t="s">
        <v>57</v>
      </c>
      <c r="D1661">
        <v>56</v>
      </c>
      <c r="E1661" t="s">
        <v>3311</v>
      </c>
      <c r="F1661" t="s">
        <v>5325</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4" customHeight="1">
      <c r="A1662" t="s">
        <v>376</v>
      </c>
      <c r="B1662">
        <v>50</v>
      </c>
      <c r="C1662" t="s">
        <v>57</v>
      </c>
      <c r="D1662">
        <v>57</v>
      </c>
      <c r="E1662" t="s">
        <v>3311</v>
      </c>
      <c r="F1662" t="s">
        <v>5325</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4" customHeight="1">
      <c r="A1663" t="s">
        <v>376</v>
      </c>
      <c r="B1663">
        <v>51</v>
      </c>
      <c r="C1663" t="s">
        <v>57</v>
      </c>
      <c r="D1663">
        <v>58</v>
      </c>
      <c r="E1663" t="s">
        <v>3324</v>
      </c>
      <c r="F1663" t="s">
        <v>5322</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4" customHeight="1">
      <c r="A1664" t="s">
        <v>376</v>
      </c>
      <c r="B1664">
        <v>52</v>
      </c>
      <c r="C1664" t="s">
        <v>57</v>
      </c>
      <c r="D1664">
        <v>59</v>
      </c>
      <c r="E1664" t="s">
        <v>3324</v>
      </c>
      <c r="F1664" t="s">
        <v>5323</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4" customHeight="1">
      <c r="A1665" t="s">
        <v>376</v>
      </c>
      <c r="B1665">
        <v>53</v>
      </c>
      <c r="C1665" t="s">
        <v>57</v>
      </c>
      <c r="D1665">
        <v>60</v>
      </c>
      <c r="E1665" t="s">
        <v>3324</v>
      </c>
      <c r="F1665" t="s">
        <v>5324</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4" customHeight="1">
      <c r="A1666" t="s">
        <v>376</v>
      </c>
      <c r="B1666">
        <v>54</v>
      </c>
      <c r="C1666" t="s">
        <v>57</v>
      </c>
      <c r="D1666">
        <v>61</v>
      </c>
      <c r="E1666" t="s">
        <v>3324</v>
      </c>
      <c r="F1666" t="s">
        <v>5324</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4" customHeight="1">
      <c r="A1667" t="s">
        <v>376</v>
      </c>
      <c r="B1667">
        <v>55</v>
      </c>
      <c r="C1667" t="s">
        <v>57</v>
      </c>
      <c r="D1667">
        <v>62</v>
      </c>
      <c r="E1667" t="s">
        <v>3324</v>
      </c>
      <c r="F1667" t="s">
        <v>5324</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4" customHeight="1">
      <c r="A1668" t="s">
        <v>376</v>
      </c>
      <c r="B1668">
        <v>56</v>
      </c>
      <c r="C1668" t="s">
        <v>57</v>
      </c>
      <c r="D1668">
        <v>63</v>
      </c>
      <c r="E1668" t="s">
        <v>3324</v>
      </c>
      <c r="F1668" t="s">
        <v>5324</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4" customHeight="1">
      <c r="A1669" t="s">
        <v>376</v>
      </c>
      <c r="B1669">
        <v>57</v>
      </c>
      <c r="C1669" t="s">
        <v>57</v>
      </c>
      <c r="D1669">
        <v>64</v>
      </c>
      <c r="E1669" t="s">
        <v>3324</v>
      </c>
      <c r="F1669" t="s">
        <v>5325</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4" customHeight="1">
      <c r="A1670" t="s">
        <v>376</v>
      </c>
      <c r="B1670">
        <v>58</v>
      </c>
      <c r="C1670" t="s">
        <v>57</v>
      </c>
      <c r="D1670">
        <v>65</v>
      </c>
      <c r="E1670" t="s">
        <v>3324</v>
      </c>
      <c r="F1670" t="s">
        <v>5325</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4" customHeight="1">
      <c r="A1671" t="s">
        <v>376</v>
      </c>
      <c r="B1671">
        <v>59</v>
      </c>
      <c r="C1671" t="s">
        <v>57</v>
      </c>
      <c r="D1671">
        <v>66</v>
      </c>
      <c r="E1671" t="s">
        <v>3340</v>
      </c>
      <c r="F1671" t="s">
        <v>5322</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4" customHeight="1">
      <c r="A1672" t="s">
        <v>376</v>
      </c>
      <c r="B1672">
        <v>60</v>
      </c>
      <c r="C1672" t="s">
        <v>57</v>
      </c>
      <c r="D1672">
        <v>67</v>
      </c>
      <c r="E1672" t="s">
        <v>3340</v>
      </c>
      <c r="F1672" t="s">
        <v>5323</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4" customHeight="1">
      <c r="A1673" t="s">
        <v>376</v>
      </c>
      <c r="B1673">
        <v>61</v>
      </c>
      <c r="C1673" t="s">
        <v>57</v>
      </c>
      <c r="D1673">
        <v>68</v>
      </c>
      <c r="E1673" t="s">
        <v>3340</v>
      </c>
      <c r="F1673" t="s">
        <v>5324</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4" customHeight="1">
      <c r="A1674" t="s">
        <v>376</v>
      </c>
      <c r="B1674">
        <v>62</v>
      </c>
      <c r="C1674" t="s">
        <v>57</v>
      </c>
      <c r="D1674">
        <v>69</v>
      </c>
      <c r="E1674" t="s">
        <v>3340</v>
      </c>
      <c r="F1674" t="s">
        <v>5324</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4" customHeight="1">
      <c r="A1675" t="s">
        <v>376</v>
      </c>
      <c r="B1675">
        <v>63</v>
      </c>
      <c r="C1675" t="s">
        <v>57</v>
      </c>
      <c r="D1675">
        <v>70</v>
      </c>
      <c r="E1675" t="s">
        <v>3340</v>
      </c>
      <c r="F1675" t="s">
        <v>5324</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4" customHeight="1">
      <c r="A1676" t="s">
        <v>376</v>
      </c>
      <c r="B1676">
        <v>64</v>
      </c>
      <c r="C1676" t="s">
        <v>57</v>
      </c>
      <c r="D1676">
        <v>71</v>
      </c>
      <c r="E1676" t="s">
        <v>3340</v>
      </c>
      <c r="F1676" t="s">
        <v>5324</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4" customHeight="1">
      <c r="A1677" t="s">
        <v>376</v>
      </c>
      <c r="B1677">
        <v>65</v>
      </c>
      <c r="C1677" t="s">
        <v>57</v>
      </c>
      <c r="D1677">
        <v>72</v>
      </c>
      <c r="E1677" t="s">
        <v>3340</v>
      </c>
      <c r="F1677" t="s">
        <v>5325</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4" customHeight="1">
      <c r="A1678" t="s">
        <v>376</v>
      </c>
      <c r="B1678">
        <v>66</v>
      </c>
      <c r="C1678" t="s">
        <v>57</v>
      </c>
      <c r="D1678">
        <v>73</v>
      </c>
      <c r="E1678" t="s">
        <v>3340</v>
      </c>
      <c r="F1678" t="s">
        <v>5325</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4" customHeight="1">
      <c r="A1679" t="s">
        <v>376</v>
      </c>
      <c r="B1679">
        <v>67</v>
      </c>
      <c r="C1679" t="s">
        <v>57</v>
      </c>
      <c r="D1679">
        <v>74</v>
      </c>
      <c r="E1679" t="s">
        <v>3347</v>
      </c>
      <c r="F1679" t="s">
        <v>5322</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4" customHeight="1">
      <c r="A1680" t="s">
        <v>376</v>
      </c>
      <c r="B1680">
        <v>68</v>
      </c>
      <c r="C1680" t="s">
        <v>57</v>
      </c>
      <c r="D1680">
        <v>75</v>
      </c>
      <c r="E1680" t="s">
        <v>3347</v>
      </c>
      <c r="F1680" t="s">
        <v>5323</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4" customHeight="1">
      <c r="A1681" t="s">
        <v>376</v>
      </c>
      <c r="B1681">
        <v>69</v>
      </c>
      <c r="C1681" t="s">
        <v>57</v>
      </c>
      <c r="D1681">
        <v>76</v>
      </c>
      <c r="E1681" t="s">
        <v>3347</v>
      </c>
      <c r="F1681" t="s">
        <v>5324</v>
      </c>
      <c r="G1681" t="str">
        <f>B62_TR_Assessment!A76</f>
        <v>B24A</v>
      </c>
      <c r="H1681" s="153">
        <f>B62_TR_Assessment!B76</f>
        <v>0.5</v>
      </c>
      <c r="I1681" s="153">
        <f>B62_TR_Assessment!C76</f>
        <v>0.5</v>
      </c>
      <c r="J1681" s="153">
        <f>B62_TR_Assessment!D76</f>
        <v>0.5</v>
      </c>
      <c r="K1681" s="153">
        <f>B62_TR_Assessment!E76</f>
        <v>0.5</v>
      </c>
      <c r="L1681" s="153">
        <f>B62_TR_Assessment!F76</f>
        <v>0.5</v>
      </c>
      <c r="M1681" t="str">
        <f>B62_TR_Assessment!G76</f>
        <v>Verify</v>
      </c>
      <c r="N1681" s="153">
        <f>B62_TR_Assessment!H76</f>
        <v>0.5</v>
      </c>
      <c r="O1681" t="str">
        <f>B62_TR_Assessment!I76</f>
        <v>Partial / Yellow</v>
      </c>
      <c r="P1681">
        <f>B62_TR_Assessment!J76</f>
        <v>0</v>
      </c>
      <c r="Q1681" t="str">
        <f t="shared" si="26"/>
        <v>62|69</v>
      </c>
    </row>
    <row r="1682" spans="1:17" ht="6.4" customHeight="1">
      <c r="A1682" t="s">
        <v>376</v>
      </c>
      <c r="B1682">
        <v>70</v>
      </c>
      <c r="C1682" t="s">
        <v>57</v>
      </c>
      <c r="D1682">
        <v>77</v>
      </c>
      <c r="E1682" t="s">
        <v>3347</v>
      </c>
      <c r="F1682" t="s">
        <v>5324</v>
      </c>
      <c r="G1682" t="str">
        <f>B62_TR_Assessment!A77</f>
        <v>125</v>
      </c>
      <c r="H1682" s="153">
        <f>B62_TR_Assessment!B77</f>
        <v>0.5</v>
      </c>
      <c r="I1682" s="153">
        <f>B62_TR_Assessment!C77</f>
        <v>0.5</v>
      </c>
      <c r="J1682" s="153">
        <f>B62_TR_Assessment!D77</f>
        <v>0.5</v>
      </c>
      <c r="K1682" s="153">
        <f>B62_TR_Assessment!E77</f>
        <v>0.5</v>
      </c>
      <c r="L1682" s="153">
        <f>B62_TR_Assessment!F77</f>
        <v>0.5</v>
      </c>
      <c r="M1682" t="str">
        <f>B62_TR_Assessment!G77</f>
        <v>Verify</v>
      </c>
      <c r="N1682" s="153">
        <f>B62_TR_Assessment!H77</f>
        <v>0.5</v>
      </c>
      <c r="O1682" t="str">
        <f>B62_TR_Assessment!I77</f>
        <v>Partial / Yellow</v>
      </c>
      <c r="P1682">
        <f>B62_TR_Assessment!J77</f>
        <v>0</v>
      </c>
      <c r="Q1682" t="str">
        <f t="shared" si="26"/>
        <v>62|70</v>
      </c>
    </row>
    <row r="1683" spans="1:17" ht="6.4" customHeight="1">
      <c r="A1683" t="s">
        <v>376</v>
      </c>
      <c r="B1683">
        <v>71</v>
      </c>
      <c r="C1683" t="s">
        <v>57</v>
      </c>
      <c r="D1683">
        <v>78</v>
      </c>
      <c r="E1683" t="s">
        <v>3347</v>
      </c>
      <c r="F1683" t="s">
        <v>5324</v>
      </c>
      <c r="G1683" t="str">
        <f>B62_TR_Assessment!A78</f>
        <v>225</v>
      </c>
      <c r="H1683" s="153">
        <f>B62_TR_Assessment!B78</f>
        <v>0.5</v>
      </c>
      <c r="I1683" s="153">
        <f>B62_TR_Assessment!C78</f>
        <v>0.5</v>
      </c>
      <c r="J1683" s="153">
        <f>B62_TR_Assessment!D78</f>
        <v>0.5</v>
      </c>
      <c r="K1683" s="153">
        <f>B62_TR_Assessment!E78</f>
        <v>0.5</v>
      </c>
      <c r="L1683" s="153">
        <f>B62_TR_Assessment!F78</f>
        <v>0.5</v>
      </c>
      <c r="M1683" t="str">
        <f>B62_TR_Assessment!G78</f>
        <v>Verify</v>
      </c>
      <c r="N1683" s="153">
        <f>B62_TR_Assessment!H78</f>
        <v>0.5</v>
      </c>
      <c r="O1683" t="str">
        <f>B62_TR_Assessment!I78</f>
        <v>Partial / Yellow</v>
      </c>
      <c r="P1683">
        <f>B62_TR_Assessment!J78</f>
        <v>0</v>
      </c>
      <c r="Q1683" t="str">
        <f t="shared" si="26"/>
        <v>62|71</v>
      </c>
    </row>
    <row r="1684" spans="1:17" ht="6.4" customHeight="1">
      <c r="A1684" t="s">
        <v>376</v>
      </c>
      <c r="B1684">
        <v>72</v>
      </c>
      <c r="C1684" t="s">
        <v>57</v>
      </c>
      <c r="D1684">
        <v>79</v>
      </c>
      <c r="E1684" t="s">
        <v>3347</v>
      </c>
      <c r="F1684" t="s">
        <v>5325</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4" customHeight="1">
      <c r="A1685" t="s">
        <v>376</v>
      </c>
      <c r="B1685">
        <v>73</v>
      </c>
      <c r="C1685" t="s">
        <v>57</v>
      </c>
      <c r="D1685">
        <v>80</v>
      </c>
      <c r="E1685" t="s">
        <v>3347</v>
      </c>
      <c r="F1685" t="s">
        <v>5325</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4" customHeight="1">
      <c r="A1686" t="s">
        <v>379</v>
      </c>
      <c r="B1686">
        <v>1</v>
      </c>
      <c r="C1686" t="s">
        <v>59</v>
      </c>
      <c r="D1686">
        <v>8</v>
      </c>
      <c r="E1686" t="s">
        <v>918</v>
      </c>
      <c r="F1686" t="s">
        <v>5322</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4" customHeight="1">
      <c r="A1687" t="s">
        <v>379</v>
      </c>
      <c r="B1687">
        <v>2</v>
      </c>
      <c r="C1687" t="s">
        <v>59</v>
      </c>
      <c r="D1687">
        <v>9</v>
      </c>
      <c r="E1687" t="s">
        <v>918</v>
      </c>
      <c r="F1687" t="s">
        <v>5323</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4" customHeight="1">
      <c r="A1688" t="s">
        <v>379</v>
      </c>
      <c r="B1688">
        <v>3</v>
      </c>
      <c r="C1688" t="s">
        <v>59</v>
      </c>
      <c r="D1688">
        <v>10</v>
      </c>
      <c r="E1688" t="s">
        <v>918</v>
      </c>
      <c r="F1688" t="s">
        <v>5324</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4" customHeight="1">
      <c r="A1689" t="s">
        <v>379</v>
      </c>
      <c r="B1689">
        <v>4</v>
      </c>
      <c r="C1689" t="s">
        <v>59</v>
      </c>
      <c r="D1689">
        <v>11</v>
      </c>
      <c r="E1689" t="s">
        <v>918</v>
      </c>
      <c r="F1689" t="s">
        <v>5324</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4" customHeight="1">
      <c r="A1690" t="s">
        <v>379</v>
      </c>
      <c r="B1690">
        <v>5</v>
      </c>
      <c r="C1690" t="s">
        <v>59</v>
      </c>
      <c r="D1690">
        <v>12</v>
      </c>
      <c r="E1690" t="s">
        <v>918</v>
      </c>
      <c r="F1690" t="s">
        <v>5324</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4" customHeight="1">
      <c r="A1691" t="s">
        <v>379</v>
      </c>
      <c r="B1691">
        <v>6</v>
      </c>
      <c r="C1691" t="s">
        <v>59</v>
      </c>
      <c r="D1691">
        <v>13</v>
      </c>
      <c r="E1691" t="s">
        <v>918</v>
      </c>
      <c r="F1691" t="s">
        <v>5325</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4" customHeight="1">
      <c r="A1692" t="s">
        <v>379</v>
      </c>
      <c r="B1692">
        <v>7</v>
      </c>
      <c r="C1692" t="s">
        <v>59</v>
      </c>
      <c r="D1692">
        <v>14</v>
      </c>
      <c r="E1692" t="s">
        <v>918</v>
      </c>
      <c r="F1692" t="s">
        <v>5325</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4" customHeight="1">
      <c r="A1693" t="s">
        <v>379</v>
      </c>
      <c r="B1693">
        <v>8</v>
      </c>
      <c r="C1693" t="s">
        <v>59</v>
      </c>
      <c r="D1693">
        <v>15</v>
      </c>
      <c r="E1693" t="s">
        <v>936</v>
      </c>
      <c r="F1693" t="s">
        <v>5322</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4" customHeight="1">
      <c r="A1694" t="s">
        <v>379</v>
      </c>
      <c r="B1694">
        <v>9</v>
      </c>
      <c r="C1694" t="s">
        <v>59</v>
      </c>
      <c r="D1694">
        <v>16</v>
      </c>
      <c r="E1694" t="s">
        <v>936</v>
      </c>
      <c r="F1694" t="s">
        <v>5323</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4" customHeight="1">
      <c r="A1695" t="s">
        <v>379</v>
      </c>
      <c r="B1695">
        <v>10</v>
      </c>
      <c r="C1695" t="s">
        <v>59</v>
      </c>
      <c r="D1695">
        <v>17</v>
      </c>
      <c r="E1695" t="s">
        <v>936</v>
      </c>
      <c r="F1695" t="s">
        <v>5324</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4" customHeight="1">
      <c r="A1696" t="s">
        <v>379</v>
      </c>
      <c r="B1696">
        <v>11</v>
      </c>
      <c r="C1696" t="s">
        <v>59</v>
      </c>
      <c r="D1696">
        <v>18</v>
      </c>
      <c r="E1696" t="s">
        <v>936</v>
      </c>
      <c r="F1696" t="s">
        <v>5324</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4" customHeight="1">
      <c r="A1697" t="s">
        <v>379</v>
      </c>
      <c r="B1697">
        <v>12</v>
      </c>
      <c r="C1697" t="s">
        <v>59</v>
      </c>
      <c r="D1697">
        <v>19</v>
      </c>
      <c r="E1697" t="s">
        <v>936</v>
      </c>
      <c r="F1697" t="s">
        <v>5324</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4" customHeight="1">
      <c r="A1698" t="s">
        <v>379</v>
      </c>
      <c r="B1698">
        <v>13</v>
      </c>
      <c r="C1698" t="s">
        <v>59</v>
      </c>
      <c r="D1698">
        <v>20</v>
      </c>
      <c r="E1698" t="s">
        <v>936</v>
      </c>
      <c r="F1698" t="s">
        <v>5325</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4" customHeight="1">
      <c r="A1699" t="s">
        <v>379</v>
      </c>
      <c r="B1699">
        <v>14</v>
      </c>
      <c r="C1699" t="s">
        <v>59</v>
      </c>
      <c r="D1699">
        <v>21</v>
      </c>
      <c r="E1699" t="s">
        <v>936</v>
      </c>
      <c r="F1699" t="s">
        <v>5325</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4" customHeight="1">
      <c r="A1700" t="s">
        <v>379</v>
      </c>
      <c r="B1700">
        <v>15</v>
      </c>
      <c r="C1700" t="s">
        <v>59</v>
      </c>
      <c r="D1700">
        <v>22</v>
      </c>
      <c r="E1700" t="s">
        <v>951</v>
      </c>
      <c r="F1700" t="s">
        <v>5322</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4" customHeight="1">
      <c r="A1701" t="s">
        <v>379</v>
      </c>
      <c r="B1701">
        <v>16</v>
      </c>
      <c r="C1701" t="s">
        <v>59</v>
      </c>
      <c r="D1701">
        <v>23</v>
      </c>
      <c r="E1701" t="s">
        <v>951</v>
      </c>
      <c r="F1701" t="s">
        <v>5323</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4" customHeight="1">
      <c r="A1702" t="s">
        <v>379</v>
      </c>
      <c r="B1702">
        <v>17</v>
      </c>
      <c r="C1702" t="s">
        <v>59</v>
      </c>
      <c r="D1702">
        <v>24</v>
      </c>
      <c r="E1702" t="s">
        <v>951</v>
      </c>
      <c r="F1702" t="s">
        <v>5324</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4" customHeight="1">
      <c r="A1703" t="s">
        <v>379</v>
      </c>
      <c r="B1703">
        <v>18</v>
      </c>
      <c r="C1703" t="s">
        <v>59</v>
      </c>
      <c r="D1703">
        <v>25</v>
      </c>
      <c r="E1703" t="s">
        <v>951</v>
      </c>
      <c r="F1703" t="s">
        <v>5324</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4" customHeight="1">
      <c r="A1704" t="s">
        <v>379</v>
      </c>
      <c r="B1704">
        <v>19</v>
      </c>
      <c r="C1704" t="s">
        <v>59</v>
      </c>
      <c r="D1704">
        <v>26</v>
      </c>
      <c r="E1704" t="s">
        <v>951</v>
      </c>
      <c r="F1704" t="s">
        <v>5324</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4" customHeight="1">
      <c r="A1705" t="s">
        <v>379</v>
      </c>
      <c r="B1705">
        <v>20</v>
      </c>
      <c r="C1705" t="s">
        <v>59</v>
      </c>
      <c r="D1705">
        <v>27</v>
      </c>
      <c r="E1705" t="s">
        <v>951</v>
      </c>
      <c r="F1705" t="s">
        <v>5325</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4" customHeight="1">
      <c r="A1706" t="s">
        <v>379</v>
      </c>
      <c r="B1706">
        <v>21</v>
      </c>
      <c r="C1706" t="s">
        <v>59</v>
      </c>
      <c r="D1706">
        <v>28</v>
      </c>
      <c r="E1706" t="s">
        <v>951</v>
      </c>
      <c r="F1706" t="s">
        <v>5325</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4" customHeight="1">
      <c r="A1707" t="s">
        <v>379</v>
      </c>
      <c r="B1707">
        <v>22</v>
      </c>
      <c r="C1707" t="s">
        <v>59</v>
      </c>
      <c r="D1707">
        <v>29</v>
      </c>
      <c r="E1707" t="s">
        <v>964</v>
      </c>
      <c r="F1707" t="s">
        <v>5322</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4" customHeight="1">
      <c r="A1708" t="s">
        <v>379</v>
      </c>
      <c r="B1708">
        <v>23</v>
      </c>
      <c r="C1708" t="s">
        <v>59</v>
      </c>
      <c r="D1708">
        <v>30</v>
      </c>
      <c r="E1708" t="s">
        <v>964</v>
      </c>
      <c r="F1708" t="s">
        <v>5323</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4" customHeight="1">
      <c r="A1709" t="s">
        <v>379</v>
      </c>
      <c r="B1709">
        <v>24</v>
      </c>
      <c r="C1709" t="s">
        <v>59</v>
      </c>
      <c r="D1709">
        <v>31</v>
      </c>
      <c r="E1709" t="s">
        <v>964</v>
      </c>
      <c r="F1709" t="s">
        <v>5324</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4" customHeight="1">
      <c r="A1710" t="s">
        <v>379</v>
      </c>
      <c r="B1710">
        <v>25</v>
      </c>
      <c r="C1710" t="s">
        <v>59</v>
      </c>
      <c r="D1710">
        <v>32</v>
      </c>
      <c r="E1710" t="s">
        <v>964</v>
      </c>
      <c r="F1710" t="s">
        <v>5324</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4" customHeight="1">
      <c r="A1711" t="s">
        <v>379</v>
      </c>
      <c r="B1711">
        <v>26</v>
      </c>
      <c r="C1711" t="s">
        <v>59</v>
      </c>
      <c r="D1711">
        <v>33</v>
      </c>
      <c r="E1711" t="s">
        <v>964</v>
      </c>
      <c r="F1711" t="s">
        <v>5324</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4" customHeight="1">
      <c r="A1712" t="s">
        <v>379</v>
      </c>
      <c r="B1712">
        <v>27</v>
      </c>
      <c r="C1712" t="s">
        <v>59</v>
      </c>
      <c r="D1712">
        <v>34</v>
      </c>
      <c r="E1712" t="s">
        <v>964</v>
      </c>
      <c r="F1712" t="s">
        <v>5325</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4" customHeight="1">
      <c r="A1713" t="s">
        <v>379</v>
      </c>
      <c r="B1713">
        <v>28</v>
      </c>
      <c r="C1713" t="s">
        <v>59</v>
      </c>
      <c r="D1713">
        <v>35</v>
      </c>
      <c r="E1713" t="s">
        <v>964</v>
      </c>
      <c r="F1713" t="s">
        <v>5325</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4" customHeight="1">
      <c r="A1714" t="s">
        <v>379</v>
      </c>
      <c r="B1714">
        <v>29</v>
      </c>
      <c r="C1714" t="s">
        <v>59</v>
      </c>
      <c r="D1714">
        <v>36</v>
      </c>
      <c r="E1714" t="s">
        <v>977</v>
      </c>
      <c r="F1714" t="s">
        <v>5322</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4" customHeight="1">
      <c r="A1715" t="s">
        <v>379</v>
      </c>
      <c r="B1715">
        <v>30</v>
      </c>
      <c r="C1715" t="s">
        <v>59</v>
      </c>
      <c r="D1715">
        <v>37</v>
      </c>
      <c r="E1715" t="s">
        <v>977</v>
      </c>
      <c r="F1715" t="s">
        <v>5323</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4" customHeight="1">
      <c r="A1716" t="s">
        <v>379</v>
      </c>
      <c r="B1716">
        <v>31</v>
      </c>
      <c r="C1716" t="s">
        <v>59</v>
      </c>
      <c r="D1716">
        <v>38</v>
      </c>
      <c r="E1716" t="s">
        <v>977</v>
      </c>
      <c r="F1716" t="s">
        <v>5324</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4" customHeight="1">
      <c r="A1717" t="s">
        <v>379</v>
      </c>
      <c r="B1717">
        <v>32</v>
      </c>
      <c r="C1717" t="s">
        <v>59</v>
      </c>
      <c r="D1717">
        <v>39</v>
      </c>
      <c r="E1717" t="s">
        <v>977</v>
      </c>
      <c r="F1717" t="s">
        <v>5324</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4" customHeight="1">
      <c r="A1718" t="s">
        <v>379</v>
      </c>
      <c r="B1718">
        <v>33</v>
      </c>
      <c r="C1718" t="s">
        <v>59</v>
      </c>
      <c r="D1718">
        <v>40</v>
      </c>
      <c r="E1718" t="s">
        <v>977</v>
      </c>
      <c r="F1718" t="s">
        <v>5324</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4" customHeight="1">
      <c r="A1719" t="s">
        <v>379</v>
      </c>
      <c r="B1719">
        <v>34</v>
      </c>
      <c r="C1719" t="s">
        <v>59</v>
      </c>
      <c r="D1719">
        <v>41</v>
      </c>
      <c r="E1719" t="s">
        <v>977</v>
      </c>
      <c r="F1719" t="s">
        <v>5325</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4" customHeight="1">
      <c r="A1720" t="s">
        <v>379</v>
      </c>
      <c r="B1720">
        <v>35</v>
      </c>
      <c r="C1720" t="s">
        <v>59</v>
      </c>
      <c r="D1720">
        <v>42</v>
      </c>
      <c r="E1720" t="s">
        <v>977</v>
      </c>
      <c r="F1720" t="s">
        <v>5325</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4" customHeight="1">
      <c r="A1721" t="s">
        <v>379</v>
      </c>
      <c r="B1721">
        <v>36</v>
      </c>
      <c r="C1721" t="s">
        <v>59</v>
      </c>
      <c r="D1721">
        <v>43</v>
      </c>
      <c r="E1721" t="s">
        <v>3310</v>
      </c>
      <c r="F1721" t="s">
        <v>5322</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4" customHeight="1">
      <c r="A1722" t="s">
        <v>379</v>
      </c>
      <c r="B1722">
        <v>37</v>
      </c>
      <c r="C1722" t="s">
        <v>59</v>
      </c>
      <c r="D1722">
        <v>44</v>
      </c>
      <c r="E1722" t="s">
        <v>3310</v>
      </c>
      <c r="F1722" t="s">
        <v>5323</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4" customHeight="1">
      <c r="A1723" t="s">
        <v>379</v>
      </c>
      <c r="B1723">
        <v>38</v>
      </c>
      <c r="C1723" t="s">
        <v>59</v>
      </c>
      <c r="D1723">
        <v>45</v>
      </c>
      <c r="E1723" t="s">
        <v>3310</v>
      </c>
      <c r="F1723" t="s">
        <v>5324</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4" customHeight="1">
      <c r="A1724" t="s">
        <v>379</v>
      </c>
      <c r="B1724">
        <v>39</v>
      </c>
      <c r="C1724" t="s">
        <v>59</v>
      </c>
      <c r="D1724">
        <v>46</v>
      </c>
      <c r="E1724" t="s">
        <v>3310</v>
      </c>
      <c r="F1724" t="s">
        <v>5324</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4" customHeight="1">
      <c r="A1725" t="s">
        <v>379</v>
      </c>
      <c r="B1725">
        <v>40</v>
      </c>
      <c r="C1725" t="s">
        <v>59</v>
      </c>
      <c r="D1725">
        <v>47</v>
      </c>
      <c r="E1725" t="s">
        <v>3310</v>
      </c>
      <c r="F1725" t="s">
        <v>5324</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4" customHeight="1">
      <c r="A1726" t="s">
        <v>379</v>
      </c>
      <c r="B1726">
        <v>41</v>
      </c>
      <c r="C1726" t="s">
        <v>59</v>
      </c>
      <c r="D1726">
        <v>48</v>
      </c>
      <c r="E1726" t="s">
        <v>3310</v>
      </c>
      <c r="F1726" t="s">
        <v>5325</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4" customHeight="1">
      <c r="A1727" t="s">
        <v>379</v>
      </c>
      <c r="B1727">
        <v>42</v>
      </c>
      <c r="C1727" t="s">
        <v>59</v>
      </c>
      <c r="D1727">
        <v>49</v>
      </c>
      <c r="E1727" t="s">
        <v>3310</v>
      </c>
      <c r="F1727" t="s">
        <v>5325</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4" customHeight="1">
      <c r="A1728" t="s">
        <v>379</v>
      </c>
      <c r="B1728">
        <v>43</v>
      </c>
      <c r="C1728" t="s">
        <v>59</v>
      </c>
      <c r="D1728">
        <v>50</v>
      </c>
      <c r="E1728" t="s">
        <v>3311</v>
      </c>
      <c r="F1728" t="s">
        <v>5322</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4" customHeight="1">
      <c r="A1729" t="s">
        <v>379</v>
      </c>
      <c r="B1729">
        <v>44</v>
      </c>
      <c r="C1729" t="s">
        <v>59</v>
      </c>
      <c r="D1729">
        <v>51</v>
      </c>
      <c r="E1729" t="s">
        <v>3311</v>
      </c>
      <c r="F1729" t="s">
        <v>5323</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4" customHeight="1">
      <c r="A1730" t="s">
        <v>379</v>
      </c>
      <c r="B1730">
        <v>45</v>
      </c>
      <c r="C1730" t="s">
        <v>59</v>
      </c>
      <c r="D1730">
        <v>52</v>
      </c>
      <c r="E1730" t="s">
        <v>3311</v>
      </c>
      <c r="F1730" t="s">
        <v>5324</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4" customHeight="1">
      <c r="A1731" t="s">
        <v>379</v>
      </c>
      <c r="B1731">
        <v>46</v>
      </c>
      <c r="C1731" t="s">
        <v>59</v>
      </c>
      <c r="D1731">
        <v>53</v>
      </c>
      <c r="E1731" t="s">
        <v>3311</v>
      </c>
      <c r="F1731" t="s">
        <v>5324</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4" customHeight="1">
      <c r="A1732" t="s">
        <v>379</v>
      </c>
      <c r="B1732">
        <v>47</v>
      </c>
      <c r="C1732" t="s">
        <v>59</v>
      </c>
      <c r="D1732">
        <v>54</v>
      </c>
      <c r="E1732" t="s">
        <v>3311</v>
      </c>
      <c r="F1732" t="s">
        <v>5324</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4" customHeight="1">
      <c r="A1733" t="s">
        <v>379</v>
      </c>
      <c r="B1733">
        <v>48</v>
      </c>
      <c r="C1733" t="s">
        <v>59</v>
      </c>
      <c r="D1733">
        <v>55</v>
      </c>
      <c r="E1733" t="s">
        <v>3311</v>
      </c>
      <c r="F1733" t="s">
        <v>5324</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4" customHeight="1">
      <c r="A1734" t="s">
        <v>379</v>
      </c>
      <c r="B1734">
        <v>49</v>
      </c>
      <c r="C1734" t="s">
        <v>59</v>
      </c>
      <c r="D1734">
        <v>56</v>
      </c>
      <c r="E1734" t="s">
        <v>3311</v>
      </c>
      <c r="F1734" t="s">
        <v>5324</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4" customHeight="1">
      <c r="A1735" t="s">
        <v>379</v>
      </c>
      <c r="B1735">
        <v>50</v>
      </c>
      <c r="C1735" t="s">
        <v>59</v>
      </c>
      <c r="D1735">
        <v>57</v>
      </c>
      <c r="E1735" t="s">
        <v>3311</v>
      </c>
      <c r="F1735" t="s">
        <v>5325</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4" customHeight="1">
      <c r="A1736" t="s">
        <v>379</v>
      </c>
      <c r="B1736">
        <v>51</v>
      </c>
      <c r="C1736" t="s">
        <v>59</v>
      </c>
      <c r="D1736">
        <v>58</v>
      </c>
      <c r="E1736" t="s">
        <v>3311</v>
      </c>
      <c r="F1736" t="s">
        <v>5325</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4" customHeight="1">
      <c r="A1737" t="s">
        <v>379</v>
      </c>
      <c r="B1737">
        <v>52</v>
      </c>
      <c r="C1737" t="s">
        <v>59</v>
      </c>
      <c r="D1737">
        <v>59</v>
      </c>
      <c r="E1737" t="s">
        <v>3324</v>
      </c>
      <c r="F1737" t="s">
        <v>5322</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4" customHeight="1">
      <c r="A1738" t="s">
        <v>379</v>
      </c>
      <c r="B1738">
        <v>53</v>
      </c>
      <c r="C1738" t="s">
        <v>59</v>
      </c>
      <c r="D1738">
        <v>60</v>
      </c>
      <c r="E1738" t="s">
        <v>3324</v>
      </c>
      <c r="F1738" t="s">
        <v>5323</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4" customHeight="1">
      <c r="A1739" t="s">
        <v>379</v>
      </c>
      <c r="B1739">
        <v>54</v>
      </c>
      <c r="C1739" t="s">
        <v>59</v>
      </c>
      <c r="D1739">
        <v>61</v>
      </c>
      <c r="E1739" t="s">
        <v>3324</v>
      </c>
      <c r="F1739" t="s">
        <v>5324</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4" customHeight="1">
      <c r="A1740" t="s">
        <v>379</v>
      </c>
      <c r="B1740">
        <v>55</v>
      </c>
      <c r="C1740" t="s">
        <v>59</v>
      </c>
      <c r="D1740">
        <v>62</v>
      </c>
      <c r="E1740" t="s">
        <v>3324</v>
      </c>
      <c r="F1740" t="s">
        <v>5324</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4" customHeight="1">
      <c r="A1741" t="s">
        <v>379</v>
      </c>
      <c r="B1741">
        <v>56</v>
      </c>
      <c r="C1741" t="s">
        <v>59</v>
      </c>
      <c r="D1741">
        <v>63</v>
      </c>
      <c r="E1741" t="s">
        <v>3324</v>
      </c>
      <c r="F1741" t="s">
        <v>5324</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4" customHeight="1">
      <c r="A1742" t="s">
        <v>379</v>
      </c>
      <c r="B1742">
        <v>57</v>
      </c>
      <c r="C1742" t="s">
        <v>59</v>
      </c>
      <c r="D1742">
        <v>64</v>
      </c>
      <c r="E1742" t="s">
        <v>3324</v>
      </c>
      <c r="F1742" t="s">
        <v>5324</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4" customHeight="1">
      <c r="A1743" t="s">
        <v>379</v>
      </c>
      <c r="B1743">
        <v>58</v>
      </c>
      <c r="C1743" t="s">
        <v>59</v>
      </c>
      <c r="D1743">
        <v>65</v>
      </c>
      <c r="E1743" t="s">
        <v>3324</v>
      </c>
      <c r="F1743" t="s">
        <v>5324</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4" customHeight="1">
      <c r="A1744" t="s">
        <v>379</v>
      </c>
      <c r="B1744">
        <v>59</v>
      </c>
      <c r="C1744" t="s">
        <v>59</v>
      </c>
      <c r="D1744">
        <v>66</v>
      </c>
      <c r="E1744" t="s">
        <v>3324</v>
      </c>
      <c r="F1744" t="s">
        <v>5325</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4" customHeight="1">
      <c r="A1745" t="s">
        <v>379</v>
      </c>
      <c r="B1745">
        <v>60</v>
      </c>
      <c r="C1745" t="s">
        <v>59</v>
      </c>
      <c r="D1745">
        <v>67</v>
      </c>
      <c r="E1745" t="s">
        <v>3324</v>
      </c>
      <c r="F1745" t="s">
        <v>5325</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4" customHeight="1">
      <c r="A1746" t="s">
        <v>379</v>
      </c>
      <c r="B1746">
        <v>61</v>
      </c>
      <c r="C1746" t="s">
        <v>59</v>
      </c>
      <c r="D1746">
        <v>68</v>
      </c>
      <c r="E1746" t="s">
        <v>3340</v>
      </c>
      <c r="F1746" t="s">
        <v>5322</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4" customHeight="1">
      <c r="A1747" t="s">
        <v>379</v>
      </c>
      <c r="B1747">
        <v>62</v>
      </c>
      <c r="C1747" t="s">
        <v>59</v>
      </c>
      <c r="D1747">
        <v>69</v>
      </c>
      <c r="E1747" t="s">
        <v>3340</v>
      </c>
      <c r="F1747" t="s">
        <v>5323</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4" customHeight="1">
      <c r="A1748" t="s">
        <v>379</v>
      </c>
      <c r="B1748">
        <v>63</v>
      </c>
      <c r="C1748" t="s">
        <v>59</v>
      </c>
      <c r="D1748">
        <v>70</v>
      </c>
      <c r="E1748" t="s">
        <v>3340</v>
      </c>
      <c r="F1748" t="s">
        <v>5324</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4" customHeight="1">
      <c r="A1749" t="s">
        <v>379</v>
      </c>
      <c r="B1749">
        <v>64</v>
      </c>
      <c r="C1749" t="s">
        <v>59</v>
      </c>
      <c r="D1749">
        <v>71</v>
      </c>
      <c r="E1749" t="s">
        <v>3340</v>
      </c>
      <c r="F1749" t="s">
        <v>5324</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4" customHeight="1">
      <c r="A1750" t="s">
        <v>379</v>
      </c>
      <c r="B1750">
        <v>65</v>
      </c>
      <c r="C1750" t="s">
        <v>59</v>
      </c>
      <c r="D1750">
        <v>72</v>
      </c>
      <c r="E1750" t="s">
        <v>3340</v>
      </c>
      <c r="F1750" t="s">
        <v>5324</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4" customHeight="1">
      <c r="A1751" t="s">
        <v>379</v>
      </c>
      <c r="B1751">
        <v>66</v>
      </c>
      <c r="C1751" t="s">
        <v>59</v>
      </c>
      <c r="D1751">
        <v>73</v>
      </c>
      <c r="E1751" t="s">
        <v>3340</v>
      </c>
      <c r="F1751" t="s">
        <v>5324</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4" customHeight="1">
      <c r="A1752" t="s">
        <v>379</v>
      </c>
      <c r="B1752">
        <v>67</v>
      </c>
      <c r="C1752" t="s">
        <v>59</v>
      </c>
      <c r="D1752">
        <v>74</v>
      </c>
      <c r="E1752" t="s">
        <v>3340</v>
      </c>
      <c r="F1752" t="s">
        <v>5324</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4" customHeight="1">
      <c r="A1753" t="s">
        <v>379</v>
      </c>
      <c r="B1753">
        <v>68</v>
      </c>
      <c r="C1753" t="s">
        <v>59</v>
      </c>
      <c r="D1753">
        <v>75</v>
      </c>
      <c r="E1753" t="s">
        <v>3340</v>
      </c>
      <c r="F1753" t="s">
        <v>5325</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4" customHeight="1">
      <c r="A1754" t="s">
        <v>379</v>
      </c>
      <c r="B1754">
        <v>69</v>
      </c>
      <c r="C1754" t="s">
        <v>59</v>
      </c>
      <c r="D1754">
        <v>76</v>
      </c>
      <c r="E1754" t="s">
        <v>3340</v>
      </c>
      <c r="F1754" t="s">
        <v>5325</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4" customHeight="1">
      <c r="A1755" t="s">
        <v>379</v>
      </c>
      <c r="B1755">
        <v>70</v>
      </c>
      <c r="C1755" t="s">
        <v>59</v>
      </c>
      <c r="D1755">
        <v>77</v>
      </c>
      <c r="E1755" t="s">
        <v>3347</v>
      </c>
      <c r="F1755" t="s">
        <v>5322</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4" customHeight="1">
      <c r="A1756" t="s">
        <v>379</v>
      </c>
      <c r="B1756">
        <v>71</v>
      </c>
      <c r="C1756" t="s">
        <v>59</v>
      </c>
      <c r="D1756">
        <v>78</v>
      </c>
      <c r="E1756" t="s">
        <v>3347</v>
      </c>
      <c r="F1756" t="s">
        <v>5323</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4" customHeight="1">
      <c r="A1757" t="s">
        <v>379</v>
      </c>
      <c r="B1757">
        <v>72</v>
      </c>
      <c r="C1757" t="s">
        <v>59</v>
      </c>
      <c r="D1757">
        <v>79</v>
      </c>
      <c r="E1757" t="s">
        <v>3347</v>
      </c>
      <c r="F1757" t="s">
        <v>5324</v>
      </c>
      <c r="G1757" t="str">
        <f>B70_TR_Assessment!A79</f>
        <v>B27</v>
      </c>
      <c r="H1757" s="153">
        <f>B70_TR_Assessment!B79</f>
        <v>0.5</v>
      </c>
      <c r="I1757" s="153">
        <f>B70_TR_Assessment!C79</f>
        <v>0.5</v>
      </c>
      <c r="J1757" s="153">
        <f>B70_TR_Assessment!D79</f>
        <v>0.5</v>
      </c>
      <c r="K1757" s="153">
        <f>B70_TR_Assessment!E79</f>
        <v>0.5</v>
      </c>
      <c r="L1757" s="153">
        <f>B70_TR_Assessment!F79</f>
        <v>0.5</v>
      </c>
      <c r="M1757" t="str">
        <f>B70_TR_Assessment!G79</f>
        <v>Verify</v>
      </c>
      <c r="N1757" s="153">
        <f>B70_TR_Assessment!H79</f>
        <v>0.5</v>
      </c>
      <c r="O1757" t="str">
        <f>B70_TR_Assessment!I79</f>
        <v>Partial / Yellow</v>
      </c>
      <c r="P1757">
        <f>B70_TR_Assessment!J79</f>
        <v>0</v>
      </c>
      <c r="Q1757" t="str">
        <f t="shared" si="27"/>
        <v>70|72</v>
      </c>
    </row>
    <row r="1758" spans="1:17" ht="6.4" customHeight="1">
      <c r="A1758" t="s">
        <v>379</v>
      </c>
      <c r="B1758">
        <v>73</v>
      </c>
      <c r="C1758" t="s">
        <v>59</v>
      </c>
      <c r="D1758">
        <v>80</v>
      </c>
      <c r="E1758" t="s">
        <v>3347</v>
      </c>
      <c r="F1758" t="s">
        <v>5324</v>
      </c>
      <c r="G1758" t="str">
        <f>B70_TR_Assessment!A80</f>
        <v>125A</v>
      </c>
      <c r="H1758" s="153">
        <f>B70_TR_Assessment!B80</f>
        <v>0.5</v>
      </c>
      <c r="I1758" s="153">
        <f>B70_TR_Assessment!C80</f>
        <v>0.5</v>
      </c>
      <c r="J1758" s="153">
        <f>B70_TR_Assessment!D80</f>
        <v>0.5</v>
      </c>
      <c r="K1758" s="153">
        <f>B70_TR_Assessment!E80</f>
        <v>0.5</v>
      </c>
      <c r="L1758" s="153">
        <f>B70_TR_Assessment!F80</f>
        <v>0.5</v>
      </c>
      <c r="M1758" t="str">
        <f>B70_TR_Assessment!G80</f>
        <v>Verify</v>
      </c>
      <c r="N1758" s="153">
        <f>B70_TR_Assessment!H80</f>
        <v>0.5</v>
      </c>
      <c r="O1758" t="str">
        <f>B70_TR_Assessment!I80</f>
        <v>Partial / Yellow</v>
      </c>
      <c r="P1758">
        <f>B70_TR_Assessment!J80</f>
        <v>0</v>
      </c>
      <c r="Q1758" t="str">
        <f t="shared" si="27"/>
        <v>70|73</v>
      </c>
    </row>
    <row r="1759" spans="1:17" ht="6.4" customHeight="1">
      <c r="A1759" t="s">
        <v>379</v>
      </c>
      <c r="B1759">
        <v>74</v>
      </c>
      <c r="C1759" t="s">
        <v>59</v>
      </c>
      <c r="D1759">
        <v>81</v>
      </c>
      <c r="E1759" t="s">
        <v>3347</v>
      </c>
      <c r="F1759" t="s">
        <v>5324</v>
      </c>
      <c r="G1759" t="str">
        <f>B70_TR_Assessment!A81</f>
        <v>262A</v>
      </c>
      <c r="H1759" s="153">
        <f>B70_TR_Assessment!B81</f>
        <v>0.5</v>
      </c>
      <c r="I1759" s="153">
        <f>B70_TR_Assessment!C81</f>
        <v>0.5</v>
      </c>
      <c r="J1759" s="153">
        <f>B70_TR_Assessment!D81</f>
        <v>0.5</v>
      </c>
      <c r="K1759" s="153">
        <f>B70_TR_Assessment!E81</f>
        <v>0.5</v>
      </c>
      <c r="L1759" s="153">
        <f>B70_TR_Assessment!F81</f>
        <v>0.5</v>
      </c>
      <c r="M1759" t="str">
        <f>B70_TR_Assessment!G81</f>
        <v>Verify</v>
      </c>
      <c r="N1759" s="153">
        <f>B70_TR_Assessment!H81</f>
        <v>0.5</v>
      </c>
      <c r="O1759" t="str">
        <f>B70_TR_Assessment!I81</f>
        <v>Partial / Yellow</v>
      </c>
      <c r="P1759">
        <f>B70_TR_Assessment!J81</f>
        <v>0</v>
      </c>
      <c r="Q1759" t="str">
        <f t="shared" si="27"/>
        <v>70|74</v>
      </c>
    </row>
    <row r="1760" spans="1:17" ht="6.4" customHeight="1">
      <c r="A1760" t="s">
        <v>379</v>
      </c>
      <c r="B1760">
        <v>75</v>
      </c>
      <c r="C1760" t="s">
        <v>59</v>
      </c>
      <c r="D1760">
        <v>82</v>
      </c>
      <c r="E1760" t="s">
        <v>3347</v>
      </c>
      <c r="F1760" t="s">
        <v>5325</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4" customHeight="1">
      <c r="A1761" t="s">
        <v>379</v>
      </c>
      <c r="B1761">
        <v>76</v>
      </c>
      <c r="C1761" t="s">
        <v>59</v>
      </c>
      <c r="D1761">
        <v>83</v>
      </c>
      <c r="E1761" t="s">
        <v>3347</v>
      </c>
      <c r="F1761" t="s">
        <v>5325</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4" customHeight="1">
      <c r="A1762" t="s">
        <v>379</v>
      </c>
      <c r="B1762">
        <v>77</v>
      </c>
      <c r="C1762" t="s">
        <v>59</v>
      </c>
      <c r="D1762">
        <v>84</v>
      </c>
      <c r="E1762" t="s">
        <v>3347</v>
      </c>
      <c r="F1762" t="s">
        <v>5324</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4" customHeight="1">
      <c r="A1763" t="s">
        <v>379</v>
      </c>
      <c r="B1763">
        <v>78</v>
      </c>
      <c r="C1763" t="s">
        <v>59</v>
      </c>
      <c r="D1763">
        <v>85</v>
      </c>
      <c r="E1763" t="s">
        <v>3347</v>
      </c>
      <c r="F1763" t="s">
        <v>5324</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4" customHeight="1">
      <c r="A1764" t="s">
        <v>379</v>
      </c>
      <c r="B1764">
        <v>79</v>
      </c>
      <c r="C1764" t="s">
        <v>59</v>
      </c>
      <c r="D1764">
        <v>86</v>
      </c>
      <c r="E1764" t="s">
        <v>3347</v>
      </c>
      <c r="F1764" t="s">
        <v>5324</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4" customHeight="1">
      <c r="A1765" t="s">
        <v>379</v>
      </c>
      <c r="B1765">
        <v>80</v>
      </c>
      <c r="C1765" t="s">
        <v>59</v>
      </c>
      <c r="D1765">
        <v>87</v>
      </c>
      <c r="E1765" t="s">
        <v>3347</v>
      </c>
      <c r="F1765" t="s">
        <v>5324</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4" customHeight="1">
      <c r="A1766" t="s">
        <v>379</v>
      </c>
      <c r="B1766">
        <v>81</v>
      </c>
      <c r="C1766" t="s">
        <v>59</v>
      </c>
      <c r="D1766">
        <v>88</v>
      </c>
      <c r="E1766" t="s">
        <v>3347</v>
      </c>
      <c r="F1766" t="s">
        <v>5324</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4" customHeight="1">
      <c r="A1767" t="s">
        <v>379</v>
      </c>
      <c r="B1767">
        <v>82</v>
      </c>
      <c r="C1767" t="s">
        <v>59</v>
      </c>
      <c r="D1767">
        <v>89</v>
      </c>
      <c r="E1767" t="s">
        <v>3347</v>
      </c>
      <c r="F1767" t="s">
        <v>5324</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4" customHeight="1">
      <c r="A1768" t="s">
        <v>379</v>
      </c>
      <c r="B1768">
        <v>83</v>
      </c>
      <c r="C1768" t="s">
        <v>59</v>
      </c>
      <c r="D1768">
        <v>90</v>
      </c>
      <c r="E1768" t="s">
        <v>3347</v>
      </c>
      <c r="F1768" t="s">
        <v>5325</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4" customHeight="1">
      <c r="A1769" t="s">
        <v>379</v>
      </c>
      <c r="B1769">
        <v>84</v>
      </c>
      <c r="C1769" t="s">
        <v>59</v>
      </c>
      <c r="D1769">
        <v>91</v>
      </c>
      <c r="E1769" t="s">
        <v>3347</v>
      </c>
      <c r="F1769" t="s">
        <v>5324</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4" customHeight="1">
      <c r="A1770" t="s">
        <v>379</v>
      </c>
      <c r="B1770">
        <v>85</v>
      </c>
      <c r="C1770" t="s">
        <v>59</v>
      </c>
      <c r="D1770">
        <v>92</v>
      </c>
      <c r="E1770" t="s">
        <v>3347</v>
      </c>
      <c r="F1770" t="s">
        <v>5325</v>
      </c>
      <c r="G1770">
        <f>B70_TR_Assessment!A236</f>
        <v>0</v>
      </c>
      <c r="H1770" t="str">
        <f>B70_TR_Assessment!A87</f>
        <v>Cooling Installation</v>
      </c>
      <c r="I1770" t="str">
        <f>B70_TR_Assessment!B87</f>
        <v>Not Started</v>
      </c>
      <c r="J1770">
        <f>B70_TR_Assessment!C87</f>
        <v>1</v>
      </c>
      <c r="K1770">
        <f>B70_TR_Assessment!D87</f>
        <v>0</v>
      </c>
      <c r="L1770" t="str">
        <f>B70_TR_Assessment!E87</f>
        <v>🟢</v>
      </c>
      <c r="M1770">
        <f>B70_TR_Assessment!F87</f>
        <v>-1</v>
      </c>
      <c r="N1770">
        <f>B70_TR_Assessment!G87</f>
        <v>0</v>
      </c>
      <c r="O1770">
        <f>B70_TR_Assessment!H87</f>
        <v>0</v>
      </c>
      <c r="P1770">
        <f>B70_TR_Assessment!I87</f>
        <v>0</v>
      </c>
      <c r="Q1770" t="str">
        <f t="shared" si="27"/>
        <v>70|85</v>
      </c>
    </row>
    <row r="1771" spans="1:17" ht="6.4" customHeight="1">
      <c r="A1771" t="s">
        <v>379</v>
      </c>
      <c r="B1771">
        <v>86</v>
      </c>
      <c r="C1771" t="s">
        <v>59</v>
      </c>
      <c r="D1771">
        <v>93</v>
      </c>
      <c r="E1771" t="s">
        <v>3347</v>
      </c>
      <c r="F1771" t="s">
        <v>5324</v>
      </c>
      <c r="G1771" t="str">
        <f>B70_TR_Assessment!A237</f>
        <v>Building 70 – Telecom Room Infrastructure Scope</v>
      </c>
      <c r="H1771" t="str">
        <f>B70_TR_Assessment!A88</f>
        <v>UPS Installation</v>
      </c>
      <c r="I1771" t="str">
        <f>B70_TR_Assessment!B88</f>
        <v>Not Started</v>
      </c>
      <c r="J1771">
        <f>B70_TR_Assessment!C88</f>
        <v>1</v>
      </c>
      <c r="K1771">
        <f>B70_TR_Assessment!D88</f>
        <v>0</v>
      </c>
      <c r="L1771" t="str">
        <f>B70_TR_Assessment!E88</f>
        <v>🟢</v>
      </c>
      <c r="M1771">
        <f>B70_TR_Assessment!F88</f>
        <v>-1</v>
      </c>
      <c r="N1771">
        <f>B70_TR_Assessment!G88</f>
        <v>0</v>
      </c>
      <c r="O1771">
        <f>B70_TR_Assessment!H88</f>
        <v>0</v>
      </c>
      <c r="P1771">
        <f>B70_TR_Assessment!I88</f>
        <v>0</v>
      </c>
      <c r="Q1771" t="str">
        <f t="shared" si="27"/>
        <v>70|86</v>
      </c>
    </row>
    <row r="1772" spans="1:17" ht="6.4" customHeight="1">
      <c r="A1772" t="s">
        <v>379</v>
      </c>
      <c r="B1772">
        <v>87</v>
      </c>
      <c r="C1772" t="s">
        <v>59</v>
      </c>
      <c r="D1772">
        <v>94</v>
      </c>
      <c r="E1772" t="s">
        <v>3347</v>
      </c>
      <c r="F1772" t="s">
        <v>5325</v>
      </c>
      <c r="G1772">
        <f>B70_TR_Assessment!A238</f>
        <v>0</v>
      </c>
      <c r="H1772" t="str">
        <f>B70_TR_Assessment!A89</f>
        <v>Fiber Installation</v>
      </c>
      <c r="I1772" t="str">
        <f>B70_TR_Assessment!B89</f>
        <v>Not Started</v>
      </c>
      <c r="J1772">
        <f>B70_TR_Assessment!C89</f>
        <v>1</v>
      </c>
      <c r="K1772">
        <f>B70_TR_Assessment!D89</f>
        <v>0</v>
      </c>
      <c r="L1772" t="str">
        <f>B70_TR_Assessment!E89</f>
        <v>🟢</v>
      </c>
      <c r="M1772">
        <f>B70_TR_Assessment!F89</f>
        <v>-1</v>
      </c>
      <c r="N1772">
        <f>B70_TR_Assessment!G89</f>
        <v>0</v>
      </c>
      <c r="O1772">
        <f>B70_TR_Assessment!H89</f>
        <v>0</v>
      </c>
      <c r="P1772">
        <f>B70_TR_Assessment!I89</f>
        <v>0</v>
      </c>
      <c r="Q1772" t="str">
        <f t="shared" si="27"/>
        <v>70|87</v>
      </c>
    </row>
    <row r="1773" spans="1:17" ht="6.4" customHeight="1">
      <c r="A1773" t="s">
        <v>379</v>
      </c>
      <c r="B1773">
        <v>88</v>
      </c>
      <c r="C1773" t="s">
        <v>59</v>
      </c>
      <c r="D1773">
        <v>95</v>
      </c>
      <c r="E1773" t="s">
        <v>3347</v>
      </c>
      <c r="F1773" t="s">
        <v>5324</v>
      </c>
      <c r="G1773" t="str">
        <f>B70_TR_Assessment!A239</f>
        <v>Existing Conditions Survey</v>
      </c>
      <c r="H1773" t="str">
        <f>B70_TR_Assessment!A90</f>
        <v>Firestopping</v>
      </c>
      <c r="I1773" t="str">
        <f>B70_TR_Assessment!B90</f>
        <v>Not Started</v>
      </c>
      <c r="J1773">
        <f>B70_TR_Assessment!C90</f>
        <v>1</v>
      </c>
      <c r="K1773">
        <f>B70_TR_Assessment!D90</f>
        <v>0</v>
      </c>
      <c r="L1773" t="str">
        <f>B70_TR_Assessment!E90</f>
        <v>🟢</v>
      </c>
      <c r="M1773">
        <f>B70_TR_Assessment!F90</f>
        <v>-1</v>
      </c>
      <c r="N1773">
        <f>B70_TR_Assessment!G90</f>
        <v>0</v>
      </c>
      <c r="O1773">
        <f>B70_TR_Assessment!H90</f>
        <v>0</v>
      </c>
      <c r="P1773">
        <f>B70_TR_Assessment!I90</f>
        <v>0</v>
      </c>
      <c r="Q1773" t="str">
        <f t="shared" si="27"/>
        <v>70|88</v>
      </c>
    </row>
    <row r="1774" spans="1:17" ht="6.4" customHeight="1">
      <c r="A1774" t="s">
        <v>379</v>
      </c>
      <c r="B1774">
        <v>89</v>
      </c>
      <c r="C1774" t="s">
        <v>59</v>
      </c>
      <c r="D1774">
        <v>96</v>
      </c>
      <c r="E1774" t="s">
        <v>3347</v>
      </c>
      <c r="F1774" t="s">
        <v>5325</v>
      </c>
      <c r="G1774">
        <f>B70_TR_Assessment!A240</f>
        <v>0</v>
      </c>
      <c r="H1774" t="str">
        <f>B70_TR_Assessment!A91</f>
        <v>Payment Confidence</v>
      </c>
      <c r="I1774">
        <f>B70_TR_Assessment!B91</f>
        <v>0</v>
      </c>
      <c r="J1774">
        <f>B70_TR_Assessment!C91</f>
        <v>0.8</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4" customHeight="1">
      <c r="A1775" t="s">
        <v>379</v>
      </c>
      <c r="B1775">
        <v>90</v>
      </c>
      <c r="C1775" t="s">
        <v>59</v>
      </c>
      <c r="D1775">
        <v>97</v>
      </c>
      <c r="E1775" t="s">
        <v>3347</v>
      </c>
      <c r="F1775" t="s">
        <v>5324</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4" customHeight="1">
      <c r="A1776" t="s">
        <v>379</v>
      </c>
      <c r="B1776">
        <v>91</v>
      </c>
      <c r="C1776" t="s">
        <v>59</v>
      </c>
      <c r="D1776">
        <v>98</v>
      </c>
      <c r="E1776" t="s">
        <v>3347</v>
      </c>
      <c r="F1776" t="s">
        <v>5324</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4" customHeight="1">
      <c r="A1777" t="s">
        <v>379</v>
      </c>
      <c r="B1777">
        <v>92</v>
      </c>
      <c r="C1777" t="s">
        <v>59</v>
      </c>
      <c r="D1777">
        <v>99</v>
      </c>
      <c r="E1777" t="s">
        <v>3347</v>
      </c>
      <c r="F1777" t="s">
        <v>5324</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4" customHeight="1">
      <c r="A1778" t="s">
        <v>379</v>
      </c>
      <c r="B1778">
        <v>93</v>
      </c>
      <c r="C1778" t="s">
        <v>59</v>
      </c>
      <c r="D1778">
        <v>100</v>
      </c>
      <c r="E1778" t="s">
        <v>3347</v>
      </c>
      <c r="F1778" t="s">
        <v>5324</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4" customHeight="1">
      <c r="A1779" t="s">
        <v>379</v>
      </c>
      <c r="B1779">
        <v>94</v>
      </c>
      <c r="C1779" t="s">
        <v>59</v>
      </c>
      <c r="D1779">
        <v>101</v>
      </c>
      <c r="E1779" t="s">
        <v>3347</v>
      </c>
      <c r="F1779" t="s">
        <v>5324</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4" customHeight="1">
      <c r="A1780" t="s">
        <v>379</v>
      </c>
      <c r="B1780">
        <v>95</v>
      </c>
      <c r="C1780" t="s">
        <v>59</v>
      </c>
      <c r="D1780">
        <v>102</v>
      </c>
      <c r="E1780" t="s">
        <v>3347</v>
      </c>
      <c r="F1780" t="s">
        <v>5325</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4" customHeight="1">
      <c r="A1781" t="s">
        <v>379</v>
      </c>
      <c r="B1781">
        <v>96</v>
      </c>
      <c r="C1781" t="s">
        <v>59</v>
      </c>
      <c r="D1781">
        <v>103</v>
      </c>
      <c r="E1781" t="s">
        <v>3347</v>
      </c>
      <c r="F1781" t="s">
        <v>5324</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4" customHeight="1">
      <c r="A1782" t="s">
        <v>379</v>
      </c>
      <c r="B1782">
        <v>97</v>
      </c>
      <c r="C1782" t="s">
        <v>59</v>
      </c>
      <c r="D1782">
        <v>104</v>
      </c>
      <c r="E1782" t="s">
        <v>3347</v>
      </c>
      <c r="F1782" t="s">
        <v>5325</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4" customHeight="1">
      <c r="A1783" t="s">
        <v>379</v>
      </c>
      <c r="B1783">
        <v>98</v>
      </c>
      <c r="C1783" t="s">
        <v>59</v>
      </c>
      <c r="D1783">
        <v>105</v>
      </c>
      <c r="E1783" t="s">
        <v>3347</v>
      </c>
      <c r="F1783" t="s">
        <v>5324</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4" customHeight="1">
      <c r="A1784" t="s">
        <v>379</v>
      </c>
      <c r="B1784">
        <v>99</v>
      </c>
      <c r="C1784" t="s">
        <v>59</v>
      </c>
      <c r="D1784">
        <v>106</v>
      </c>
      <c r="E1784" t="s">
        <v>3347</v>
      </c>
      <c r="F1784" t="s">
        <v>5324</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4" customHeight="1">
      <c r="A1785" t="s">
        <v>379</v>
      </c>
      <c r="B1785">
        <v>100</v>
      </c>
      <c r="C1785" t="s">
        <v>59</v>
      </c>
      <c r="D1785">
        <v>107</v>
      </c>
      <c r="E1785" t="s">
        <v>3347</v>
      </c>
      <c r="F1785" t="s">
        <v>5324</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4" customHeight="1">
      <c r="A1786" t="s">
        <v>379</v>
      </c>
      <c r="B1786">
        <v>101</v>
      </c>
      <c r="C1786" t="s">
        <v>59</v>
      </c>
      <c r="D1786">
        <v>108</v>
      </c>
      <c r="E1786" t="s">
        <v>3347</v>
      </c>
      <c r="F1786" t="s">
        <v>5324</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4" customHeight="1">
      <c r="A1787" t="s">
        <v>379</v>
      </c>
      <c r="B1787">
        <v>102</v>
      </c>
      <c r="C1787" t="s">
        <v>59</v>
      </c>
      <c r="D1787">
        <v>109</v>
      </c>
      <c r="E1787" t="s">
        <v>3347</v>
      </c>
      <c r="F1787" t="s">
        <v>5324</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4" customHeight="1">
      <c r="A1788" t="s">
        <v>379</v>
      </c>
      <c r="B1788">
        <v>103</v>
      </c>
      <c r="C1788" t="s">
        <v>59</v>
      </c>
      <c r="D1788">
        <v>110</v>
      </c>
      <c r="E1788" t="s">
        <v>3347</v>
      </c>
      <c r="F1788" t="s">
        <v>5325</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4" customHeight="1">
      <c r="A1789" t="s">
        <v>379</v>
      </c>
      <c r="B1789">
        <v>104</v>
      </c>
      <c r="C1789" t="s">
        <v>59</v>
      </c>
      <c r="D1789">
        <v>111</v>
      </c>
      <c r="E1789" t="s">
        <v>3347</v>
      </c>
      <c r="F1789" t="s">
        <v>5324</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4" customHeight="1">
      <c r="A1790" t="s">
        <v>379</v>
      </c>
      <c r="B1790">
        <v>105</v>
      </c>
      <c r="C1790" t="s">
        <v>59</v>
      </c>
      <c r="D1790">
        <v>112</v>
      </c>
      <c r="E1790" t="s">
        <v>3347</v>
      </c>
      <c r="F1790" t="s">
        <v>5325</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4" customHeight="1">
      <c r="A1791" t="s">
        <v>379</v>
      </c>
      <c r="B1791">
        <v>106</v>
      </c>
      <c r="C1791" t="s">
        <v>59</v>
      </c>
      <c r="D1791">
        <v>113</v>
      </c>
      <c r="E1791" t="s">
        <v>3347</v>
      </c>
      <c r="F1791" t="s">
        <v>5324</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4" customHeight="1">
      <c r="A1792" t="s">
        <v>379</v>
      </c>
      <c r="B1792">
        <v>107</v>
      </c>
      <c r="C1792" t="s">
        <v>59</v>
      </c>
      <c r="D1792">
        <v>114</v>
      </c>
      <c r="E1792" t="s">
        <v>3347</v>
      </c>
      <c r="F1792" t="s">
        <v>5324</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4" customHeight="1">
      <c r="A1793" t="s">
        <v>379</v>
      </c>
      <c r="B1793">
        <v>108</v>
      </c>
      <c r="C1793" t="s">
        <v>59</v>
      </c>
      <c r="D1793">
        <v>115</v>
      </c>
      <c r="E1793" t="s">
        <v>3347</v>
      </c>
      <c r="F1793" t="s">
        <v>5324</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4" customHeight="1">
      <c r="A1794" t="s">
        <v>379</v>
      </c>
      <c r="B1794">
        <v>109</v>
      </c>
      <c r="C1794" t="s">
        <v>59</v>
      </c>
      <c r="D1794">
        <v>116</v>
      </c>
      <c r="E1794" t="s">
        <v>3347</v>
      </c>
      <c r="F1794" t="s">
        <v>5324</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4" customHeight="1">
      <c r="A1795" t="s">
        <v>379</v>
      </c>
      <c r="B1795">
        <v>110</v>
      </c>
      <c r="C1795" t="s">
        <v>59</v>
      </c>
      <c r="D1795">
        <v>117</v>
      </c>
      <c r="E1795" t="s">
        <v>3347</v>
      </c>
      <c r="F1795" t="s">
        <v>5324</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4" customHeight="1">
      <c r="A1796" t="s">
        <v>379</v>
      </c>
      <c r="B1796">
        <v>111</v>
      </c>
      <c r="C1796" t="s">
        <v>59</v>
      </c>
      <c r="D1796">
        <v>118</v>
      </c>
      <c r="E1796" t="s">
        <v>3347</v>
      </c>
      <c r="F1796" t="s">
        <v>5324</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4" customHeight="1">
      <c r="A1797" t="s">
        <v>379</v>
      </c>
      <c r="B1797">
        <v>112</v>
      </c>
      <c r="C1797" t="s">
        <v>59</v>
      </c>
      <c r="D1797">
        <v>119</v>
      </c>
      <c r="E1797" t="s">
        <v>3347</v>
      </c>
      <c r="F1797" t="s">
        <v>5325</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4" customHeight="1">
      <c r="A1798" t="s">
        <v>379</v>
      </c>
      <c r="B1798">
        <v>113</v>
      </c>
      <c r="C1798" t="s">
        <v>59</v>
      </c>
      <c r="D1798">
        <v>120</v>
      </c>
      <c r="E1798" t="s">
        <v>3347</v>
      </c>
      <c r="F1798" t="s">
        <v>5324</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4" customHeight="1">
      <c r="A1799" t="s">
        <v>379</v>
      </c>
      <c r="B1799">
        <v>114</v>
      </c>
      <c r="C1799" t="s">
        <v>59</v>
      </c>
      <c r="D1799">
        <v>121</v>
      </c>
      <c r="E1799" t="s">
        <v>3347</v>
      </c>
      <c r="F1799" t="s">
        <v>5325</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4" customHeight="1">
      <c r="A1800" t="s">
        <v>379</v>
      </c>
      <c r="B1800">
        <v>115</v>
      </c>
      <c r="C1800" t="s">
        <v>59</v>
      </c>
      <c r="D1800">
        <v>122</v>
      </c>
      <c r="E1800" t="s">
        <v>3347</v>
      </c>
      <c r="F1800" t="s">
        <v>5324</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4" customHeight="1">
      <c r="A1801" t="s">
        <v>379</v>
      </c>
      <c r="B1801">
        <v>116</v>
      </c>
      <c r="C1801" t="s">
        <v>59</v>
      </c>
      <c r="D1801">
        <v>123</v>
      </c>
      <c r="E1801" t="s">
        <v>3347</v>
      </c>
      <c r="F1801" t="s">
        <v>5324</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4" customHeight="1">
      <c r="A1802" t="s">
        <v>379</v>
      </c>
      <c r="B1802">
        <v>117</v>
      </c>
      <c r="C1802" t="s">
        <v>59</v>
      </c>
      <c r="D1802">
        <v>124</v>
      </c>
      <c r="E1802" t="s">
        <v>3347</v>
      </c>
      <c r="F1802" t="s">
        <v>5324</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4" customHeight="1">
      <c r="A1803" t="s">
        <v>379</v>
      </c>
      <c r="B1803">
        <v>118</v>
      </c>
      <c r="C1803" t="s">
        <v>59</v>
      </c>
      <c r="D1803">
        <v>125</v>
      </c>
      <c r="E1803" t="s">
        <v>3347</v>
      </c>
      <c r="F1803" t="s">
        <v>5324</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4" customHeight="1">
      <c r="A1804" t="s">
        <v>379</v>
      </c>
      <c r="B1804">
        <v>119</v>
      </c>
      <c r="C1804" t="s">
        <v>59</v>
      </c>
      <c r="D1804">
        <v>126</v>
      </c>
      <c r="E1804" t="s">
        <v>3347</v>
      </c>
      <c r="F1804" t="s">
        <v>5324</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4" customHeight="1">
      <c r="A1805" t="s">
        <v>379</v>
      </c>
      <c r="B1805">
        <v>120</v>
      </c>
      <c r="C1805" t="s">
        <v>59</v>
      </c>
      <c r="D1805">
        <v>127</v>
      </c>
      <c r="E1805" t="s">
        <v>3347</v>
      </c>
      <c r="F1805" t="s">
        <v>5325</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4" customHeight="1">
      <c r="A1806" t="s">
        <v>379</v>
      </c>
      <c r="B1806">
        <v>121</v>
      </c>
      <c r="C1806" t="s">
        <v>59</v>
      </c>
      <c r="D1806">
        <v>128</v>
      </c>
      <c r="E1806" t="s">
        <v>3347</v>
      </c>
      <c r="F1806" t="s">
        <v>5324</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4" customHeight="1">
      <c r="A1807" t="s">
        <v>379</v>
      </c>
      <c r="B1807">
        <v>122</v>
      </c>
      <c r="C1807" t="s">
        <v>59</v>
      </c>
      <c r="D1807">
        <v>129</v>
      </c>
      <c r="E1807" t="s">
        <v>3347</v>
      </c>
      <c r="F1807" t="s">
        <v>5325</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4" customHeight="1">
      <c r="A1808" t="s">
        <v>379</v>
      </c>
      <c r="B1808">
        <v>123</v>
      </c>
      <c r="C1808" t="s">
        <v>59</v>
      </c>
      <c r="D1808">
        <v>130</v>
      </c>
      <c r="E1808" t="s">
        <v>3347</v>
      </c>
      <c r="F1808" t="s">
        <v>5324</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4" customHeight="1">
      <c r="A1809" t="s">
        <v>379</v>
      </c>
      <c r="B1809">
        <v>124</v>
      </c>
      <c r="C1809" t="s">
        <v>59</v>
      </c>
      <c r="D1809">
        <v>131</v>
      </c>
      <c r="E1809" t="s">
        <v>3347</v>
      </c>
      <c r="F1809" t="s">
        <v>5324</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4" customHeight="1">
      <c r="A1810" t="s">
        <v>379</v>
      </c>
      <c r="B1810">
        <v>125</v>
      </c>
      <c r="C1810" t="s">
        <v>59</v>
      </c>
      <c r="D1810">
        <v>132</v>
      </c>
      <c r="E1810" t="s">
        <v>3347</v>
      </c>
      <c r="F1810" t="s">
        <v>5324</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4" customHeight="1">
      <c r="A1811" t="s">
        <v>379</v>
      </c>
      <c r="B1811">
        <v>126</v>
      </c>
      <c r="C1811" t="s">
        <v>59</v>
      </c>
      <c r="D1811">
        <v>133</v>
      </c>
      <c r="E1811" t="s">
        <v>3347</v>
      </c>
      <c r="F1811" t="s">
        <v>5324</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4" customHeight="1">
      <c r="A1812" t="s">
        <v>379</v>
      </c>
      <c r="B1812">
        <v>127</v>
      </c>
      <c r="C1812" t="s">
        <v>59</v>
      </c>
      <c r="D1812">
        <v>134</v>
      </c>
      <c r="E1812" t="s">
        <v>3347</v>
      </c>
      <c r="F1812" t="s">
        <v>5324</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4" customHeight="1">
      <c r="A1813" t="s">
        <v>379</v>
      </c>
      <c r="B1813">
        <v>128</v>
      </c>
      <c r="C1813" t="s">
        <v>59</v>
      </c>
      <c r="D1813">
        <v>135</v>
      </c>
      <c r="E1813" t="s">
        <v>3347</v>
      </c>
      <c r="F1813" t="s">
        <v>5324</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4" customHeight="1">
      <c r="A1814" t="s">
        <v>379</v>
      </c>
      <c r="B1814">
        <v>129</v>
      </c>
      <c r="C1814" t="s">
        <v>59</v>
      </c>
      <c r="D1814">
        <v>136</v>
      </c>
      <c r="E1814" t="s">
        <v>3347</v>
      </c>
      <c r="F1814" t="s">
        <v>5324</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4" customHeight="1">
      <c r="A1815" t="s">
        <v>379</v>
      </c>
      <c r="B1815">
        <v>130</v>
      </c>
      <c r="C1815" t="s">
        <v>59</v>
      </c>
      <c r="D1815">
        <v>137</v>
      </c>
      <c r="E1815" t="s">
        <v>3347</v>
      </c>
      <c r="F1815" t="s">
        <v>5325</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4" customHeight="1">
      <c r="A1816" t="s">
        <v>379</v>
      </c>
      <c r="B1816">
        <v>131</v>
      </c>
      <c r="C1816" t="s">
        <v>59</v>
      </c>
      <c r="D1816">
        <v>138</v>
      </c>
      <c r="E1816" t="s">
        <v>3347</v>
      </c>
      <c r="F1816" t="s">
        <v>5324</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4" customHeight="1">
      <c r="A1817" t="s">
        <v>379</v>
      </c>
      <c r="B1817">
        <v>132</v>
      </c>
      <c r="C1817" t="s">
        <v>59</v>
      </c>
      <c r="D1817">
        <v>139</v>
      </c>
      <c r="E1817" t="s">
        <v>3347</v>
      </c>
      <c r="F1817" t="s">
        <v>5325</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4" customHeight="1">
      <c r="A1818" t="s">
        <v>379</v>
      </c>
      <c r="B1818">
        <v>133</v>
      </c>
      <c r="C1818" t="s">
        <v>59</v>
      </c>
      <c r="D1818">
        <v>140</v>
      </c>
      <c r="E1818" t="s">
        <v>3347</v>
      </c>
      <c r="F1818" t="s">
        <v>5324</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4" customHeight="1">
      <c r="A1819" t="s">
        <v>379</v>
      </c>
      <c r="B1819">
        <v>134</v>
      </c>
      <c r="C1819" t="s">
        <v>59</v>
      </c>
      <c r="D1819">
        <v>141</v>
      </c>
      <c r="E1819" t="s">
        <v>3347</v>
      </c>
      <c r="F1819" t="s">
        <v>5324</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4" customHeight="1">
      <c r="A1820" t="s">
        <v>379</v>
      </c>
      <c r="B1820">
        <v>135</v>
      </c>
      <c r="C1820" t="s">
        <v>59</v>
      </c>
      <c r="D1820">
        <v>142</v>
      </c>
      <c r="E1820" t="s">
        <v>3347</v>
      </c>
      <c r="F1820" t="s">
        <v>5324</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4" customHeight="1">
      <c r="A1821" t="s">
        <v>379</v>
      </c>
      <c r="B1821">
        <v>136</v>
      </c>
      <c r="C1821" t="s">
        <v>59</v>
      </c>
      <c r="D1821">
        <v>143</v>
      </c>
      <c r="E1821" t="s">
        <v>3347</v>
      </c>
      <c r="F1821" t="s">
        <v>5324</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4" customHeight="1">
      <c r="A1822" t="s">
        <v>379</v>
      </c>
      <c r="B1822">
        <v>137</v>
      </c>
      <c r="C1822" t="s">
        <v>59</v>
      </c>
      <c r="D1822">
        <v>144</v>
      </c>
      <c r="E1822" t="s">
        <v>3347</v>
      </c>
      <c r="F1822" t="s">
        <v>5324</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4" customHeight="1">
      <c r="A1823" t="s">
        <v>379</v>
      </c>
      <c r="B1823">
        <v>138</v>
      </c>
      <c r="C1823" t="s">
        <v>59</v>
      </c>
      <c r="D1823">
        <v>145</v>
      </c>
      <c r="E1823" t="s">
        <v>3347</v>
      </c>
      <c r="F1823" t="s">
        <v>5324</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4" customHeight="1">
      <c r="A1824" t="s">
        <v>379</v>
      </c>
      <c r="B1824">
        <v>139</v>
      </c>
      <c r="C1824" t="s">
        <v>59</v>
      </c>
      <c r="D1824">
        <v>146</v>
      </c>
      <c r="E1824" t="s">
        <v>3347</v>
      </c>
      <c r="F1824" t="s">
        <v>5324</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4" customHeight="1">
      <c r="A1825" t="s">
        <v>379</v>
      </c>
      <c r="B1825">
        <v>140</v>
      </c>
      <c r="C1825" t="s">
        <v>59</v>
      </c>
      <c r="D1825">
        <v>147</v>
      </c>
      <c r="E1825" t="s">
        <v>3347</v>
      </c>
      <c r="F1825" t="s">
        <v>5325</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4" customHeight="1">
      <c r="A1826" t="s">
        <v>379</v>
      </c>
      <c r="B1826">
        <v>141</v>
      </c>
      <c r="C1826" t="s">
        <v>59</v>
      </c>
      <c r="D1826">
        <v>148</v>
      </c>
      <c r="E1826" t="s">
        <v>3347</v>
      </c>
      <c r="F1826" t="s">
        <v>5324</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4" customHeight="1">
      <c r="A1827" t="s">
        <v>379</v>
      </c>
      <c r="B1827">
        <v>142</v>
      </c>
      <c r="C1827" t="s">
        <v>59</v>
      </c>
      <c r="D1827">
        <v>149</v>
      </c>
      <c r="E1827" t="s">
        <v>3347</v>
      </c>
      <c r="F1827" t="s">
        <v>5325</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4" customHeight="1">
      <c r="A1828" t="s">
        <v>379</v>
      </c>
      <c r="B1828">
        <v>143</v>
      </c>
      <c r="C1828" t="s">
        <v>59</v>
      </c>
      <c r="D1828">
        <v>150</v>
      </c>
      <c r="E1828" t="s">
        <v>3347</v>
      </c>
      <c r="F1828" t="s">
        <v>5324</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4" customHeight="1">
      <c r="A1829" t="s">
        <v>379</v>
      </c>
      <c r="B1829">
        <v>144</v>
      </c>
      <c r="C1829" t="s">
        <v>59</v>
      </c>
      <c r="D1829">
        <v>151</v>
      </c>
      <c r="E1829" t="s">
        <v>3347</v>
      </c>
      <c r="F1829" t="s">
        <v>5324</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4" customHeight="1">
      <c r="A1830" t="s">
        <v>379</v>
      </c>
      <c r="B1830">
        <v>145</v>
      </c>
      <c r="C1830" t="s">
        <v>59</v>
      </c>
      <c r="D1830">
        <v>152</v>
      </c>
      <c r="E1830" t="s">
        <v>3347</v>
      </c>
      <c r="F1830" t="s">
        <v>5324</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4" customHeight="1">
      <c r="A1831" t="s">
        <v>379</v>
      </c>
      <c r="B1831">
        <v>146</v>
      </c>
      <c r="C1831" t="s">
        <v>59</v>
      </c>
      <c r="D1831">
        <v>153</v>
      </c>
      <c r="E1831" t="s">
        <v>3347</v>
      </c>
      <c r="F1831" t="s">
        <v>5324</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4" customHeight="1">
      <c r="A1832" t="s">
        <v>379</v>
      </c>
      <c r="B1832">
        <v>147</v>
      </c>
      <c r="C1832" t="s">
        <v>59</v>
      </c>
      <c r="D1832">
        <v>154</v>
      </c>
      <c r="E1832" t="s">
        <v>3347</v>
      </c>
      <c r="F1832" t="s">
        <v>5324</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4" customHeight="1">
      <c r="A1833" t="s">
        <v>379</v>
      </c>
      <c r="B1833">
        <v>148</v>
      </c>
      <c r="C1833" t="s">
        <v>59</v>
      </c>
      <c r="D1833">
        <v>155</v>
      </c>
      <c r="E1833" t="s">
        <v>3347</v>
      </c>
      <c r="F1833" t="s">
        <v>5324</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4" customHeight="1">
      <c r="A1834" t="s">
        <v>379</v>
      </c>
      <c r="B1834">
        <v>149</v>
      </c>
      <c r="C1834" t="s">
        <v>59</v>
      </c>
      <c r="D1834">
        <v>156</v>
      </c>
      <c r="E1834" t="s">
        <v>3347</v>
      </c>
      <c r="F1834" t="s">
        <v>5324</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4" customHeight="1">
      <c r="A1835" t="s">
        <v>379</v>
      </c>
      <c r="B1835">
        <v>150</v>
      </c>
      <c r="C1835" t="s">
        <v>59</v>
      </c>
      <c r="D1835">
        <v>157</v>
      </c>
      <c r="E1835" t="s">
        <v>3347</v>
      </c>
      <c r="F1835" t="s">
        <v>5324</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4" customHeight="1">
      <c r="A1836" t="s">
        <v>379</v>
      </c>
      <c r="B1836">
        <v>151</v>
      </c>
      <c r="C1836" t="s">
        <v>59</v>
      </c>
      <c r="D1836">
        <v>158</v>
      </c>
      <c r="E1836" t="s">
        <v>3347</v>
      </c>
      <c r="F1836" t="s">
        <v>5324</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4" customHeight="1">
      <c r="A1837" t="s">
        <v>379</v>
      </c>
      <c r="B1837">
        <v>152</v>
      </c>
      <c r="C1837" t="s">
        <v>59</v>
      </c>
      <c r="D1837">
        <v>159</v>
      </c>
      <c r="E1837" t="s">
        <v>3347</v>
      </c>
      <c r="F1837" t="s">
        <v>5325</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4" customHeight="1">
      <c r="A1838" t="s">
        <v>379</v>
      </c>
      <c r="B1838">
        <v>153</v>
      </c>
      <c r="C1838" t="s">
        <v>59</v>
      </c>
      <c r="D1838">
        <v>160</v>
      </c>
      <c r="E1838" t="s">
        <v>3347</v>
      </c>
      <c r="F1838" t="s">
        <v>5324</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4" customHeight="1">
      <c r="A1839" t="s">
        <v>379</v>
      </c>
      <c r="B1839">
        <v>154</v>
      </c>
      <c r="C1839" t="s">
        <v>59</v>
      </c>
      <c r="D1839">
        <v>161</v>
      </c>
      <c r="E1839" t="s">
        <v>3347</v>
      </c>
      <c r="F1839" t="s">
        <v>5325</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4" customHeight="1">
      <c r="A1840" t="s">
        <v>379</v>
      </c>
      <c r="B1840">
        <v>155</v>
      </c>
      <c r="C1840" t="s">
        <v>59</v>
      </c>
      <c r="D1840">
        <v>162</v>
      </c>
      <c r="E1840" t="s">
        <v>3347</v>
      </c>
      <c r="F1840" t="s">
        <v>5324</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4" customHeight="1">
      <c r="A1841" t="s">
        <v>379</v>
      </c>
      <c r="B1841">
        <v>156</v>
      </c>
      <c r="C1841" t="s">
        <v>59</v>
      </c>
      <c r="D1841">
        <v>163</v>
      </c>
      <c r="E1841" t="s">
        <v>3347</v>
      </c>
      <c r="F1841" t="s">
        <v>5324</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4" customHeight="1">
      <c r="A1842" t="s">
        <v>379</v>
      </c>
      <c r="B1842">
        <v>157</v>
      </c>
      <c r="C1842" t="s">
        <v>59</v>
      </c>
      <c r="D1842">
        <v>164</v>
      </c>
      <c r="E1842" t="s">
        <v>3347</v>
      </c>
      <c r="F1842" t="s">
        <v>5324</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4" customHeight="1">
      <c r="A1843" t="s">
        <v>379</v>
      </c>
      <c r="B1843">
        <v>158</v>
      </c>
      <c r="C1843" t="s">
        <v>59</v>
      </c>
      <c r="D1843">
        <v>165</v>
      </c>
      <c r="E1843" t="s">
        <v>3347</v>
      </c>
      <c r="F1843" t="s">
        <v>5324</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4" customHeight="1">
      <c r="A1844" t="s">
        <v>379</v>
      </c>
      <c r="B1844">
        <v>159</v>
      </c>
      <c r="C1844" t="s">
        <v>59</v>
      </c>
      <c r="D1844">
        <v>166</v>
      </c>
      <c r="E1844" t="s">
        <v>3347</v>
      </c>
      <c r="F1844" t="s">
        <v>5324</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4" customHeight="1">
      <c r="A1845" t="s">
        <v>379</v>
      </c>
      <c r="B1845">
        <v>160</v>
      </c>
      <c r="C1845" t="s">
        <v>59</v>
      </c>
      <c r="D1845">
        <v>167</v>
      </c>
      <c r="E1845" t="s">
        <v>3347</v>
      </c>
      <c r="F1845" t="s">
        <v>5325</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4" customHeight="1">
      <c r="A1846" t="s">
        <v>379</v>
      </c>
      <c r="B1846">
        <v>161</v>
      </c>
      <c r="C1846" t="s">
        <v>59</v>
      </c>
      <c r="D1846">
        <v>168</v>
      </c>
      <c r="E1846" t="s">
        <v>3347</v>
      </c>
      <c r="F1846" t="s">
        <v>5324</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4" customHeight="1">
      <c r="A1847" t="s">
        <v>379</v>
      </c>
      <c r="B1847">
        <v>162</v>
      </c>
      <c r="C1847" t="s">
        <v>59</v>
      </c>
      <c r="D1847">
        <v>169</v>
      </c>
      <c r="E1847" t="s">
        <v>3347</v>
      </c>
      <c r="F1847" t="s">
        <v>5325</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4" customHeight="1">
      <c r="A1848" t="s">
        <v>379</v>
      </c>
      <c r="B1848">
        <v>163</v>
      </c>
      <c r="C1848" t="s">
        <v>59</v>
      </c>
      <c r="D1848">
        <v>170</v>
      </c>
      <c r="E1848" t="s">
        <v>3347</v>
      </c>
      <c r="F1848" t="s">
        <v>5324</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4" customHeight="1">
      <c r="A1849" t="s">
        <v>379</v>
      </c>
      <c r="B1849">
        <v>164</v>
      </c>
      <c r="C1849" t="s">
        <v>59</v>
      </c>
      <c r="D1849">
        <v>171</v>
      </c>
      <c r="E1849" t="s">
        <v>3347</v>
      </c>
      <c r="F1849" t="s">
        <v>5324</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4" customHeight="1">
      <c r="A1850" t="s">
        <v>379</v>
      </c>
      <c r="B1850">
        <v>165</v>
      </c>
      <c r="C1850" t="s">
        <v>59</v>
      </c>
      <c r="D1850">
        <v>172</v>
      </c>
      <c r="E1850" t="s">
        <v>3347</v>
      </c>
      <c r="F1850" t="s">
        <v>5324</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4" customHeight="1">
      <c r="A1851" t="s">
        <v>379</v>
      </c>
      <c r="B1851">
        <v>166</v>
      </c>
      <c r="C1851" t="s">
        <v>59</v>
      </c>
      <c r="D1851">
        <v>173</v>
      </c>
      <c r="E1851" t="s">
        <v>3347</v>
      </c>
      <c r="F1851" t="s">
        <v>5324</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4" customHeight="1">
      <c r="A1852" t="s">
        <v>379</v>
      </c>
      <c r="B1852">
        <v>167</v>
      </c>
      <c r="C1852" t="s">
        <v>59</v>
      </c>
      <c r="D1852">
        <v>174</v>
      </c>
      <c r="E1852" t="s">
        <v>3347</v>
      </c>
      <c r="F1852" t="s">
        <v>5324</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4" customHeight="1">
      <c r="A1853" t="s">
        <v>379</v>
      </c>
      <c r="B1853">
        <v>168</v>
      </c>
      <c r="C1853" t="s">
        <v>59</v>
      </c>
      <c r="D1853">
        <v>175</v>
      </c>
      <c r="E1853" t="s">
        <v>3347</v>
      </c>
      <c r="F1853" t="s">
        <v>5325</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4" customHeight="1">
      <c r="A1854" t="s">
        <v>379</v>
      </c>
      <c r="B1854">
        <v>169</v>
      </c>
      <c r="C1854" t="s">
        <v>59</v>
      </c>
      <c r="D1854">
        <v>176</v>
      </c>
      <c r="E1854" t="s">
        <v>3347</v>
      </c>
      <c r="F1854" t="s">
        <v>5324</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4" customHeight="1">
      <c r="A1855" t="s">
        <v>379</v>
      </c>
      <c r="B1855">
        <v>170</v>
      </c>
      <c r="C1855" t="s">
        <v>59</v>
      </c>
      <c r="D1855">
        <v>177</v>
      </c>
      <c r="E1855" t="s">
        <v>3347</v>
      </c>
      <c r="F1855" t="s">
        <v>5325</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4" customHeight="1">
      <c r="A1856" t="s">
        <v>379</v>
      </c>
      <c r="B1856">
        <v>171</v>
      </c>
      <c r="C1856" t="s">
        <v>59</v>
      </c>
      <c r="D1856">
        <v>178</v>
      </c>
      <c r="E1856" t="s">
        <v>3347</v>
      </c>
      <c r="F1856" t="s">
        <v>5324</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4" customHeight="1">
      <c r="A1857" t="s">
        <v>379</v>
      </c>
      <c r="B1857">
        <v>172</v>
      </c>
      <c r="C1857" t="s">
        <v>59</v>
      </c>
      <c r="D1857">
        <v>179</v>
      </c>
      <c r="E1857" t="s">
        <v>3347</v>
      </c>
      <c r="F1857" t="s">
        <v>5324</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4" customHeight="1">
      <c r="A1858" t="s">
        <v>379</v>
      </c>
      <c r="B1858">
        <v>173</v>
      </c>
      <c r="C1858" t="s">
        <v>59</v>
      </c>
      <c r="D1858">
        <v>180</v>
      </c>
      <c r="E1858" t="s">
        <v>3347</v>
      </c>
      <c r="F1858" t="s">
        <v>5324</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4" customHeight="1">
      <c r="A1859" t="s">
        <v>379</v>
      </c>
      <c r="B1859">
        <v>174</v>
      </c>
      <c r="C1859" t="s">
        <v>59</v>
      </c>
      <c r="D1859">
        <v>181</v>
      </c>
      <c r="E1859" t="s">
        <v>3347</v>
      </c>
      <c r="F1859" t="s">
        <v>5324</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4" customHeight="1">
      <c r="A1860" t="s">
        <v>379</v>
      </c>
      <c r="B1860">
        <v>175</v>
      </c>
      <c r="C1860" t="s">
        <v>59</v>
      </c>
      <c r="D1860">
        <v>182</v>
      </c>
      <c r="E1860" t="s">
        <v>3347</v>
      </c>
      <c r="F1860" t="s">
        <v>5324</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4" customHeight="1">
      <c r="A1861" t="s">
        <v>379</v>
      </c>
      <c r="B1861">
        <v>176</v>
      </c>
      <c r="C1861" t="s">
        <v>59</v>
      </c>
      <c r="D1861">
        <v>183</v>
      </c>
      <c r="E1861" t="s">
        <v>3347</v>
      </c>
      <c r="F1861" t="s">
        <v>5324</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4" customHeight="1">
      <c r="A1862" t="s">
        <v>379</v>
      </c>
      <c r="B1862">
        <v>177</v>
      </c>
      <c r="C1862" t="s">
        <v>59</v>
      </c>
      <c r="D1862">
        <v>184</v>
      </c>
      <c r="E1862" t="s">
        <v>3347</v>
      </c>
      <c r="F1862" t="s">
        <v>5324</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4" customHeight="1">
      <c r="A1863" t="s">
        <v>379</v>
      </c>
      <c r="B1863">
        <v>178</v>
      </c>
      <c r="C1863" t="s">
        <v>59</v>
      </c>
      <c r="D1863">
        <v>185</v>
      </c>
      <c r="E1863" t="s">
        <v>3347</v>
      </c>
      <c r="F1863" t="s">
        <v>5324</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4" customHeight="1">
      <c r="A1864" t="s">
        <v>379</v>
      </c>
      <c r="B1864">
        <v>179</v>
      </c>
      <c r="C1864" t="s">
        <v>59</v>
      </c>
      <c r="D1864">
        <v>186</v>
      </c>
      <c r="E1864" t="s">
        <v>3347</v>
      </c>
      <c r="F1864" t="s">
        <v>5325</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4" customHeight="1">
      <c r="A1865" t="s">
        <v>379</v>
      </c>
      <c r="B1865">
        <v>180</v>
      </c>
      <c r="C1865" t="s">
        <v>59</v>
      </c>
      <c r="D1865">
        <v>187</v>
      </c>
      <c r="E1865" t="s">
        <v>3347</v>
      </c>
      <c r="F1865" t="s">
        <v>5324</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4" customHeight="1">
      <c r="A1866" t="s">
        <v>379</v>
      </c>
      <c r="B1866">
        <v>181</v>
      </c>
      <c r="C1866" t="s">
        <v>59</v>
      </c>
      <c r="D1866">
        <v>188</v>
      </c>
      <c r="E1866" t="s">
        <v>3347</v>
      </c>
      <c r="F1866" t="s">
        <v>5325</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4" customHeight="1">
      <c r="A1867" t="s">
        <v>379</v>
      </c>
      <c r="B1867">
        <v>182</v>
      </c>
      <c r="C1867" t="s">
        <v>59</v>
      </c>
      <c r="D1867">
        <v>189</v>
      </c>
      <c r="E1867" t="s">
        <v>3347</v>
      </c>
      <c r="F1867" t="s">
        <v>5324</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4" customHeight="1">
      <c r="A1868" t="s">
        <v>379</v>
      </c>
      <c r="B1868">
        <v>183</v>
      </c>
      <c r="C1868" t="s">
        <v>59</v>
      </c>
      <c r="D1868">
        <v>190</v>
      </c>
      <c r="E1868" t="s">
        <v>3347</v>
      </c>
      <c r="F1868" t="s">
        <v>5325</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4" customHeight="1">
      <c r="A1869" t="s">
        <v>381</v>
      </c>
      <c r="B1869">
        <v>1</v>
      </c>
      <c r="C1869" t="s">
        <v>61</v>
      </c>
      <c r="D1869">
        <v>8</v>
      </c>
      <c r="E1869" t="s">
        <v>918</v>
      </c>
      <c r="F1869" t="s">
        <v>5322</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4" customHeight="1">
      <c r="A1870" t="s">
        <v>381</v>
      </c>
      <c r="B1870">
        <v>2</v>
      </c>
      <c r="C1870" t="s">
        <v>61</v>
      </c>
      <c r="D1870">
        <v>9</v>
      </c>
      <c r="E1870" t="s">
        <v>918</v>
      </c>
      <c r="F1870" t="s">
        <v>5323</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4" customHeight="1">
      <c r="A1871" t="s">
        <v>381</v>
      </c>
      <c r="B1871">
        <v>3</v>
      </c>
      <c r="C1871" t="s">
        <v>61</v>
      </c>
      <c r="D1871">
        <v>10</v>
      </c>
      <c r="E1871" t="s">
        <v>918</v>
      </c>
      <c r="F1871" t="s">
        <v>5324</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4" customHeight="1">
      <c r="A1872" t="s">
        <v>381</v>
      </c>
      <c r="B1872">
        <v>4</v>
      </c>
      <c r="C1872" t="s">
        <v>61</v>
      </c>
      <c r="D1872">
        <v>11</v>
      </c>
      <c r="E1872" t="s">
        <v>918</v>
      </c>
      <c r="F1872" t="s">
        <v>5324</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4" customHeight="1">
      <c r="A1873" t="s">
        <v>381</v>
      </c>
      <c r="B1873">
        <v>5</v>
      </c>
      <c r="C1873" t="s">
        <v>61</v>
      </c>
      <c r="D1873">
        <v>12</v>
      </c>
      <c r="E1873" t="s">
        <v>918</v>
      </c>
      <c r="F1873" t="s">
        <v>5324</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4" customHeight="1">
      <c r="A1874" t="s">
        <v>381</v>
      </c>
      <c r="B1874">
        <v>6</v>
      </c>
      <c r="C1874" t="s">
        <v>61</v>
      </c>
      <c r="D1874">
        <v>13</v>
      </c>
      <c r="E1874" t="s">
        <v>918</v>
      </c>
      <c r="F1874" t="s">
        <v>5324</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4" customHeight="1">
      <c r="A1875" t="s">
        <v>381</v>
      </c>
      <c r="B1875">
        <v>7</v>
      </c>
      <c r="C1875" t="s">
        <v>61</v>
      </c>
      <c r="D1875">
        <v>14</v>
      </c>
      <c r="E1875" t="s">
        <v>918</v>
      </c>
      <c r="F1875" t="s">
        <v>5324</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4" customHeight="1">
      <c r="A1876" t="s">
        <v>381</v>
      </c>
      <c r="B1876">
        <v>8</v>
      </c>
      <c r="C1876" t="s">
        <v>61</v>
      </c>
      <c r="D1876">
        <v>15</v>
      </c>
      <c r="E1876" t="s">
        <v>918</v>
      </c>
      <c r="F1876" t="s">
        <v>5324</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4" customHeight="1">
      <c r="A1877" t="s">
        <v>381</v>
      </c>
      <c r="B1877">
        <v>9</v>
      </c>
      <c r="C1877" t="s">
        <v>61</v>
      </c>
      <c r="D1877">
        <v>16</v>
      </c>
      <c r="E1877" t="s">
        <v>918</v>
      </c>
      <c r="F1877" t="s">
        <v>5324</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4" customHeight="1">
      <c r="A1878" t="s">
        <v>381</v>
      </c>
      <c r="B1878">
        <v>10</v>
      </c>
      <c r="C1878" t="s">
        <v>61</v>
      </c>
      <c r="D1878">
        <v>17</v>
      </c>
      <c r="E1878" t="s">
        <v>918</v>
      </c>
      <c r="F1878" t="s">
        <v>5325</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4" customHeight="1">
      <c r="A1879" t="s">
        <v>381</v>
      </c>
      <c r="B1879">
        <v>11</v>
      </c>
      <c r="C1879" t="s">
        <v>61</v>
      </c>
      <c r="D1879">
        <v>18</v>
      </c>
      <c r="E1879" t="s">
        <v>936</v>
      </c>
      <c r="F1879" t="s">
        <v>5322</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4" customHeight="1">
      <c r="A1880" t="s">
        <v>381</v>
      </c>
      <c r="B1880">
        <v>12</v>
      </c>
      <c r="C1880" t="s">
        <v>61</v>
      </c>
      <c r="D1880">
        <v>19</v>
      </c>
      <c r="E1880" t="s">
        <v>936</v>
      </c>
      <c r="F1880" t="s">
        <v>5323</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4" customHeight="1">
      <c r="A1881" t="s">
        <v>381</v>
      </c>
      <c r="B1881">
        <v>13</v>
      </c>
      <c r="C1881" t="s">
        <v>61</v>
      </c>
      <c r="D1881">
        <v>20</v>
      </c>
      <c r="E1881" t="s">
        <v>936</v>
      </c>
      <c r="F1881" t="s">
        <v>5324</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4" customHeight="1">
      <c r="A1882" t="s">
        <v>381</v>
      </c>
      <c r="B1882">
        <v>14</v>
      </c>
      <c r="C1882" t="s">
        <v>61</v>
      </c>
      <c r="D1882">
        <v>21</v>
      </c>
      <c r="E1882" t="s">
        <v>936</v>
      </c>
      <c r="F1882" t="s">
        <v>5324</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4" customHeight="1">
      <c r="A1883" t="s">
        <v>381</v>
      </c>
      <c r="B1883">
        <v>15</v>
      </c>
      <c r="C1883" t="s">
        <v>61</v>
      </c>
      <c r="D1883">
        <v>22</v>
      </c>
      <c r="E1883" t="s">
        <v>936</v>
      </c>
      <c r="F1883" t="s">
        <v>5324</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4" customHeight="1">
      <c r="A1884" t="s">
        <v>381</v>
      </c>
      <c r="B1884">
        <v>16</v>
      </c>
      <c r="C1884" t="s">
        <v>61</v>
      </c>
      <c r="D1884">
        <v>23</v>
      </c>
      <c r="E1884" t="s">
        <v>936</v>
      </c>
      <c r="F1884" t="s">
        <v>5324</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4" customHeight="1">
      <c r="A1885" t="s">
        <v>381</v>
      </c>
      <c r="B1885">
        <v>17</v>
      </c>
      <c r="C1885" t="s">
        <v>61</v>
      </c>
      <c r="D1885">
        <v>24</v>
      </c>
      <c r="E1885" t="s">
        <v>936</v>
      </c>
      <c r="F1885" t="s">
        <v>5324</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4" customHeight="1">
      <c r="A1886" t="s">
        <v>381</v>
      </c>
      <c r="B1886">
        <v>18</v>
      </c>
      <c r="C1886" t="s">
        <v>61</v>
      </c>
      <c r="D1886">
        <v>25</v>
      </c>
      <c r="E1886" t="s">
        <v>936</v>
      </c>
      <c r="F1886" t="s">
        <v>5324</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4" customHeight="1">
      <c r="A1887" t="s">
        <v>381</v>
      </c>
      <c r="B1887">
        <v>19</v>
      </c>
      <c r="C1887" t="s">
        <v>61</v>
      </c>
      <c r="D1887">
        <v>26</v>
      </c>
      <c r="E1887" t="s">
        <v>936</v>
      </c>
      <c r="F1887" t="s">
        <v>5324</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4" customHeight="1">
      <c r="A1888" t="s">
        <v>381</v>
      </c>
      <c r="B1888">
        <v>20</v>
      </c>
      <c r="C1888" t="s">
        <v>61</v>
      </c>
      <c r="D1888">
        <v>27</v>
      </c>
      <c r="E1888" t="s">
        <v>936</v>
      </c>
      <c r="F1888" t="s">
        <v>5325</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4" customHeight="1">
      <c r="A1889" t="s">
        <v>381</v>
      </c>
      <c r="B1889">
        <v>21</v>
      </c>
      <c r="C1889" t="s">
        <v>61</v>
      </c>
      <c r="D1889">
        <v>28</v>
      </c>
      <c r="E1889" t="s">
        <v>951</v>
      </c>
      <c r="F1889" t="s">
        <v>5322</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4" customHeight="1">
      <c r="A1890" t="s">
        <v>381</v>
      </c>
      <c r="B1890">
        <v>22</v>
      </c>
      <c r="C1890" t="s">
        <v>61</v>
      </c>
      <c r="D1890">
        <v>29</v>
      </c>
      <c r="E1890" t="s">
        <v>951</v>
      </c>
      <c r="F1890" t="s">
        <v>5323</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4" customHeight="1">
      <c r="A1891" t="s">
        <v>381</v>
      </c>
      <c r="B1891">
        <v>23</v>
      </c>
      <c r="C1891" t="s">
        <v>61</v>
      </c>
      <c r="D1891">
        <v>30</v>
      </c>
      <c r="E1891" t="s">
        <v>951</v>
      </c>
      <c r="F1891" t="s">
        <v>5324</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4" customHeight="1">
      <c r="A1892" t="s">
        <v>381</v>
      </c>
      <c r="B1892">
        <v>24</v>
      </c>
      <c r="C1892" t="s">
        <v>61</v>
      </c>
      <c r="D1892">
        <v>31</v>
      </c>
      <c r="E1892" t="s">
        <v>951</v>
      </c>
      <c r="F1892" t="s">
        <v>5324</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4" customHeight="1">
      <c r="A1893" t="s">
        <v>381</v>
      </c>
      <c r="B1893">
        <v>25</v>
      </c>
      <c r="C1893" t="s">
        <v>61</v>
      </c>
      <c r="D1893">
        <v>32</v>
      </c>
      <c r="E1893" t="s">
        <v>951</v>
      </c>
      <c r="F1893" t="s">
        <v>5324</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4" customHeight="1">
      <c r="A1894" t="s">
        <v>381</v>
      </c>
      <c r="B1894">
        <v>26</v>
      </c>
      <c r="C1894" t="s">
        <v>61</v>
      </c>
      <c r="D1894">
        <v>33</v>
      </c>
      <c r="E1894" t="s">
        <v>951</v>
      </c>
      <c r="F1894" t="s">
        <v>5324</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4" customHeight="1">
      <c r="A1895" t="s">
        <v>381</v>
      </c>
      <c r="B1895">
        <v>27</v>
      </c>
      <c r="C1895" t="s">
        <v>61</v>
      </c>
      <c r="D1895">
        <v>34</v>
      </c>
      <c r="E1895" t="s">
        <v>951</v>
      </c>
      <c r="F1895" t="s">
        <v>5324</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4" customHeight="1">
      <c r="A1896" t="s">
        <v>381</v>
      </c>
      <c r="B1896">
        <v>28</v>
      </c>
      <c r="C1896" t="s">
        <v>61</v>
      </c>
      <c r="D1896">
        <v>35</v>
      </c>
      <c r="E1896" t="s">
        <v>951</v>
      </c>
      <c r="F1896" t="s">
        <v>5324</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4" customHeight="1">
      <c r="A1897" t="s">
        <v>381</v>
      </c>
      <c r="B1897">
        <v>29</v>
      </c>
      <c r="C1897" t="s">
        <v>61</v>
      </c>
      <c r="D1897">
        <v>36</v>
      </c>
      <c r="E1897" t="s">
        <v>951</v>
      </c>
      <c r="F1897" t="s">
        <v>5324</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4" customHeight="1">
      <c r="A1898" t="s">
        <v>381</v>
      </c>
      <c r="B1898">
        <v>30</v>
      </c>
      <c r="C1898" t="s">
        <v>61</v>
      </c>
      <c r="D1898">
        <v>37</v>
      </c>
      <c r="E1898" t="s">
        <v>951</v>
      </c>
      <c r="F1898" t="s">
        <v>5325</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4" customHeight="1">
      <c r="A1899" t="s">
        <v>381</v>
      </c>
      <c r="B1899">
        <v>31</v>
      </c>
      <c r="C1899" t="s">
        <v>61</v>
      </c>
      <c r="D1899">
        <v>38</v>
      </c>
      <c r="E1899" t="s">
        <v>964</v>
      </c>
      <c r="F1899" t="s">
        <v>5322</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4" customHeight="1">
      <c r="A1900" t="s">
        <v>381</v>
      </c>
      <c r="B1900">
        <v>32</v>
      </c>
      <c r="C1900" t="s">
        <v>61</v>
      </c>
      <c r="D1900">
        <v>39</v>
      </c>
      <c r="E1900" t="s">
        <v>964</v>
      </c>
      <c r="F1900" t="s">
        <v>5323</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4" customHeight="1">
      <c r="A1901" t="s">
        <v>381</v>
      </c>
      <c r="B1901">
        <v>33</v>
      </c>
      <c r="C1901" t="s">
        <v>61</v>
      </c>
      <c r="D1901">
        <v>40</v>
      </c>
      <c r="E1901" t="s">
        <v>964</v>
      </c>
      <c r="F1901" t="s">
        <v>5324</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4" customHeight="1">
      <c r="A1902" t="s">
        <v>381</v>
      </c>
      <c r="B1902">
        <v>34</v>
      </c>
      <c r="C1902" t="s">
        <v>61</v>
      </c>
      <c r="D1902">
        <v>41</v>
      </c>
      <c r="E1902" t="s">
        <v>964</v>
      </c>
      <c r="F1902" t="s">
        <v>5324</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4" customHeight="1">
      <c r="A1903" t="s">
        <v>381</v>
      </c>
      <c r="B1903">
        <v>35</v>
      </c>
      <c r="C1903" t="s">
        <v>61</v>
      </c>
      <c r="D1903">
        <v>42</v>
      </c>
      <c r="E1903" t="s">
        <v>964</v>
      </c>
      <c r="F1903" t="s">
        <v>5324</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4" customHeight="1">
      <c r="A1904" t="s">
        <v>381</v>
      </c>
      <c r="B1904">
        <v>36</v>
      </c>
      <c r="C1904" t="s">
        <v>61</v>
      </c>
      <c r="D1904">
        <v>43</v>
      </c>
      <c r="E1904" t="s">
        <v>964</v>
      </c>
      <c r="F1904" t="s">
        <v>5324</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4" customHeight="1">
      <c r="A1905" t="s">
        <v>381</v>
      </c>
      <c r="B1905">
        <v>37</v>
      </c>
      <c r="C1905" t="s">
        <v>61</v>
      </c>
      <c r="D1905">
        <v>44</v>
      </c>
      <c r="E1905" t="s">
        <v>964</v>
      </c>
      <c r="F1905" t="s">
        <v>5324</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4" customHeight="1">
      <c r="A1906" t="s">
        <v>381</v>
      </c>
      <c r="B1906">
        <v>38</v>
      </c>
      <c r="C1906" t="s">
        <v>61</v>
      </c>
      <c r="D1906">
        <v>45</v>
      </c>
      <c r="E1906" t="s">
        <v>964</v>
      </c>
      <c r="F1906" t="s">
        <v>5324</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4" customHeight="1">
      <c r="A1907" t="s">
        <v>381</v>
      </c>
      <c r="B1907">
        <v>39</v>
      </c>
      <c r="C1907" t="s">
        <v>61</v>
      </c>
      <c r="D1907">
        <v>46</v>
      </c>
      <c r="E1907" t="s">
        <v>964</v>
      </c>
      <c r="F1907" t="s">
        <v>5324</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4" customHeight="1">
      <c r="A1908" t="s">
        <v>381</v>
      </c>
      <c r="B1908">
        <v>40</v>
      </c>
      <c r="C1908" t="s">
        <v>61</v>
      </c>
      <c r="D1908">
        <v>47</v>
      </c>
      <c r="E1908" t="s">
        <v>964</v>
      </c>
      <c r="F1908" t="s">
        <v>5325</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4" customHeight="1">
      <c r="A1909" t="s">
        <v>381</v>
      </c>
      <c r="B1909">
        <v>41</v>
      </c>
      <c r="C1909" t="s">
        <v>61</v>
      </c>
      <c r="D1909">
        <v>48</v>
      </c>
      <c r="E1909" t="s">
        <v>977</v>
      </c>
      <c r="F1909" t="s">
        <v>5322</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4" customHeight="1">
      <c r="A1910" t="s">
        <v>381</v>
      </c>
      <c r="B1910">
        <v>42</v>
      </c>
      <c r="C1910" t="s">
        <v>61</v>
      </c>
      <c r="D1910">
        <v>49</v>
      </c>
      <c r="E1910" t="s">
        <v>977</v>
      </c>
      <c r="F1910" t="s">
        <v>5323</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4" customHeight="1">
      <c r="A1911" t="s">
        <v>381</v>
      </c>
      <c r="B1911">
        <v>43</v>
      </c>
      <c r="C1911" t="s">
        <v>61</v>
      </c>
      <c r="D1911">
        <v>50</v>
      </c>
      <c r="E1911" t="s">
        <v>977</v>
      </c>
      <c r="F1911" t="s">
        <v>5324</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4" customHeight="1">
      <c r="A1912" t="s">
        <v>381</v>
      </c>
      <c r="B1912">
        <v>44</v>
      </c>
      <c r="C1912" t="s">
        <v>61</v>
      </c>
      <c r="D1912">
        <v>51</v>
      </c>
      <c r="E1912" t="s">
        <v>977</v>
      </c>
      <c r="F1912" t="s">
        <v>5324</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4" customHeight="1">
      <c r="A1913" t="s">
        <v>381</v>
      </c>
      <c r="B1913">
        <v>45</v>
      </c>
      <c r="C1913" t="s">
        <v>61</v>
      </c>
      <c r="D1913">
        <v>52</v>
      </c>
      <c r="E1913" t="s">
        <v>977</v>
      </c>
      <c r="F1913" t="s">
        <v>5324</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4" customHeight="1">
      <c r="A1914" t="s">
        <v>381</v>
      </c>
      <c r="B1914">
        <v>46</v>
      </c>
      <c r="C1914" t="s">
        <v>61</v>
      </c>
      <c r="D1914">
        <v>53</v>
      </c>
      <c r="E1914" t="s">
        <v>977</v>
      </c>
      <c r="F1914" t="s">
        <v>5324</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4" customHeight="1">
      <c r="A1915" t="s">
        <v>381</v>
      </c>
      <c r="B1915">
        <v>47</v>
      </c>
      <c r="C1915" t="s">
        <v>61</v>
      </c>
      <c r="D1915">
        <v>54</v>
      </c>
      <c r="E1915" t="s">
        <v>977</v>
      </c>
      <c r="F1915" t="s">
        <v>5324</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4" customHeight="1">
      <c r="A1916" t="s">
        <v>381</v>
      </c>
      <c r="B1916">
        <v>48</v>
      </c>
      <c r="C1916" t="s">
        <v>61</v>
      </c>
      <c r="D1916">
        <v>55</v>
      </c>
      <c r="E1916" t="s">
        <v>977</v>
      </c>
      <c r="F1916" t="s">
        <v>5324</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4" customHeight="1">
      <c r="A1917" t="s">
        <v>381</v>
      </c>
      <c r="B1917">
        <v>49</v>
      </c>
      <c r="C1917" t="s">
        <v>61</v>
      </c>
      <c r="D1917">
        <v>56</v>
      </c>
      <c r="E1917" t="s">
        <v>977</v>
      </c>
      <c r="F1917" t="s">
        <v>5324</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4" customHeight="1">
      <c r="A1918" t="s">
        <v>381</v>
      </c>
      <c r="B1918">
        <v>50</v>
      </c>
      <c r="C1918" t="s">
        <v>61</v>
      </c>
      <c r="D1918">
        <v>57</v>
      </c>
      <c r="E1918" t="s">
        <v>977</v>
      </c>
      <c r="F1918" t="s">
        <v>5325</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4" customHeight="1">
      <c r="A1919" t="s">
        <v>381</v>
      </c>
      <c r="B1919">
        <v>51</v>
      </c>
      <c r="C1919" t="s">
        <v>61</v>
      </c>
      <c r="D1919">
        <v>58</v>
      </c>
      <c r="E1919" t="s">
        <v>994</v>
      </c>
      <c r="F1919" t="s">
        <v>5322</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4" customHeight="1">
      <c r="A1920" t="s">
        <v>381</v>
      </c>
      <c r="B1920">
        <v>52</v>
      </c>
      <c r="C1920" t="s">
        <v>61</v>
      </c>
      <c r="D1920">
        <v>59</v>
      </c>
      <c r="E1920" t="s">
        <v>994</v>
      </c>
      <c r="F1920" t="s">
        <v>5323</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4" customHeight="1">
      <c r="A1921" t="s">
        <v>381</v>
      </c>
      <c r="B1921">
        <v>53</v>
      </c>
      <c r="C1921" t="s">
        <v>61</v>
      </c>
      <c r="D1921">
        <v>60</v>
      </c>
      <c r="E1921" t="s">
        <v>994</v>
      </c>
      <c r="F1921" t="s">
        <v>5324</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4" customHeight="1">
      <c r="A1922" t="s">
        <v>381</v>
      </c>
      <c r="B1922">
        <v>54</v>
      </c>
      <c r="C1922" t="s">
        <v>61</v>
      </c>
      <c r="D1922">
        <v>61</v>
      </c>
      <c r="E1922" t="s">
        <v>994</v>
      </c>
      <c r="F1922" t="s">
        <v>5324</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4" customHeight="1">
      <c r="A1923" t="s">
        <v>381</v>
      </c>
      <c r="B1923">
        <v>55</v>
      </c>
      <c r="C1923" t="s">
        <v>61</v>
      </c>
      <c r="D1923">
        <v>62</v>
      </c>
      <c r="E1923" t="s">
        <v>994</v>
      </c>
      <c r="F1923" t="s">
        <v>5324</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4" customHeight="1">
      <c r="A1924" t="s">
        <v>381</v>
      </c>
      <c r="B1924">
        <v>56</v>
      </c>
      <c r="C1924" t="s">
        <v>61</v>
      </c>
      <c r="D1924">
        <v>63</v>
      </c>
      <c r="E1924" t="s">
        <v>994</v>
      </c>
      <c r="F1924" t="s">
        <v>5324</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4" customHeight="1">
      <c r="A1925" t="s">
        <v>381</v>
      </c>
      <c r="B1925">
        <v>57</v>
      </c>
      <c r="C1925" t="s">
        <v>61</v>
      </c>
      <c r="D1925">
        <v>64</v>
      </c>
      <c r="E1925" t="s">
        <v>994</v>
      </c>
      <c r="F1925" t="s">
        <v>5324</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4" customHeight="1">
      <c r="A1926" t="s">
        <v>381</v>
      </c>
      <c r="B1926">
        <v>58</v>
      </c>
      <c r="C1926" t="s">
        <v>61</v>
      </c>
      <c r="D1926">
        <v>65</v>
      </c>
      <c r="E1926" t="s">
        <v>994</v>
      </c>
      <c r="F1926" t="s">
        <v>5324</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4" customHeight="1">
      <c r="A1927" t="s">
        <v>381</v>
      </c>
      <c r="B1927">
        <v>59</v>
      </c>
      <c r="C1927" t="s">
        <v>61</v>
      </c>
      <c r="D1927">
        <v>66</v>
      </c>
      <c r="E1927" t="s">
        <v>994</v>
      </c>
      <c r="F1927" t="s">
        <v>5324</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4" customHeight="1">
      <c r="A1928" t="s">
        <v>381</v>
      </c>
      <c r="B1928">
        <v>60</v>
      </c>
      <c r="C1928" t="s">
        <v>61</v>
      </c>
      <c r="D1928">
        <v>67</v>
      </c>
      <c r="E1928" t="s">
        <v>994</v>
      </c>
      <c r="F1928" t="s">
        <v>5325</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4" customHeight="1">
      <c r="A1929" t="s">
        <v>381</v>
      </c>
      <c r="B1929">
        <v>61</v>
      </c>
      <c r="C1929" t="s">
        <v>61</v>
      </c>
      <c r="D1929">
        <v>68</v>
      </c>
      <c r="E1929" t="s">
        <v>1007</v>
      </c>
      <c r="F1929" t="s">
        <v>5322</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4" customHeight="1">
      <c r="A1930" t="s">
        <v>381</v>
      </c>
      <c r="B1930">
        <v>62</v>
      </c>
      <c r="C1930" t="s">
        <v>61</v>
      </c>
      <c r="D1930">
        <v>69</v>
      </c>
      <c r="E1930" t="s">
        <v>1007</v>
      </c>
      <c r="F1930" t="s">
        <v>5323</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4" customHeight="1">
      <c r="A1931" t="s">
        <v>381</v>
      </c>
      <c r="B1931">
        <v>63</v>
      </c>
      <c r="C1931" t="s">
        <v>61</v>
      </c>
      <c r="D1931">
        <v>70</v>
      </c>
      <c r="E1931" t="s">
        <v>1007</v>
      </c>
      <c r="F1931" t="s">
        <v>5324</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4" customHeight="1">
      <c r="A1932" t="s">
        <v>381</v>
      </c>
      <c r="B1932">
        <v>64</v>
      </c>
      <c r="C1932" t="s">
        <v>61</v>
      </c>
      <c r="D1932">
        <v>71</v>
      </c>
      <c r="E1932" t="s">
        <v>1007</v>
      </c>
      <c r="F1932" t="s">
        <v>5324</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4" customHeight="1">
      <c r="A1933" t="s">
        <v>381</v>
      </c>
      <c r="B1933">
        <v>65</v>
      </c>
      <c r="C1933" t="s">
        <v>61</v>
      </c>
      <c r="D1933">
        <v>72</v>
      </c>
      <c r="E1933" t="s">
        <v>1007</v>
      </c>
      <c r="F1933" t="s">
        <v>5324</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4" customHeight="1">
      <c r="A1934" t="s">
        <v>381</v>
      </c>
      <c r="B1934">
        <v>66</v>
      </c>
      <c r="C1934" t="s">
        <v>61</v>
      </c>
      <c r="D1934">
        <v>73</v>
      </c>
      <c r="E1934" t="s">
        <v>1007</v>
      </c>
      <c r="F1934" t="s">
        <v>5324</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4" customHeight="1">
      <c r="A1935" t="s">
        <v>381</v>
      </c>
      <c r="B1935">
        <v>67</v>
      </c>
      <c r="C1935" t="s">
        <v>61</v>
      </c>
      <c r="D1935">
        <v>74</v>
      </c>
      <c r="E1935" t="s">
        <v>1007</v>
      </c>
      <c r="F1935" t="s">
        <v>5324</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4" customHeight="1">
      <c r="A1936" t="s">
        <v>381</v>
      </c>
      <c r="B1936">
        <v>68</v>
      </c>
      <c r="C1936" t="s">
        <v>61</v>
      </c>
      <c r="D1936">
        <v>75</v>
      </c>
      <c r="E1936" t="s">
        <v>1007</v>
      </c>
      <c r="F1936" t="s">
        <v>5324</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4" customHeight="1">
      <c r="A1937" t="s">
        <v>381</v>
      </c>
      <c r="B1937">
        <v>69</v>
      </c>
      <c r="C1937" t="s">
        <v>61</v>
      </c>
      <c r="D1937">
        <v>76</v>
      </c>
      <c r="E1937" t="s">
        <v>1007</v>
      </c>
      <c r="F1937" t="s">
        <v>5324</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4" customHeight="1">
      <c r="A1938" t="s">
        <v>381</v>
      </c>
      <c r="B1938">
        <v>70</v>
      </c>
      <c r="C1938" t="s">
        <v>61</v>
      </c>
      <c r="D1938">
        <v>77</v>
      </c>
      <c r="E1938" t="s">
        <v>1007</v>
      </c>
      <c r="F1938" t="s">
        <v>5325</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4" customHeight="1">
      <c r="A1939" t="s">
        <v>381</v>
      </c>
      <c r="B1939">
        <v>71</v>
      </c>
      <c r="C1939" t="s">
        <v>61</v>
      </c>
      <c r="D1939">
        <v>78</v>
      </c>
      <c r="E1939" t="s">
        <v>1019</v>
      </c>
      <c r="F1939" t="s">
        <v>5322</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4" customHeight="1">
      <c r="A1940" t="s">
        <v>381</v>
      </c>
      <c r="B1940">
        <v>72</v>
      </c>
      <c r="C1940" t="s">
        <v>61</v>
      </c>
      <c r="D1940">
        <v>79</v>
      </c>
      <c r="E1940" t="s">
        <v>1019</v>
      </c>
      <c r="F1940" t="s">
        <v>5323</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4" customHeight="1">
      <c r="A1941" t="s">
        <v>381</v>
      </c>
      <c r="B1941">
        <v>73</v>
      </c>
      <c r="C1941" t="s">
        <v>61</v>
      </c>
      <c r="D1941">
        <v>80</v>
      </c>
      <c r="E1941" t="s">
        <v>1019</v>
      </c>
      <c r="F1941" t="s">
        <v>5324</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4" customHeight="1">
      <c r="A1942" t="s">
        <v>381</v>
      </c>
      <c r="B1942">
        <v>74</v>
      </c>
      <c r="C1942" t="s">
        <v>61</v>
      </c>
      <c r="D1942">
        <v>81</v>
      </c>
      <c r="E1942" t="s">
        <v>1019</v>
      </c>
      <c r="F1942" t="s">
        <v>5324</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4" customHeight="1">
      <c r="A1943" t="s">
        <v>381</v>
      </c>
      <c r="B1943">
        <v>75</v>
      </c>
      <c r="C1943" t="s">
        <v>61</v>
      </c>
      <c r="D1943">
        <v>82</v>
      </c>
      <c r="E1943" t="s">
        <v>1019</v>
      </c>
      <c r="F1943" t="s">
        <v>5324</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4" customHeight="1">
      <c r="A1944" t="s">
        <v>381</v>
      </c>
      <c r="B1944">
        <v>76</v>
      </c>
      <c r="C1944" t="s">
        <v>61</v>
      </c>
      <c r="D1944">
        <v>83</v>
      </c>
      <c r="E1944" t="s">
        <v>1019</v>
      </c>
      <c r="F1944" t="s">
        <v>5324</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4" customHeight="1">
      <c r="A1945" t="s">
        <v>381</v>
      </c>
      <c r="B1945">
        <v>77</v>
      </c>
      <c r="C1945" t="s">
        <v>61</v>
      </c>
      <c r="D1945">
        <v>84</v>
      </c>
      <c r="E1945" t="s">
        <v>1019</v>
      </c>
      <c r="F1945" t="s">
        <v>5324</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4" customHeight="1">
      <c r="A1946" t="s">
        <v>381</v>
      </c>
      <c r="B1946">
        <v>78</v>
      </c>
      <c r="C1946" t="s">
        <v>61</v>
      </c>
      <c r="D1946">
        <v>85</v>
      </c>
      <c r="E1946" t="s">
        <v>1019</v>
      </c>
      <c r="F1946" t="s">
        <v>5324</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4" customHeight="1">
      <c r="A1947" t="s">
        <v>381</v>
      </c>
      <c r="B1947">
        <v>79</v>
      </c>
      <c r="C1947" t="s">
        <v>61</v>
      </c>
      <c r="D1947">
        <v>86</v>
      </c>
      <c r="E1947" t="s">
        <v>1019</v>
      </c>
      <c r="F1947" t="s">
        <v>5324</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4" customHeight="1">
      <c r="A1948" t="s">
        <v>381</v>
      </c>
      <c r="B1948">
        <v>80</v>
      </c>
      <c r="C1948" t="s">
        <v>61</v>
      </c>
      <c r="D1948">
        <v>87</v>
      </c>
      <c r="E1948" t="s">
        <v>1019</v>
      </c>
      <c r="F1948" t="s">
        <v>5324</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4" customHeight="1">
      <c r="A1949" t="s">
        <v>381</v>
      </c>
      <c r="B1949">
        <v>81</v>
      </c>
      <c r="C1949" t="s">
        <v>61</v>
      </c>
      <c r="D1949">
        <v>88</v>
      </c>
      <c r="E1949" t="s">
        <v>1019</v>
      </c>
      <c r="F1949" t="s">
        <v>5325</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4" customHeight="1">
      <c r="A1950" t="s">
        <v>381</v>
      </c>
      <c r="B1950">
        <v>82</v>
      </c>
      <c r="C1950" t="s">
        <v>61</v>
      </c>
      <c r="D1950">
        <v>89</v>
      </c>
      <c r="E1950" t="s">
        <v>1051</v>
      </c>
      <c r="F1950" t="s">
        <v>5322</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4" customHeight="1">
      <c r="A1951" t="s">
        <v>381</v>
      </c>
      <c r="B1951">
        <v>83</v>
      </c>
      <c r="C1951" t="s">
        <v>61</v>
      </c>
      <c r="D1951">
        <v>90</v>
      </c>
      <c r="E1951" t="s">
        <v>1051</v>
      </c>
      <c r="F1951" t="s">
        <v>5323</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4" customHeight="1">
      <c r="A1952" t="s">
        <v>381</v>
      </c>
      <c r="B1952">
        <v>84</v>
      </c>
      <c r="C1952" t="s">
        <v>61</v>
      </c>
      <c r="D1952">
        <v>91</v>
      </c>
      <c r="E1952" t="s">
        <v>1051</v>
      </c>
      <c r="F1952" t="s">
        <v>5324</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4" customHeight="1">
      <c r="A1953" t="s">
        <v>381</v>
      </c>
      <c r="B1953">
        <v>85</v>
      </c>
      <c r="C1953" t="s">
        <v>61</v>
      </c>
      <c r="D1953">
        <v>92</v>
      </c>
      <c r="E1953" t="s">
        <v>1051</v>
      </c>
      <c r="F1953" t="s">
        <v>5324</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4" customHeight="1">
      <c r="A1954" t="s">
        <v>381</v>
      </c>
      <c r="B1954">
        <v>86</v>
      </c>
      <c r="C1954" t="s">
        <v>61</v>
      </c>
      <c r="D1954">
        <v>93</v>
      </c>
      <c r="E1954" t="s">
        <v>1051</v>
      </c>
      <c r="F1954" t="s">
        <v>5324</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4" customHeight="1">
      <c r="A1955" t="s">
        <v>381</v>
      </c>
      <c r="B1955">
        <v>87</v>
      </c>
      <c r="C1955" t="s">
        <v>61</v>
      </c>
      <c r="D1955">
        <v>94</v>
      </c>
      <c r="E1955" t="s">
        <v>1051</v>
      </c>
      <c r="F1955" t="s">
        <v>5324</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4" customHeight="1">
      <c r="A1956" t="s">
        <v>381</v>
      </c>
      <c r="B1956">
        <v>88</v>
      </c>
      <c r="C1956" t="s">
        <v>61</v>
      </c>
      <c r="D1956">
        <v>95</v>
      </c>
      <c r="E1956" t="s">
        <v>1051</v>
      </c>
      <c r="F1956" t="s">
        <v>5324</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4" customHeight="1">
      <c r="A1957" t="s">
        <v>381</v>
      </c>
      <c r="B1957">
        <v>89</v>
      </c>
      <c r="C1957" t="s">
        <v>61</v>
      </c>
      <c r="D1957">
        <v>96</v>
      </c>
      <c r="E1957" t="s">
        <v>1051</v>
      </c>
      <c r="F1957" t="s">
        <v>5324</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4" customHeight="1">
      <c r="A1958" t="s">
        <v>381</v>
      </c>
      <c r="B1958">
        <v>90</v>
      </c>
      <c r="C1958" t="s">
        <v>61</v>
      </c>
      <c r="D1958">
        <v>97</v>
      </c>
      <c r="E1958" t="s">
        <v>1051</v>
      </c>
      <c r="F1958" t="s">
        <v>5324</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4" customHeight="1">
      <c r="A1959" t="s">
        <v>381</v>
      </c>
      <c r="B1959">
        <v>91</v>
      </c>
      <c r="C1959" t="s">
        <v>61</v>
      </c>
      <c r="D1959">
        <v>98</v>
      </c>
      <c r="E1959" t="s">
        <v>1051</v>
      </c>
      <c r="F1959" t="s">
        <v>5324</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4" customHeight="1">
      <c r="A1960" t="s">
        <v>381</v>
      </c>
      <c r="B1960">
        <v>92</v>
      </c>
      <c r="C1960" t="s">
        <v>61</v>
      </c>
      <c r="D1960">
        <v>99</v>
      </c>
      <c r="E1960" t="s">
        <v>1051</v>
      </c>
      <c r="F1960" t="s">
        <v>5325</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4" customHeight="1">
      <c r="A1961" t="s">
        <v>381</v>
      </c>
      <c r="B1961">
        <v>93</v>
      </c>
      <c r="C1961" t="s">
        <v>61</v>
      </c>
      <c r="D1961">
        <v>100</v>
      </c>
      <c r="E1961" t="s">
        <v>1052</v>
      </c>
      <c r="F1961" t="s">
        <v>5322</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4" customHeight="1">
      <c r="A1962" t="s">
        <v>381</v>
      </c>
      <c r="B1962">
        <v>94</v>
      </c>
      <c r="C1962" t="s">
        <v>61</v>
      </c>
      <c r="D1962">
        <v>101</v>
      </c>
      <c r="E1962" t="s">
        <v>1052</v>
      </c>
      <c r="F1962" t="s">
        <v>5323</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4" customHeight="1">
      <c r="A1963" t="s">
        <v>381</v>
      </c>
      <c r="B1963">
        <v>95</v>
      </c>
      <c r="C1963" t="s">
        <v>61</v>
      </c>
      <c r="D1963">
        <v>102</v>
      </c>
      <c r="E1963" t="s">
        <v>1052</v>
      </c>
      <c r="F1963" t="s">
        <v>5324</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4" customHeight="1">
      <c r="A1964" t="s">
        <v>381</v>
      </c>
      <c r="B1964">
        <v>96</v>
      </c>
      <c r="C1964" t="s">
        <v>61</v>
      </c>
      <c r="D1964">
        <v>103</v>
      </c>
      <c r="E1964" t="s">
        <v>1052</v>
      </c>
      <c r="F1964" t="s">
        <v>5324</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4" customHeight="1">
      <c r="A1965" t="s">
        <v>381</v>
      </c>
      <c r="B1965">
        <v>97</v>
      </c>
      <c r="C1965" t="s">
        <v>61</v>
      </c>
      <c r="D1965">
        <v>104</v>
      </c>
      <c r="E1965" t="s">
        <v>1052</v>
      </c>
      <c r="F1965" t="s">
        <v>5324</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4" customHeight="1">
      <c r="A1966" t="s">
        <v>381</v>
      </c>
      <c r="B1966">
        <v>98</v>
      </c>
      <c r="C1966" t="s">
        <v>61</v>
      </c>
      <c r="D1966">
        <v>105</v>
      </c>
      <c r="E1966" t="s">
        <v>1052</v>
      </c>
      <c r="F1966" t="s">
        <v>5324</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4" customHeight="1">
      <c r="A1967" t="s">
        <v>381</v>
      </c>
      <c r="B1967">
        <v>99</v>
      </c>
      <c r="C1967" t="s">
        <v>61</v>
      </c>
      <c r="D1967">
        <v>106</v>
      </c>
      <c r="E1967" t="s">
        <v>1052</v>
      </c>
      <c r="F1967" t="s">
        <v>5324</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4" customHeight="1">
      <c r="A1968" t="s">
        <v>381</v>
      </c>
      <c r="B1968">
        <v>100</v>
      </c>
      <c r="C1968" t="s">
        <v>61</v>
      </c>
      <c r="D1968">
        <v>107</v>
      </c>
      <c r="E1968" t="s">
        <v>1052</v>
      </c>
      <c r="F1968" t="s">
        <v>5324</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4" customHeight="1">
      <c r="A1969" t="s">
        <v>381</v>
      </c>
      <c r="B1969">
        <v>101</v>
      </c>
      <c r="C1969" t="s">
        <v>61</v>
      </c>
      <c r="D1969">
        <v>108</v>
      </c>
      <c r="E1969" t="s">
        <v>1052</v>
      </c>
      <c r="F1969" t="s">
        <v>5324</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4" customHeight="1">
      <c r="A1970" t="s">
        <v>381</v>
      </c>
      <c r="B1970">
        <v>102</v>
      </c>
      <c r="C1970" t="s">
        <v>61</v>
      </c>
      <c r="D1970">
        <v>109</v>
      </c>
      <c r="E1970" t="s">
        <v>1052</v>
      </c>
      <c r="F1970" t="s">
        <v>5324</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4" customHeight="1">
      <c r="A1971" t="s">
        <v>381</v>
      </c>
      <c r="B1971">
        <v>103</v>
      </c>
      <c r="C1971" t="s">
        <v>61</v>
      </c>
      <c r="D1971">
        <v>110</v>
      </c>
      <c r="E1971" t="s">
        <v>1052</v>
      </c>
      <c r="F1971" t="s">
        <v>5325</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4" customHeight="1">
      <c r="A1972" t="s">
        <v>384</v>
      </c>
      <c r="B1972">
        <v>1</v>
      </c>
      <c r="C1972" t="s">
        <v>63</v>
      </c>
      <c r="D1972">
        <v>8</v>
      </c>
      <c r="E1972" t="s">
        <v>918</v>
      </c>
      <c r="F1972" t="s">
        <v>5322</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4" customHeight="1">
      <c r="A1973" t="s">
        <v>384</v>
      </c>
      <c r="B1973">
        <v>2</v>
      </c>
      <c r="C1973" t="s">
        <v>63</v>
      </c>
      <c r="D1973">
        <v>9</v>
      </c>
      <c r="E1973" t="s">
        <v>918</v>
      </c>
      <c r="F1973" t="s">
        <v>5323</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4" customHeight="1">
      <c r="A1974" t="s">
        <v>384</v>
      </c>
      <c r="B1974">
        <v>3</v>
      </c>
      <c r="C1974" t="s">
        <v>63</v>
      </c>
      <c r="D1974">
        <v>10</v>
      </c>
      <c r="E1974" t="s">
        <v>918</v>
      </c>
      <c r="F1974" t="s">
        <v>5324</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4" customHeight="1">
      <c r="A1975" t="s">
        <v>384</v>
      </c>
      <c r="B1975">
        <v>4</v>
      </c>
      <c r="C1975" t="s">
        <v>63</v>
      </c>
      <c r="D1975">
        <v>11</v>
      </c>
      <c r="E1975" t="s">
        <v>918</v>
      </c>
      <c r="F1975" t="s">
        <v>5324</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4" customHeight="1">
      <c r="A1976" t="s">
        <v>384</v>
      </c>
      <c r="B1976">
        <v>5</v>
      </c>
      <c r="C1976" t="s">
        <v>63</v>
      </c>
      <c r="D1976">
        <v>12</v>
      </c>
      <c r="E1976" t="s">
        <v>918</v>
      </c>
      <c r="F1976" t="s">
        <v>5325</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4" customHeight="1">
      <c r="A1977" t="s">
        <v>384</v>
      </c>
      <c r="B1977">
        <v>6</v>
      </c>
      <c r="C1977" t="s">
        <v>63</v>
      </c>
      <c r="D1977">
        <v>13</v>
      </c>
      <c r="E1977" t="s">
        <v>936</v>
      </c>
      <c r="F1977" t="s">
        <v>5322</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4" customHeight="1">
      <c r="A1978" t="s">
        <v>384</v>
      </c>
      <c r="B1978">
        <v>7</v>
      </c>
      <c r="C1978" t="s">
        <v>63</v>
      </c>
      <c r="D1978">
        <v>14</v>
      </c>
      <c r="E1978" t="s">
        <v>936</v>
      </c>
      <c r="F1978" t="s">
        <v>5323</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4" customHeight="1">
      <c r="A1979" t="s">
        <v>384</v>
      </c>
      <c r="B1979">
        <v>8</v>
      </c>
      <c r="C1979" t="s">
        <v>63</v>
      </c>
      <c r="D1979">
        <v>15</v>
      </c>
      <c r="E1979" t="s">
        <v>936</v>
      </c>
      <c r="F1979" t="s">
        <v>5324</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4" customHeight="1">
      <c r="A1980" t="s">
        <v>384</v>
      </c>
      <c r="B1980">
        <v>9</v>
      </c>
      <c r="C1980" t="s">
        <v>63</v>
      </c>
      <c r="D1980">
        <v>16</v>
      </c>
      <c r="E1980" t="s">
        <v>936</v>
      </c>
      <c r="F1980" t="s">
        <v>5324</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4" customHeight="1">
      <c r="A1981" t="s">
        <v>384</v>
      </c>
      <c r="B1981">
        <v>10</v>
      </c>
      <c r="C1981" t="s">
        <v>63</v>
      </c>
      <c r="D1981">
        <v>17</v>
      </c>
      <c r="E1981" t="s">
        <v>936</v>
      </c>
      <c r="F1981" t="s">
        <v>5325</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4" customHeight="1">
      <c r="A1982" t="s">
        <v>384</v>
      </c>
      <c r="B1982">
        <v>11</v>
      </c>
      <c r="C1982" t="s">
        <v>63</v>
      </c>
      <c r="D1982">
        <v>18</v>
      </c>
      <c r="E1982" t="s">
        <v>951</v>
      </c>
      <c r="F1982" t="s">
        <v>5322</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4" customHeight="1">
      <c r="A1983" t="s">
        <v>384</v>
      </c>
      <c r="B1983">
        <v>12</v>
      </c>
      <c r="C1983" t="s">
        <v>63</v>
      </c>
      <c r="D1983">
        <v>19</v>
      </c>
      <c r="E1983" t="s">
        <v>951</v>
      </c>
      <c r="F1983" t="s">
        <v>5323</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4" customHeight="1">
      <c r="A1984" t="s">
        <v>384</v>
      </c>
      <c r="B1984">
        <v>13</v>
      </c>
      <c r="C1984" t="s">
        <v>63</v>
      </c>
      <c r="D1984">
        <v>20</v>
      </c>
      <c r="E1984" t="s">
        <v>951</v>
      </c>
      <c r="F1984" t="s">
        <v>5324</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4" customHeight="1">
      <c r="A1985" t="s">
        <v>384</v>
      </c>
      <c r="B1985">
        <v>14</v>
      </c>
      <c r="C1985" t="s">
        <v>63</v>
      </c>
      <c r="D1985">
        <v>21</v>
      </c>
      <c r="E1985" t="s">
        <v>951</v>
      </c>
      <c r="F1985" t="s">
        <v>5324</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4" customHeight="1">
      <c r="A1986" t="s">
        <v>384</v>
      </c>
      <c r="B1986">
        <v>15</v>
      </c>
      <c r="C1986" t="s">
        <v>63</v>
      </c>
      <c r="D1986">
        <v>22</v>
      </c>
      <c r="E1986" t="s">
        <v>951</v>
      </c>
      <c r="F1986" t="s">
        <v>5325</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4" customHeight="1">
      <c r="A1987" t="s">
        <v>384</v>
      </c>
      <c r="B1987">
        <v>16</v>
      </c>
      <c r="C1987" t="s">
        <v>63</v>
      </c>
      <c r="D1987">
        <v>23</v>
      </c>
      <c r="E1987" t="s">
        <v>964</v>
      </c>
      <c r="F1987" t="s">
        <v>5322</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4" customHeight="1">
      <c r="A1988" t="s">
        <v>384</v>
      </c>
      <c r="B1988">
        <v>17</v>
      </c>
      <c r="C1988" t="s">
        <v>63</v>
      </c>
      <c r="D1988">
        <v>24</v>
      </c>
      <c r="E1988" t="s">
        <v>964</v>
      </c>
      <c r="F1988" t="s">
        <v>5323</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4" customHeight="1">
      <c r="A1989" t="s">
        <v>384</v>
      </c>
      <c r="B1989">
        <v>18</v>
      </c>
      <c r="C1989" t="s">
        <v>63</v>
      </c>
      <c r="D1989">
        <v>25</v>
      </c>
      <c r="E1989" t="s">
        <v>964</v>
      </c>
      <c r="F1989" t="s">
        <v>5324</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4" customHeight="1">
      <c r="A1990" t="s">
        <v>384</v>
      </c>
      <c r="B1990">
        <v>19</v>
      </c>
      <c r="C1990" t="s">
        <v>63</v>
      </c>
      <c r="D1990">
        <v>26</v>
      </c>
      <c r="E1990" t="s">
        <v>964</v>
      </c>
      <c r="F1990" t="s">
        <v>5324</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4" customHeight="1">
      <c r="A1991" t="s">
        <v>384</v>
      </c>
      <c r="B1991">
        <v>20</v>
      </c>
      <c r="C1991" t="s">
        <v>63</v>
      </c>
      <c r="D1991">
        <v>27</v>
      </c>
      <c r="E1991" t="s">
        <v>964</v>
      </c>
      <c r="F1991" t="s">
        <v>5325</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4" customHeight="1">
      <c r="A1992" t="s">
        <v>384</v>
      </c>
      <c r="B1992">
        <v>21</v>
      </c>
      <c r="C1992" t="s">
        <v>63</v>
      </c>
      <c r="D1992">
        <v>28</v>
      </c>
      <c r="E1992" t="s">
        <v>977</v>
      </c>
      <c r="F1992" t="s">
        <v>5322</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4" customHeight="1">
      <c r="A1993" t="s">
        <v>384</v>
      </c>
      <c r="B1993">
        <v>22</v>
      </c>
      <c r="C1993" t="s">
        <v>63</v>
      </c>
      <c r="D1993">
        <v>29</v>
      </c>
      <c r="E1993" t="s">
        <v>977</v>
      </c>
      <c r="F1993" t="s">
        <v>5323</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4" customHeight="1">
      <c r="A1994" t="s">
        <v>384</v>
      </c>
      <c r="B1994">
        <v>23</v>
      </c>
      <c r="C1994" t="s">
        <v>63</v>
      </c>
      <c r="D1994">
        <v>30</v>
      </c>
      <c r="E1994" t="s">
        <v>977</v>
      </c>
      <c r="F1994" t="s">
        <v>5324</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4" customHeight="1">
      <c r="A1995" t="s">
        <v>384</v>
      </c>
      <c r="B1995">
        <v>24</v>
      </c>
      <c r="C1995" t="s">
        <v>63</v>
      </c>
      <c r="D1995">
        <v>31</v>
      </c>
      <c r="E1995" t="s">
        <v>977</v>
      </c>
      <c r="F1995" t="s">
        <v>5324</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4" customHeight="1">
      <c r="A1996" t="s">
        <v>384</v>
      </c>
      <c r="B1996">
        <v>25</v>
      </c>
      <c r="C1996" t="s">
        <v>63</v>
      </c>
      <c r="D1996">
        <v>32</v>
      </c>
      <c r="E1996" t="s">
        <v>977</v>
      </c>
      <c r="F1996" t="s">
        <v>5325</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4" customHeight="1">
      <c r="A1997" t="s">
        <v>384</v>
      </c>
      <c r="B1997">
        <v>26</v>
      </c>
      <c r="C1997" t="s">
        <v>63</v>
      </c>
      <c r="D1997">
        <v>33</v>
      </c>
      <c r="E1997" t="s">
        <v>994</v>
      </c>
      <c r="F1997" t="s">
        <v>5322</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4" customHeight="1">
      <c r="A1998" t="s">
        <v>384</v>
      </c>
      <c r="B1998">
        <v>27</v>
      </c>
      <c r="C1998" t="s">
        <v>63</v>
      </c>
      <c r="D1998">
        <v>34</v>
      </c>
      <c r="E1998" t="s">
        <v>994</v>
      </c>
      <c r="F1998" t="s">
        <v>5323</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4" customHeight="1">
      <c r="A1999" t="s">
        <v>384</v>
      </c>
      <c r="B1999">
        <v>28</v>
      </c>
      <c r="C1999" t="s">
        <v>63</v>
      </c>
      <c r="D1999">
        <v>35</v>
      </c>
      <c r="E1999" t="s">
        <v>994</v>
      </c>
      <c r="F1999" t="s">
        <v>5324</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4" customHeight="1">
      <c r="A2000" t="s">
        <v>384</v>
      </c>
      <c r="B2000">
        <v>29</v>
      </c>
      <c r="C2000" t="s">
        <v>63</v>
      </c>
      <c r="D2000">
        <v>36</v>
      </c>
      <c r="E2000" t="s">
        <v>994</v>
      </c>
      <c r="F2000" t="s">
        <v>5324</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4" customHeight="1">
      <c r="A2001" t="s">
        <v>384</v>
      </c>
      <c r="B2001">
        <v>30</v>
      </c>
      <c r="C2001" t="s">
        <v>63</v>
      </c>
      <c r="D2001">
        <v>37</v>
      </c>
      <c r="E2001" t="s">
        <v>994</v>
      </c>
      <c r="F2001" t="s">
        <v>5325</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4" customHeight="1">
      <c r="A2002" t="s">
        <v>384</v>
      </c>
      <c r="B2002">
        <v>31</v>
      </c>
      <c r="C2002" t="s">
        <v>63</v>
      </c>
      <c r="D2002">
        <v>38</v>
      </c>
      <c r="E2002" t="s">
        <v>1007</v>
      </c>
      <c r="F2002" t="s">
        <v>5322</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4" customHeight="1">
      <c r="A2003" t="s">
        <v>384</v>
      </c>
      <c r="B2003">
        <v>32</v>
      </c>
      <c r="C2003" t="s">
        <v>63</v>
      </c>
      <c r="D2003">
        <v>39</v>
      </c>
      <c r="E2003" t="s">
        <v>1007</v>
      </c>
      <c r="F2003" t="s">
        <v>5323</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4" customHeight="1">
      <c r="A2004" t="s">
        <v>384</v>
      </c>
      <c r="B2004">
        <v>33</v>
      </c>
      <c r="C2004" t="s">
        <v>63</v>
      </c>
      <c r="D2004">
        <v>40</v>
      </c>
      <c r="E2004" t="s">
        <v>1007</v>
      </c>
      <c r="F2004" t="s">
        <v>5324</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4" customHeight="1">
      <c r="A2005" t="s">
        <v>384</v>
      </c>
      <c r="B2005">
        <v>34</v>
      </c>
      <c r="C2005" t="s">
        <v>63</v>
      </c>
      <c r="D2005">
        <v>41</v>
      </c>
      <c r="E2005" t="s">
        <v>1007</v>
      </c>
      <c r="F2005" t="s">
        <v>5324</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4" customHeight="1">
      <c r="A2006" t="s">
        <v>384</v>
      </c>
      <c r="B2006">
        <v>35</v>
      </c>
      <c r="C2006" t="s">
        <v>63</v>
      </c>
      <c r="D2006">
        <v>42</v>
      </c>
      <c r="E2006" t="s">
        <v>1007</v>
      </c>
      <c r="F2006" t="s">
        <v>5325</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4" customHeight="1">
      <c r="A2007" t="s">
        <v>384</v>
      </c>
      <c r="B2007">
        <v>36</v>
      </c>
      <c r="C2007" t="s">
        <v>63</v>
      </c>
      <c r="D2007">
        <v>43</v>
      </c>
      <c r="E2007" t="s">
        <v>1019</v>
      </c>
      <c r="F2007" t="s">
        <v>5322</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4" customHeight="1">
      <c r="A2008" t="s">
        <v>384</v>
      </c>
      <c r="B2008">
        <v>37</v>
      </c>
      <c r="C2008" t="s">
        <v>63</v>
      </c>
      <c r="D2008">
        <v>44</v>
      </c>
      <c r="E2008" t="s">
        <v>1019</v>
      </c>
      <c r="F2008" t="s">
        <v>5323</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4" customHeight="1">
      <c r="A2009" t="s">
        <v>384</v>
      </c>
      <c r="B2009">
        <v>38</v>
      </c>
      <c r="C2009" t="s">
        <v>63</v>
      </c>
      <c r="D2009">
        <v>45</v>
      </c>
      <c r="E2009" t="s">
        <v>1019</v>
      </c>
      <c r="F2009" t="s">
        <v>5324</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4" customHeight="1">
      <c r="A2010" t="s">
        <v>384</v>
      </c>
      <c r="B2010">
        <v>39</v>
      </c>
      <c r="C2010" t="s">
        <v>63</v>
      </c>
      <c r="D2010">
        <v>46</v>
      </c>
      <c r="E2010" t="s">
        <v>1019</v>
      </c>
      <c r="F2010" t="s">
        <v>5324</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4" customHeight="1">
      <c r="A2011" t="s">
        <v>384</v>
      </c>
      <c r="B2011">
        <v>40</v>
      </c>
      <c r="C2011" t="s">
        <v>63</v>
      </c>
      <c r="D2011">
        <v>47</v>
      </c>
      <c r="E2011" t="s">
        <v>1019</v>
      </c>
      <c r="F2011" t="s">
        <v>5324</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4" customHeight="1">
      <c r="A2012" t="s">
        <v>384</v>
      </c>
      <c r="B2012">
        <v>41</v>
      </c>
      <c r="C2012" t="s">
        <v>63</v>
      </c>
      <c r="D2012">
        <v>48</v>
      </c>
      <c r="E2012" t="s">
        <v>1019</v>
      </c>
      <c r="F2012" t="s">
        <v>5324</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4" customHeight="1">
      <c r="A2013" t="s">
        <v>384</v>
      </c>
      <c r="B2013">
        <v>42</v>
      </c>
      <c r="C2013" t="s">
        <v>63</v>
      </c>
      <c r="D2013">
        <v>49</v>
      </c>
      <c r="E2013" t="s">
        <v>1019</v>
      </c>
      <c r="F2013" t="s">
        <v>5324</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4" customHeight="1">
      <c r="A2014" t="s">
        <v>384</v>
      </c>
      <c r="B2014">
        <v>43</v>
      </c>
      <c r="C2014" t="s">
        <v>63</v>
      </c>
      <c r="D2014">
        <v>50</v>
      </c>
      <c r="E2014" t="s">
        <v>1019</v>
      </c>
      <c r="F2014" t="s">
        <v>5324</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4" customHeight="1">
      <c r="A2015" t="s">
        <v>384</v>
      </c>
      <c r="B2015">
        <v>44</v>
      </c>
      <c r="C2015" t="s">
        <v>63</v>
      </c>
      <c r="D2015">
        <v>51</v>
      </c>
      <c r="E2015" t="s">
        <v>1019</v>
      </c>
      <c r="F2015" t="s">
        <v>5324</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4" customHeight="1">
      <c r="A2016" t="s">
        <v>384</v>
      </c>
      <c r="B2016">
        <v>45</v>
      </c>
      <c r="C2016" t="s">
        <v>63</v>
      </c>
      <c r="D2016">
        <v>52</v>
      </c>
      <c r="E2016" t="s">
        <v>1019</v>
      </c>
      <c r="F2016" t="s">
        <v>5324</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4" customHeight="1">
      <c r="A2017" t="s">
        <v>384</v>
      </c>
      <c r="B2017">
        <v>46</v>
      </c>
      <c r="C2017" t="s">
        <v>63</v>
      </c>
      <c r="D2017">
        <v>53</v>
      </c>
      <c r="E2017" t="s">
        <v>1019</v>
      </c>
      <c r="F2017" t="s">
        <v>5325</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4" customHeight="1">
      <c r="A2018" t="s">
        <v>384</v>
      </c>
      <c r="B2018">
        <v>47</v>
      </c>
      <c r="C2018" t="s">
        <v>63</v>
      </c>
      <c r="D2018">
        <v>54</v>
      </c>
      <c r="E2018" t="s">
        <v>1051</v>
      </c>
      <c r="F2018" t="s">
        <v>5322</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4" customHeight="1">
      <c r="A2019" t="s">
        <v>384</v>
      </c>
      <c r="B2019">
        <v>48</v>
      </c>
      <c r="C2019" t="s">
        <v>63</v>
      </c>
      <c r="D2019">
        <v>55</v>
      </c>
      <c r="E2019" t="s">
        <v>1051</v>
      </c>
      <c r="F2019" t="s">
        <v>5323</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4" customHeight="1">
      <c r="A2020" t="s">
        <v>384</v>
      </c>
      <c r="B2020">
        <v>49</v>
      </c>
      <c r="C2020" t="s">
        <v>63</v>
      </c>
      <c r="D2020">
        <v>56</v>
      </c>
      <c r="E2020" t="s">
        <v>1051</v>
      </c>
      <c r="F2020" t="s">
        <v>5324</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4" customHeight="1">
      <c r="A2021" t="s">
        <v>384</v>
      </c>
      <c r="B2021">
        <v>50</v>
      </c>
      <c r="C2021" t="s">
        <v>63</v>
      </c>
      <c r="D2021">
        <v>57</v>
      </c>
      <c r="E2021" t="s">
        <v>1051</v>
      </c>
      <c r="F2021" t="s">
        <v>5324</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4" customHeight="1">
      <c r="A2022" t="s">
        <v>384</v>
      </c>
      <c r="B2022">
        <v>51</v>
      </c>
      <c r="C2022" t="s">
        <v>63</v>
      </c>
      <c r="D2022">
        <v>58</v>
      </c>
      <c r="E2022" t="s">
        <v>1051</v>
      </c>
      <c r="F2022" t="s">
        <v>5324</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4" customHeight="1">
      <c r="A2023" t="s">
        <v>384</v>
      </c>
      <c r="B2023">
        <v>52</v>
      </c>
      <c r="C2023" t="s">
        <v>63</v>
      </c>
      <c r="D2023">
        <v>59</v>
      </c>
      <c r="E2023" t="s">
        <v>1051</v>
      </c>
      <c r="F2023" t="s">
        <v>5324</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4" customHeight="1">
      <c r="A2024" t="s">
        <v>384</v>
      </c>
      <c r="B2024">
        <v>53</v>
      </c>
      <c r="C2024" t="s">
        <v>63</v>
      </c>
      <c r="D2024">
        <v>60</v>
      </c>
      <c r="E2024" t="s">
        <v>1051</v>
      </c>
      <c r="F2024" t="s">
        <v>5324</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4" customHeight="1">
      <c r="A2025" t="s">
        <v>384</v>
      </c>
      <c r="B2025">
        <v>54</v>
      </c>
      <c r="C2025" t="s">
        <v>63</v>
      </c>
      <c r="D2025">
        <v>61</v>
      </c>
      <c r="E2025" t="s">
        <v>1051</v>
      </c>
      <c r="F2025" t="s">
        <v>5324</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4" customHeight="1">
      <c r="A2026" t="s">
        <v>384</v>
      </c>
      <c r="B2026">
        <v>55</v>
      </c>
      <c r="C2026" t="s">
        <v>63</v>
      </c>
      <c r="D2026">
        <v>62</v>
      </c>
      <c r="E2026" t="s">
        <v>1051</v>
      </c>
      <c r="F2026" t="s">
        <v>5324</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4" customHeight="1">
      <c r="A2027" t="s">
        <v>384</v>
      </c>
      <c r="B2027">
        <v>56</v>
      </c>
      <c r="C2027" t="s">
        <v>63</v>
      </c>
      <c r="D2027">
        <v>63</v>
      </c>
      <c r="E2027" t="s">
        <v>1051</v>
      </c>
      <c r="F2027" t="s">
        <v>5324</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4" customHeight="1">
      <c r="A2028" t="s">
        <v>384</v>
      </c>
      <c r="B2028">
        <v>57</v>
      </c>
      <c r="C2028" t="s">
        <v>63</v>
      </c>
      <c r="D2028">
        <v>64</v>
      </c>
      <c r="E2028" t="s">
        <v>1051</v>
      </c>
      <c r="F2028" t="s">
        <v>5325</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4" customHeight="1">
      <c r="A2029" t="s">
        <v>384</v>
      </c>
      <c r="B2029">
        <v>58</v>
      </c>
      <c r="C2029" t="s">
        <v>63</v>
      </c>
      <c r="D2029">
        <v>65</v>
      </c>
      <c r="E2029" t="s">
        <v>1052</v>
      </c>
      <c r="F2029" t="s">
        <v>5322</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4" customHeight="1">
      <c r="A2030" t="s">
        <v>384</v>
      </c>
      <c r="B2030">
        <v>59</v>
      </c>
      <c r="C2030" t="s">
        <v>63</v>
      </c>
      <c r="D2030">
        <v>66</v>
      </c>
      <c r="E2030" t="s">
        <v>1052</v>
      </c>
      <c r="F2030" t="s">
        <v>5323</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4" customHeight="1">
      <c r="A2031" t="s">
        <v>384</v>
      </c>
      <c r="B2031">
        <v>60</v>
      </c>
      <c r="C2031" t="s">
        <v>63</v>
      </c>
      <c r="D2031">
        <v>67</v>
      </c>
      <c r="E2031" t="s">
        <v>1052</v>
      </c>
      <c r="F2031" t="s">
        <v>5324</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4" customHeight="1">
      <c r="A2032" t="s">
        <v>384</v>
      </c>
      <c r="B2032">
        <v>61</v>
      </c>
      <c r="C2032" t="s">
        <v>63</v>
      </c>
      <c r="D2032">
        <v>68</v>
      </c>
      <c r="E2032" t="s">
        <v>1052</v>
      </c>
      <c r="F2032" t="s">
        <v>5324</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4" customHeight="1">
      <c r="A2033" t="s">
        <v>384</v>
      </c>
      <c r="B2033">
        <v>62</v>
      </c>
      <c r="C2033" t="s">
        <v>63</v>
      </c>
      <c r="D2033">
        <v>69</v>
      </c>
      <c r="E2033" t="s">
        <v>1052</v>
      </c>
      <c r="F2033" t="s">
        <v>5324</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4" customHeight="1">
      <c r="A2034" t="s">
        <v>384</v>
      </c>
      <c r="B2034">
        <v>63</v>
      </c>
      <c r="C2034" t="s">
        <v>63</v>
      </c>
      <c r="D2034">
        <v>70</v>
      </c>
      <c r="E2034" t="s">
        <v>1052</v>
      </c>
      <c r="F2034" t="s">
        <v>5324</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4" customHeight="1">
      <c r="A2035" t="s">
        <v>384</v>
      </c>
      <c r="B2035">
        <v>64</v>
      </c>
      <c r="C2035" t="s">
        <v>63</v>
      </c>
      <c r="D2035">
        <v>71</v>
      </c>
      <c r="E2035" t="s">
        <v>1052</v>
      </c>
      <c r="F2035" t="s">
        <v>5324</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4" customHeight="1">
      <c r="A2036" t="s">
        <v>384</v>
      </c>
      <c r="B2036">
        <v>65</v>
      </c>
      <c r="C2036" t="s">
        <v>63</v>
      </c>
      <c r="D2036">
        <v>72</v>
      </c>
      <c r="E2036" t="s">
        <v>1052</v>
      </c>
      <c r="F2036" t="s">
        <v>5324</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4" customHeight="1">
      <c r="A2037" t="s">
        <v>384</v>
      </c>
      <c r="B2037">
        <v>66</v>
      </c>
      <c r="C2037" t="s">
        <v>63</v>
      </c>
      <c r="D2037">
        <v>73</v>
      </c>
      <c r="E2037" t="s">
        <v>1052</v>
      </c>
      <c r="F2037" t="s">
        <v>5324</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4" customHeight="1">
      <c r="A2038" t="s">
        <v>384</v>
      </c>
      <c r="B2038">
        <v>67</v>
      </c>
      <c r="C2038" t="s">
        <v>63</v>
      </c>
      <c r="D2038">
        <v>74</v>
      </c>
      <c r="E2038" t="s">
        <v>1052</v>
      </c>
      <c r="F2038" t="s">
        <v>5324</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4" customHeight="1">
      <c r="A2039" t="s">
        <v>384</v>
      </c>
      <c r="B2039">
        <v>68</v>
      </c>
      <c r="C2039" t="s">
        <v>63</v>
      </c>
      <c r="D2039">
        <v>75</v>
      </c>
      <c r="E2039" t="s">
        <v>1052</v>
      </c>
      <c r="F2039" t="s">
        <v>5325</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4" customHeight="1">
      <c r="A2040" t="s">
        <v>388</v>
      </c>
      <c r="B2040">
        <v>1</v>
      </c>
      <c r="C2040" t="s">
        <v>65</v>
      </c>
      <c r="D2040">
        <v>8</v>
      </c>
      <c r="E2040" t="s">
        <v>918</v>
      </c>
      <c r="F2040" t="s">
        <v>5322</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4" customHeight="1">
      <c r="A2041" t="s">
        <v>388</v>
      </c>
      <c r="B2041">
        <v>2</v>
      </c>
      <c r="C2041" t="s">
        <v>65</v>
      </c>
      <c r="D2041">
        <v>9</v>
      </c>
      <c r="E2041" t="s">
        <v>918</v>
      </c>
      <c r="F2041" t="s">
        <v>5323</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4" customHeight="1">
      <c r="A2042" t="s">
        <v>388</v>
      </c>
      <c r="B2042">
        <v>3</v>
      </c>
      <c r="C2042" t="s">
        <v>65</v>
      </c>
      <c r="D2042">
        <v>10</v>
      </c>
      <c r="E2042" t="s">
        <v>918</v>
      </c>
      <c r="F2042" t="s">
        <v>5324</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4" customHeight="1">
      <c r="A2043" t="s">
        <v>388</v>
      </c>
      <c r="B2043">
        <v>4</v>
      </c>
      <c r="C2043" t="s">
        <v>65</v>
      </c>
      <c r="D2043">
        <v>11</v>
      </c>
      <c r="E2043" t="s">
        <v>918</v>
      </c>
      <c r="F2043" t="s">
        <v>5324</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4" customHeight="1">
      <c r="A2044" t="s">
        <v>388</v>
      </c>
      <c r="B2044">
        <v>5</v>
      </c>
      <c r="C2044" t="s">
        <v>65</v>
      </c>
      <c r="D2044">
        <v>12</v>
      </c>
      <c r="E2044" t="s">
        <v>918</v>
      </c>
      <c r="F2044" t="s">
        <v>5325</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4" customHeight="1">
      <c r="A2045" t="s">
        <v>388</v>
      </c>
      <c r="B2045">
        <v>6</v>
      </c>
      <c r="C2045" t="s">
        <v>65</v>
      </c>
      <c r="D2045">
        <v>13</v>
      </c>
      <c r="E2045" t="s">
        <v>936</v>
      </c>
      <c r="F2045" t="s">
        <v>5322</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4" customHeight="1">
      <c r="A2046" t="s">
        <v>388</v>
      </c>
      <c r="B2046">
        <v>7</v>
      </c>
      <c r="C2046" t="s">
        <v>65</v>
      </c>
      <c r="D2046">
        <v>14</v>
      </c>
      <c r="E2046" t="s">
        <v>936</v>
      </c>
      <c r="F2046" t="s">
        <v>5323</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4" customHeight="1">
      <c r="A2047" t="s">
        <v>388</v>
      </c>
      <c r="B2047">
        <v>8</v>
      </c>
      <c r="C2047" t="s">
        <v>65</v>
      </c>
      <c r="D2047">
        <v>15</v>
      </c>
      <c r="E2047" t="s">
        <v>936</v>
      </c>
      <c r="F2047" t="s">
        <v>5324</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4" customHeight="1">
      <c r="A2048" t="s">
        <v>388</v>
      </c>
      <c r="B2048">
        <v>9</v>
      </c>
      <c r="C2048" t="s">
        <v>65</v>
      </c>
      <c r="D2048">
        <v>16</v>
      </c>
      <c r="E2048" t="s">
        <v>936</v>
      </c>
      <c r="F2048" t="s">
        <v>5324</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4" customHeight="1">
      <c r="A2049" t="s">
        <v>388</v>
      </c>
      <c r="B2049">
        <v>10</v>
      </c>
      <c r="C2049" t="s">
        <v>65</v>
      </c>
      <c r="D2049">
        <v>17</v>
      </c>
      <c r="E2049" t="s">
        <v>936</v>
      </c>
      <c r="F2049" t="s">
        <v>5325</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4" customHeight="1">
      <c r="A2050" t="s">
        <v>388</v>
      </c>
      <c r="B2050">
        <v>11</v>
      </c>
      <c r="C2050" t="s">
        <v>65</v>
      </c>
      <c r="D2050">
        <v>18</v>
      </c>
      <c r="E2050" t="s">
        <v>951</v>
      </c>
      <c r="F2050" t="s">
        <v>5322</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4" customHeight="1">
      <c r="A2051" t="s">
        <v>388</v>
      </c>
      <c r="B2051">
        <v>12</v>
      </c>
      <c r="C2051" t="s">
        <v>65</v>
      </c>
      <c r="D2051">
        <v>19</v>
      </c>
      <c r="E2051" t="s">
        <v>951</v>
      </c>
      <c r="F2051" t="s">
        <v>5323</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4" customHeight="1">
      <c r="A2052" t="s">
        <v>388</v>
      </c>
      <c r="B2052">
        <v>13</v>
      </c>
      <c r="C2052" t="s">
        <v>65</v>
      </c>
      <c r="D2052">
        <v>20</v>
      </c>
      <c r="E2052" t="s">
        <v>951</v>
      </c>
      <c r="F2052" t="s">
        <v>5324</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4" customHeight="1">
      <c r="A2053" t="s">
        <v>388</v>
      </c>
      <c r="B2053">
        <v>14</v>
      </c>
      <c r="C2053" t="s">
        <v>65</v>
      </c>
      <c r="D2053">
        <v>21</v>
      </c>
      <c r="E2053" t="s">
        <v>951</v>
      </c>
      <c r="F2053" t="s">
        <v>5324</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4" customHeight="1">
      <c r="A2054" t="s">
        <v>388</v>
      </c>
      <c r="B2054">
        <v>15</v>
      </c>
      <c r="C2054" t="s">
        <v>65</v>
      </c>
      <c r="D2054">
        <v>22</v>
      </c>
      <c r="E2054" t="s">
        <v>951</v>
      </c>
      <c r="F2054" t="s">
        <v>5325</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4" customHeight="1">
      <c r="A2055" t="s">
        <v>388</v>
      </c>
      <c r="B2055">
        <v>16</v>
      </c>
      <c r="C2055" t="s">
        <v>65</v>
      </c>
      <c r="D2055">
        <v>23</v>
      </c>
      <c r="E2055" t="s">
        <v>964</v>
      </c>
      <c r="F2055" t="s">
        <v>5322</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4" customHeight="1">
      <c r="A2056" t="s">
        <v>388</v>
      </c>
      <c r="B2056">
        <v>17</v>
      </c>
      <c r="C2056" t="s">
        <v>65</v>
      </c>
      <c r="D2056">
        <v>24</v>
      </c>
      <c r="E2056" t="s">
        <v>964</v>
      </c>
      <c r="F2056" t="s">
        <v>5323</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4" customHeight="1">
      <c r="A2057" t="s">
        <v>388</v>
      </c>
      <c r="B2057">
        <v>18</v>
      </c>
      <c r="C2057" t="s">
        <v>65</v>
      </c>
      <c r="D2057">
        <v>25</v>
      </c>
      <c r="E2057" t="s">
        <v>964</v>
      </c>
      <c r="F2057" t="s">
        <v>5324</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4" customHeight="1">
      <c r="A2058" t="s">
        <v>388</v>
      </c>
      <c r="B2058">
        <v>19</v>
      </c>
      <c r="C2058" t="s">
        <v>65</v>
      </c>
      <c r="D2058">
        <v>26</v>
      </c>
      <c r="E2058" t="s">
        <v>964</v>
      </c>
      <c r="F2058" t="s">
        <v>5324</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4" customHeight="1">
      <c r="A2059" t="s">
        <v>388</v>
      </c>
      <c r="B2059">
        <v>20</v>
      </c>
      <c r="C2059" t="s">
        <v>65</v>
      </c>
      <c r="D2059">
        <v>27</v>
      </c>
      <c r="E2059" t="s">
        <v>964</v>
      </c>
      <c r="F2059" t="s">
        <v>5325</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4" customHeight="1">
      <c r="A2060" t="s">
        <v>388</v>
      </c>
      <c r="B2060">
        <v>21</v>
      </c>
      <c r="C2060" t="s">
        <v>65</v>
      </c>
      <c r="D2060">
        <v>28</v>
      </c>
      <c r="E2060" t="s">
        <v>977</v>
      </c>
      <c r="F2060" t="s">
        <v>5322</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4" customHeight="1">
      <c r="A2061" t="s">
        <v>388</v>
      </c>
      <c r="B2061">
        <v>22</v>
      </c>
      <c r="C2061" t="s">
        <v>65</v>
      </c>
      <c r="D2061">
        <v>29</v>
      </c>
      <c r="E2061" t="s">
        <v>977</v>
      </c>
      <c r="F2061" t="s">
        <v>5323</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4" customHeight="1">
      <c r="A2062" t="s">
        <v>388</v>
      </c>
      <c r="B2062">
        <v>23</v>
      </c>
      <c r="C2062" t="s">
        <v>65</v>
      </c>
      <c r="D2062">
        <v>30</v>
      </c>
      <c r="E2062" t="s">
        <v>977</v>
      </c>
      <c r="F2062" t="s">
        <v>5324</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4" customHeight="1">
      <c r="A2063" t="s">
        <v>388</v>
      </c>
      <c r="B2063">
        <v>24</v>
      </c>
      <c r="C2063" t="s">
        <v>65</v>
      </c>
      <c r="D2063">
        <v>31</v>
      </c>
      <c r="E2063" t="s">
        <v>977</v>
      </c>
      <c r="F2063" t="s">
        <v>5324</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4" customHeight="1">
      <c r="A2064" t="s">
        <v>388</v>
      </c>
      <c r="B2064">
        <v>25</v>
      </c>
      <c r="C2064" t="s">
        <v>65</v>
      </c>
      <c r="D2064">
        <v>32</v>
      </c>
      <c r="E2064" t="s">
        <v>977</v>
      </c>
      <c r="F2064" t="s">
        <v>5325</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4" customHeight="1">
      <c r="A2065" t="s">
        <v>388</v>
      </c>
      <c r="B2065">
        <v>26</v>
      </c>
      <c r="C2065" t="s">
        <v>65</v>
      </c>
      <c r="D2065">
        <v>33</v>
      </c>
      <c r="E2065" t="s">
        <v>994</v>
      </c>
      <c r="F2065" t="s">
        <v>5322</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4" customHeight="1">
      <c r="A2066" t="s">
        <v>388</v>
      </c>
      <c r="B2066">
        <v>27</v>
      </c>
      <c r="C2066" t="s">
        <v>65</v>
      </c>
      <c r="D2066">
        <v>34</v>
      </c>
      <c r="E2066" t="s">
        <v>994</v>
      </c>
      <c r="F2066" t="s">
        <v>5323</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4" customHeight="1">
      <c r="A2067" t="s">
        <v>388</v>
      </c>
      <c r="B2067">
        <v>28</v>
      </c>
      <c r="C2067" t="s">
        <v>65</v>
      </c>
      <c r="D2067">
        <v>35</v>
      </c>
      <c r="E2067" t="s">
        <v>994</v>
      </c>
      <c r="F2067" t="s">
        <v>5324</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4" customHeight="1">
      <c r="A2068" t="s">
        <v>388</v>
      </c>
      <c r="B2068">
        <v>29</v>
      </c>
      <c r="C2068" t="s">
        <v>65</v>
      </c>
      <c r="D2068">
        <v>36</v>
      </c>
      <c r="E2068" t="s">
        <v>994</v>
      </c>
      <c r="F2068" t="s">
        <v>5324</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4" customHeight="1">
      <c r="A2069" t="s">
        <v>388</v>
      </c>
      <c r="B2069">
        <v>30</v>
      </c>
      <c r="C2069" t="s">
        <v>65</v>
      </c>
      <c r="D2069">
        <v>37</v>
      </c>
      <c r="E2069" t="s">
        <v>994</v>
      </c>
      <c r="F2069" t="s">
        <v>5325</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4" customHeight="1">
      <c r="A2070" t="s">
        <v>388</v>
      </c>
      <c r="B2070">
        <v>31</v>
      </c>
      <c r="C2070" t="s">
        <v>65</v>
      </c>
      <c r="D2070">
        <v>38</v>
      </c>
      <c r="E2070" t="s">
        <v>1007</v>
      </c>
      <c r="F2070" t="s">
        <v>5322</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4" customHeight="1">
      <c r="A2071" t="s">
        <v>388</v>
      </c>
      <c r="B2071">
        <v>32</v>
      </c>
      <c r="C2071" t="s">
        <v>65</v>
      </c>
      <c r="D2071">
        <v>39</v>
      </c>
      <c r="E2071" t="s">
        <v>1007</v>
      </c>
      <c r="F2071" t="s">
        <v>5323</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4" customHeight="1">
      <c r="A2072" t="s">
        <v>388</v>
      </c>
      <c r="B2072">
        <v>33</v>
      </c>
      <c r="C2072" t="s">
        <v>65</v>
      </c>
      <c r="D2072">
        <v>40</v>
      </c>
      <c r="E2072" t="s">
        <v>1007</v>
      </c>
      <c r="F2072" t="s">
        <v>5324</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4" customHeight="1">
      <c r="A2073" t="s">
        <v>388</v>
      </c>
      <c r="B2073">
        <v>34</v>
      </c>
      <c r="C2073" t="s">
        <v>65</v>
      </c>
      <c r="D2073">
        <v>41</v>
      </c>
      <c r="E2073" t="s">
        <v>1007</v>
      </c>
      <c r="F2073" t="s">
        <v>5324</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4" customHeight="1">
      <c r="A2074" t="s">
        <v>388</v>
      </c>
      <c r="B2074">
        <v>35</v>
      </c>
      <c r="C2074" t="s">
        <v>65</v>
      </c>
      <c r="D2074">
        <v>42</v>
      </c>
      <c r="E2074" t="s">
        <v>1007</v>
      </c>
      <c r="F2074" t="s">
        <v>5325</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4" customHeight="1">
      <c r="A2075" t="s">
        <v>388</v>
      </c>
      <c r="B2075">
        <v>36</v>
      </c>
      <c r="C2075" t="s">
        <v>65</v>
      </c>
      <c r="D2075">
        <v>43</v>
      </c>
      <c r="E2075" t="s">
        <v>1019</v>
      </c>
      <c r="F2075" t="s">
        <v>5322</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4" customHeight="1">
      <c r="A2076" t="s">
        <v>388</v>
      </c>
      <c r="B2076">
        <v>37</v>
      </c>
      <c r="C2076" t="s">
        <v>65</v>
      </c>
      <c r="D2076">
        <v>44</v>
      </c>
      <c r="E2076" t="s">
        <v>1019</v>
      </c>
      <c r="F2076" t="s">
        <v>5323</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4" customHeight="1">
      <c r="A2077" t="s">
        <v>388</v>
      </c>
      <c r="B2077">
        <v>38</v>
      </c>
      <c r="C2077" t="s">
        <v>65</v>
      </c>
      <c r="D2077">
        <v>45</v>
      </c>
      <c r="E2077" t="s">
        <v>1019</v>
      </c>
      <c r="F2077" t="s">
        <v>5324</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4" customHeight="1">
      <c r="A2078" t="s">
        <v>388</v>
      </c>
      <c r="B2078">
        <v>39</v>
      </c>
      <c r="C2078" t="s">
        <v>65</v>
      </c>
      <c r="D2078">
        <v>46</v>
      </c>
      <c r="E2078" t="s">
        <v>1019</v>
      </c>
      <c r="F2078" t="s">
        <v>5324</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4" customHeight="1">
      <c r="A2079" t="s">
        <v>388</v>
      </c>
      <c r="B2079">
        <v>40</v>
      </c>
      <c r="C2079" t="s">
        <v>65</v>
      </c>
      <c r="D2079">
        <v>47</v>
      </c>
      <c r="E2079" t="s">
        <v>1019</v>
      </c>
      <c r="F2079" t="s">
        <v>5324</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4" customHeight="1">
      <c r="A2080" t="s">
        <v>388</v>
      </c>
      <c r="B2080">
        <v>41</v>
      </c>
      <c r="C2080" t="s">
        <v>65</v>
      </c>
      <c r="D2080">
        <v>48</v>
      </c>
      <c r="E2080" t="s">
        <v>1019</v>
      </c>
      <c r="F2080" t="s">
        <v>5324</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4" customHeight="1">
      <c r="A2081" t="s">
        <v>388</v>
      </c>
      <c r="B2081">
        <v>42</v>
      </c>
      <c r="C2081" t="s">
        <v>65</v>
      </c>
      <c r="D2081">
        <v>49</v>
      </c>
      <c r="E2081" t="s">
        <v>1019</v>
      </c>
      <c r="F2081" t="s">
        <v>5324</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4" customHeight="1">
      <c r="A2082" t="s">
        <v>388</v>
      </c>
      <c r="B2082">
        <v>43</v>
      </c>
      <c r="C2082" t="s">
        <v>65</v>
      </c>
      <c r="D2082">
        <v>50</v>
      </c>
      <c r="E2082" t="s">
        <v>1019</v>
      </c>
      <c r="F2082" t="s">
        <v>5324</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4" customHeight="1">
      <c r="A2083" t="s">
        <v>388</v>
      </c>
      <c r="B2083">
        <v>44</v>
      </c>
      <c r="C2083" t="s">
        <v>65</v>
      </c>
      <c r="D2083">
        <v>51</v>
      </c>
      <c r="E2083" t="s">
        <v>1019</v>
      </c>
      <c r="F2083" t="s">
        <v>5324</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4" customHeight="1">
      <c r="A2084" t="s">
        <v>388</v>
      </c>
      <c r="B2084">
        <v>45</v>
      </c>
      <c r="C2084" t="s">
        <v>65</v>
      </c>
      <c r="D2084">
        <v>52</v>
      </c>
      <c r="E2084" t="s">
        <v>1019</v>
      </c>
      <c r="F2084" t="s">
        <v>5324</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4" customHeight="1">
      <c r="A2085" t="s">
        <v>388</v>
      </c>
      <c r="B2085">
        <v>46</v>
      </c>
      <c r="C2085" t="s">
        <v>65</v>
      </c>
      <c r="D2085">
        <v>53</v>
      </c>
      <c r="E2085" t="s">
        <v>1019</v>
      </c>
      <c r="F2085" t="s">
        <v>5325</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4" customHeight="1">
      <c r="A2086" t="s">
        <v>388</v>
      </c>
      <c r="B2086">
        <v>47</v>
      </c>
      <c r="C2086" t="s">
        <v>65</v>
      </c>
      <c r="D2086">
        <v>54</v>
      </c>
      <c r="E2086" t="s">
        <v>1051</v>
      </c>
      <c r="F2086" t="s">
        <v>5322</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4" customHeight="1">
      <c r="A2087" t="s">
        <v>388</v>
      </c>
      <c r="B2087">
        <v>48</v>
      </c>
      <c r="C2087" t="s">
        <v>65</v>
      </c>
      <c r="D2087">
        <v>55</v>
      </c>
      <c r="E2087" t="s">
        <v>1051</v>
      </c>
      <c r="F2087" t="s">
        <v>5323</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4" customHeight="1">
      <c r="A2088" t="s">
        <v>388</v>
      </c>
      <c r="B2088">
        <v>49</v>
      </c>
      <c r="C2088" t="s">
        <v>65</v>
      </c>
      <c r="D2088">
        <v>56</v>
      </c>
      <c r="E2088" t="s">
        <v>1051</v>
      </c>
      <c r="F2088" t="s">
        <v>5324</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4" customHeight="1">
      <c r="A2089" t="s">
        <v>388</v>
      </c>
      <c r="B2089">
        <v>50</v>
      </c>
      <c r="C2089" t="s">
        <v>65</v>
      </c>
      <c r="D2089">
        <v>57</v>
      </c>
      <c r="E2089" t="s">
        <v>1051</v>
      </c>
      <c r="F2089" t="s">
        <v>5324</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4" customHeight="1">
      <c r="A2090" t="s">
        <v>388</v>
      </c>
      <c r="B2090">
        <v>51</v>
      </c>
      <c r="C2090" t="s">
        <v>65</v>
      </c>
      <c r="D2090">
        <v>58</v>
      </c>
      <c r="E2090" t="s">
        <v>1051</v>
      </c>
      <c r="F2090" t="s">
        <v>5324</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4" customHeight="1">
      <c r="A2091" t="s">
        <v>388</v>
      </c>
      <c r="B2091">
        <v>52</v>
      </c>
      <c r="C2091" t="s">
        <v>65</v>
      </c>
      <c r="D2091">
        <v>59</v>
      </c>
      <c r="E2091" t="s">
        <v>1051</v>
      </c>
      <c r="F2091" t="s">
        <v>5324</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4" customHeight="1">
      <c r="A2092" t="s">
        <v>388</v>
      </c>
      <c r="B2092">
        <v>53</v>
      </c>
      <c r="C2092" t="s">
        <v>65</v>
      </c>
      <c r="D2092">
        <v>60</v>
      </c>
      <c r="E2092" t="s">
        <v>1051</v>
      </c>
      <c r="F2092" t="s">
        <v>5324</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4" customHeight="1">
      <c r="A2093" t="s">
        <v>388</v>
      </c>
      <c r="B2093">
        <v>54</v>
      </c>
      <c r="C2093" t="s">
        <v>65</v>
      </c>
      <c r="D2093">
        <v>61</v>
      </c>
      <c r="E2093" t="s">
        <v>1051</v>
      </c>
      <c r="F2093" t="s">
        <v>5324</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4" customHeight="1">
      <c r="A2094" t="s">
        <v>388</v>
      </c>
      <c r="B2094">
        <v>55</v>
      </c>
      <c r="C2094" t="s">
        <v>65</v>
      </c>
      <c r="D2094">
        <v>62</v>
      </c>
      <c r="E2094" t="s">
        <v>1051</v>
      </c>
      <c r="F2094" t="s">
        <v>5324</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4" customHeight="1">
      <c r="A2095" t="s">
        <v>388</v>
      </c>
      <c r="B2095">
        <v>56</v>
      </c>
      <c r="C2095" t="s">
        <v>65</v>
      </c>
      <c r="D2095">
        <v>63</v>
      </c>
      <c r="E2095" t="s">
        <v>1051</v>
      </c>
      <c r="F2095" t="s">
        <v>5324</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4" customHeight="1">
      <c r="A2096" t="s">
        <v>388</v>
      </c>
      <c r="B2096">
        <v>57</v>
      </c>
      <c r="C2096" t="s">
        <v>65</v>
      </c>
      <c r="D2096">
        <v>64</v>
      </c>
      <c r="E2096" t="s">
        <v>1051</v>
      </c>
      <c r="F2096" t="s">
        <v>5325</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4" customHeight="1">
      <c r="A2097" t="s">
        <v>388</v>
      </c>
      <c r="B2097">
        <v>58</v>
      </c>
      <c r="C2097" t="s">
        <v>65</v>
      </c>
      <c r="D2097">
        <v>65</v>
      </c>
      <c r="E2097" t="s">
        <v>1052</v>
      </c>
      <c r="F2097" t="s">
        <v>5322</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4" customHeight="1">
      <c r="A2098" t="s">
        <v>388</v>
      </c>
      <c r="B2098">
        <v>59</v>
      </c>
      <c r="C2098" t="s">
        <v>65</v>
      </c>
      <c r="D2098">
        <v>66</v>
      </c>
      <c r="E2098" t="s">
        <v>1052</v>
      </c>
      <c r="F2098" t="s">
        <v>5323</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4" customHeight="1">
      <c r="A2099" t="s">
        <v>388</v>
      </c>
      <c r="B2099">
        <v>60</v>
      </c>
      <c r="C2099" t="s">
        <v>65</v>
      </c>
      <c r="D2099">
        <v>67</v>
      </c>
      <c r="E2099" t="s">
        <v>1052</v>
      </c>
      <c r="F2099" t="s">
        <v>5324</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4" customHeight="1">
      <c r="A2100" t="s">
        <v>388</v>
      </c>
      <c r="B2100">
        <v>61</v>
      </c>
      <c r="C2100" t="s">
        <v>65</v>
      </c>
      <c r="D2100">
        <v>68</v>
      </c>
      <c r="E2100" t="s">
        <v>1052</v>
      </c>
      <c r="F2100" t="s">
        <v>5324</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4" customHeight="1">
      <c r="A2101" t="s">
        <v>388</v>
      </c>
      <c r="B2101">
        <v>62</v>
      </c>
      <c r="C2101" t="s">
        <v>65</v>
      </c>
      <c r="D2101">
        <v>69</v>
      </c>
      <c r="E2101" t="s">
        <v>1052</v>
      </c>
      <c r="F2101" t="s">
        <v>5324</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4" customHeight="1">
      <c r="A2102" t="s">
        <v>388</v>
      </c>
      <c r="B2102">
        <v>63</v>
      </c>
      <c r="C2102" t="s">
        <v>65</v>
      </c>
      <c r="D2102">
        <v>70</v>
      </c>
      <c r="E2102" t="s">
        <v>1052</v>
      </c>
      <c r="F2102" t="s">
        <v>5324</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4" customHeight="1">
      <c r="A2103" t="s">
        <v>388</v>
      </c>
      <c r="B2103">
        <v>64</v>
      </c>
      <c r="C2103" t="s">
        <v>65</v>
      </c>
      <c r="D2103">
        <v>71</v>
      </c>
      <c r="E2103" t="s">
        <v>1052</v>
      </c>
      <c r="F2103" t="s">
        <v>5324</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4" customHeight="1">
      <c r="A2104" t="s">
        <v>388</v>
      </c>
      <c r="B2104">
        <v>65</v>
      </c>
      <c r="C2104" t="s">
        <v>65</v>
      </c>
      <c r="D2104">
        <v>72</v>
      </c>
      <c r="E2104" t="s">
        <v>1052</v>
      </c>
      <c r="F2104" t="s">
        <v>5324</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4" customHeight="1">
      <c r="A2105" t="s">
        <v>388</v>
      </c>
      <c r="B2105">
        <v>66</v>
      </c>
      <c r="C2105" t="s">
        <v>65</v>
      </c>
      <c r="D2105">
        <v>73</v>
      </c>
      <c r="E2105" t="s">
        <v>1052</v>
      </c>
      <c r="F2105" t="s">
        <v>5324</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4" customHeight="1">
      <c r="A2106" t="s">
        <v>388</v>
      </c>
      <c r="B2106">
        <v>67</v>
      </c>
      <c r="C2106" t="s">
        <v>65</v>
      </c>
      <c r="D2106">
        <v>74</v>
      </c>
      <c r="E2106" t="s">
        <v>1052</v>
      </c>
      <c r="F2106" t="s">
        <v>5324</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4" customHeight="1">
      <c r="A2107" t="s">
        <v>388</v>
      </c>
      <c r="B2107">
        <v>68</v>
      </c>
      <c r="C2107" t="s">
        <v>65</v>
      </c>
      <c r="D2107">
        <v>75</v>
      </c>
      <c r="E2107" t="s">
        <v>1052</v>
      </c>
      <c r="F2107" t="s">
        <v>5325</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4" customHeight="1">
      <c r="A2108" t="s">
        <v>3884</v>
      </c>
      <c r="B2108">
        <v>1</v>
      </c>
      <c r="C2108" t="s">
        <v>67</v>
      </c>
      <c r="D2108">
        <v>8</v>
      </c>
      <c r="E2108" t="s">
        <v>918</v>
      </c>
      <c r="F2108" t="s">
        <v>5322</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4" customHeight="1">
      <c r="A2109" t="s">
        <v>3884</v>
      </c>
      <c r="B2109">
        <v>2</v>
      </c>
      <c r="C2109" t="s">
        <v>67</v>
      </c>
      <c r="D2109">
        <v>9</v>
      </c>
      <c r="E2109" t="s">
        <v>918</v>
      </c>
      <c r="F2109" t="s">
        <v>5323</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4" customHeight="1">
      <c r="A2110" t="s">
        <v>3884</v>
      </c>
      <c r="B2110">
        <v>3</v>
      </c>
      <c r="C2110" t="s">
        <v>67</v>
      </c>
      <c r="D2110">
        <v>10</v>
      </c>
      <c r="E2110" t="s">
        <v>918</v>
      </c>
      <c r="F2110" t="s">
        <v>5324</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4" customHeight="1">
      <c r="A2111" t="s">
        <v>3884</v>
      </c>
      <c r="B2111">
        <v>4</v>
      </c>
      <c r="C2111" t="s">
        <v>67</v>
      </c>
      <c r="D2111">
        <v>11</v>
      </c>
      <c r="E2111" t="s">
        <v>918</v>
      </c>
      <c r="F2111" t="s">
        <v>5324</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4" customHeight="1">
      <c r="A2112" t="s">
        <v>3884</v>
      </c>
      <c r="B2112">
        <v>5</v>
      </c>
      <c r="C2112" t="s">
        <v>67</v>
      </c>
      <c r="D2112">
        <v>12</v>
      </c>
      <c r="E2112" t="s">
        <v>918</v>
      </c>
      <c r="F2112" t="s">
        <v>5325</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4" customHeight="1">
      <c r="A2113" t="s">
        <v>3884</v>
      </c>
      <c r="B2113">
        <v>6</v>
      </c>
      <c r="C2113" t="s">
        <v>67</v>
      </c>
      <c r="D2113">
        <v>13</v>
      </c>
      <c r="E2113" t="s">
        <v>936</v>
      </c>
      <c r="F2113" t="s">
        <v>5322</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4" customHeight="1">
      <c r="A2114" t="s">
        <v>3884</v>
      </c>
      <c r="B2114">
        <v>7</v>
      </c>
      <c r="C2114" t="s">
        <v>67</v>
      </c>
      <c r="D2114">
        <v>14</v>
      </c>
      <c r="E2114" t="s">
        <v>936</v>
      </c>
      <c r="F2114" t="s">
        <v>5323</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4" customHeight="1">
      <c r="A2115" t="s">
        <v>3884</v>
      </c>
      <c r="B2115">
        <v>8</v>
      </c>
      <c r="C2115" t="s">
        <v>67</v>
      </c>
      <c r="D2115">
        <v>15</v>
      </c>
      <c r="E2115" t="s">
        <v>936</v>
      </c>
      <c r="F2115" t="s">
        <v>5324</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4" customHeight="1">
      <c r="A2116" t="s">
        <v>3884</v>
      </c>
      <c r="B2116">
        <v>9</v>
      </c>
      <c r="C2116" t="s">
        <v>67</v>
      </c>
      <c r="D2116">
        <v>16</v>
      </c>
      <c r="E2116" t="s">
        <v>936</v>
      </c>
      <c r="F2116" t="s">
        <v>5324</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4" customHeight="1">
      <c r="A2117" t="s">
        <v>3884</v>
      </c>
      <c r="B2117">
        <v>10</v>
      </c>
      <c r="C2117" t="s">
        <v>67</v>
      </c>
      <c r="D2117">
        <v>17</v>
      </c>
      <c r="E2117" t="s">
        <v>936</v>
      </c>
      <c r="F2117" t="s">
        <v>5325</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4" customHeight="1">
      <c r="A2118" t="s">
        <v>3884</v>
      </c>
      <c r="B2118">
        <v>11</v>
      </c>
      <c r="C2118" t="s">
        <v>67</v>
      </c>
      <c r="D2118">
        <v>18</v>
      </c>
      <c r="E2118" t="s">
        <v>951</v>
      </c>
      <c r="F2118" t="s">
        <v>5322</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4" customHeight="1">
      <c r="A2119" t="s">
        <v>3884</v>
      </c>
      <c r="B2119">
        <v>12</v>
      </c>
      <c r="C2119" t="s">
        <v>67</v>
      </c>
      <c r="D2119">
        <v>19</v>
      </c>
      <c r="E2119" t="s">
        <v>951</v>
      </c>
      <c r="F2119" t="s">
        <v>5323</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4" customHeight="1">
      <c r="A2120" t="s">
        <v>3884</v>
      </c>
      <c r="B2120">
        <v>13</v>
      </c>
      <c r="C2120" t="s">
        <v>67</v>
      </c>
      <c r="D2120">
        <v>20</v>
      </c>
      <c r="E2120" t="s">
        <v>951</v>
      </c>
      <c r="F2120" t="s">
        <v>5324</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4" customHeight="1">
      <c r="A2121" t="s">
        <v>3884</v>
      </c>
      <c r="B2121">
        <v>14</v>
      </c>
      <c r="C2121" t="s">
        <v>67</v>
      </c>
      <c r="D2121">
        <v>21</v>
      </c>
      <c r="E2121" t="s">
        <v>951</v>
      </c>
      <c r="F2121" t="s">
        <v>5324</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4" customHeight="1">
      <c r="A2122" t="s">
        <v>3884</v>
      </c>
      <c r="B2122">
        <v>15</v>
      </c>
      <c r="C2122" t="s">
        <v>67</v>
      </c>
      <c r="D2122">
        <v>22</v>
      </c>
      <c r="E2122" t="s">
        <v>951</v>
      </c>
      <c r="F2122" t="s">
        <v>5325</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4" customHeight="1">
      <c r="A2123" t="s">
        <v>3884</v>
      </c>
      <c r="B2123">
        <v>16</v>
      </c>
      <c r="C2123" t="s">
        <v>67</v>
      </c>
      <c r="D2123">
        <v>23</v>
      </c>
      <c r="E2123" t="s">
        <v>964</v>
      </c>
      <c r="F2123" t="s">
        <v>5322</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4" customHeight="1">
      <c r="A2124" t="s">
        <v>3884</v>
      </c>
      <c r="B2124">
        <v>17</v>
      </c>
      <c r="C2124" t="s">
        <v>67</v>
      </c>
      <c r="D2124">
        <v>24</v>
      </c>
      <c r="E2124" t="s">
        <v>964</v>
      </c>
      <c r="F2124" t="s">
        <v>5323</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4" customHeight="1">
      <c r="A2125" t="s">
        <v>3884</v>
      </c>
      <c r="B2125">
        <v>18</v>
      </c>
      <c r="C2125" t="s">
        <v>67</v>
      </c>
      <c r="D2125">
        <v>25</v>
      </c>
      <c r="E2125" t="s">
        <v>964</v>
      </c>
      <c r="F2125" t="s">
        <v>5324</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4" customHeight="1">
      <c r="A2126" t="s">
        <v>3884</v>
      </c>
      <c r="B2126">
        <v>19</v>
      </c>
      <c r="C2126" t="s">
        <v>67</v>
      </c>
      <c r="D2126">
        <v>26</v>
      </c>
      <c r="E2126" t="s">
        <v>964</v>
      </c>
      <c r="F2126" t="s">
        <v>5324</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4" customHeight="1">
      <c r="A2127" t="s">
        <v>3884</v>
      </c>
      <c r="B2127">
        <v>20</v>
      </c>
      <c r="C2127" t="s">
        <v>67</v>
      </c>
      <c r="D2127">
        <v>27</v>
      </c>
      <c r="E2127" t="s">
        <v>964</v>
      </c>
      <c r="F2127" t="s">
        <v>5325</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4" customHeight="1">
      <c r="A2128" t="s">
        <v>3884</v>
      </c>
      <c r="B2128">
        <v>21</v>
      </c>
      <c r="C2128" t="s">
        <v>67</v>
      </c>
      <c r="D2128">
        <v>28</v>
      </c>
      <c r="E2128" t="s">
        <v>977</v>
      </c>
      <c r="F2128" t="s">
        <v>5322</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4" customHeight="1">
      <c r="A2129" t="s">
        <v>3884</v>
      </c>
      <c r="B2129">
        <v>22</v>
      </c>
      <c r="C2129" t="s">
        <v>67</v>
      </c>
      <c r="D2129">
        <v>29</v>
      </c>
      <c r="E2129" t="s">
        <v>977</v>
      </c>
      <c r="F2129" t="s">
        <v>5323</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4" customHeight="1">
      <c r="A2130" t="s">
        <v>3884</v>
      </c>
      <c r="B2130">
        <v>23</v>
      </c>
      <c r="C2130" t="s">
        <v>67</v>
      </c>
      <c r="D2130">
        <v>30</v>
      </c>
      <c r="E2130" t="s">
        <v>977</v>
      </c>
      <c r="F2130" t="s">
        <v>5324</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4" customHeight="1">
      <c r="A2131" t="s">
        <v>3884</v>
      </c>
      <c r="B2131">
        <v>24</v>
      </c>
      <c r="C2131" t="s">
        <v>67</v>
      </c>
      <c r="D2131">
        <v>31</v>
      </c>
      <c r="E2131" t="s">
        <v>977</v>
      </c>
      <c r="F2131" t="s">
        <v>5324</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4" customHeight="1">
      <c r="A2132" t="s">
        <v>3884</v>
      </c>
      <c r="B2132">
        <v>25</v>
      </c>
      <c r="C2132" t="s">
        <v>67</v>
      </c>
      <c r="D2132">
        <v>32</v>
      </c>
      <c r="E2132" t="s">
        <v>977</v>
      </c>
      <c r="F2132" t="s">
        <v>5325</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4" customHeight="1">
      <c r="A2133" t="s">
        <v>3884</v>
      </c>
      <c r="B2133">
        <v>26</v>
      </c>
      <c r="C2133" t="s">
        <v>67</v>
      </c>
      <c r="D2133">
        <v>33</v>
      </c>
      <c r="E2133" t="s">
        <v>994</v>
      </c>
      <c r="F2133" t="s">
        <v>5322</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4" customHeight="1">
      <c r="A2134" t="s">
        <v>3884</v>
      </c>
      <c r="B2134">
        <v>27</v>
      </c>
      <c r="C2134" t="s">
        <v>67</v>
      </c>
      <c r="D2134">
        <v>34</v>
      </c>
      <c r="E2134" t="s">
        <v>994</v>
      </c>
      <c r="F2134" t="s">
        <v>5323</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4" customHeight="1">
      <c r="A2135" t="s">
        <v>3884</v>
      </c>
      <c r="B2135">
        <v>28</v>
      </c>
      <c r="C2135" t="s">
        <v>67</v>
      </c>
      <c r="D2135">
        <v>35</v>
      </c>
      <c r="E2135" t="s">
        <v>994</v>
      </c>
      <c r="F2135" t="s">
        <v>5324</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4" customHeight="1">
      <c r="A2136" t="s">
        <v>3884</v>
      </c>
      <c r="B2136">
        <v>29</v>
      </c>
      <c r="C2136" t="s">
        <v>67</v>
      </c>
      <c r="D2136">
        <v>36</v>
      </c>
      <c r="E2136" t="s">
        <v>994</v>
      </c>
      <c r="F2136" t="s">
        <v>5324</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4" customHeight="1">
      <c r="A2137" t="s">
        <v>3884</v>
      </c>
      <c r="B2137">
        <v>30</v>
      </c>
      <c r="C2137" t="s">
        <v>67</v>
      </c>
      <c r="D2137">
        <v>37</v>
      </c>
      <c r="E2137" t="s">
        <v>994</v>
      </c>
      <c r="F2137" t="s">
        <v>5325</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4" customHeight="1">
      <c r="A2138" t="s">
        <v>3884</v>
      </c>
      <c r="B2138">
        <v>31</v>
      </c>
      <c r="C2138" t="s">
        <v>67</v>
      </c>
      <c r="D2138">
        <v>38</v>
      </c>
      <c r="E2138" t="s">
        <v>1007</v>
      </c>
      <c r="F2138" t="s">
        <v>5322</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4" customHeight="1">
      <c r="A2139" t="s">
        <v>3884</v>
      </c>
      <c r="B2139">
        <v>32</v>
      </c>
      <c r="C2139" t="s">
        <v>67</v>
      </c>
      <c r="D2139">
        <v>39</v>
      </c>
      <c r="E2139" t="s">
        <v>1007</v>
      </c>
      <c r="F2139" t="s">
        <v>5323</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4" customHeight="1">
      <c r="A2140" t="s">
        <v>3884</v>
      </c>
      <c r="B2140">
        <v>33</v>
      </c>
      <c r="C2140" t="s">
        <v>67</v>
      </c>
      <c r="D2140">
        <v>40</v>
      </c>
      <c r="E2140" t="s">
        <v>1007</v>
      </c>
      <c r="F2140" t="s">
        <v>5324</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4" customHeight="1">
      <c r="A2141" t="s">
        <v>3884</v>
      </c>
      <c r="B2141">
        <v>34</v>
      </c>
      <c r="C2141" t="s">
        <v>67</v>
      </c>
      <c r="D2141">
        <v>41</v>
      </c>
      <c r="E2141" t="s">
        <v>1007</v>
      </c>
      <c r="F2141" t="s">
        <v>5324</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4" customHeight="1">
      <c r="A2142" t="s">
        <v>3884</v>
      </c>
      <c r="B2142">
        <v>35</v>
      </c>
      <c r="C2142" t="s">
        <v>67</v>
      </c>
      <c r="D2142">
        <v>42</v>
      </c>
      <c r="E2142" t="s">
        <v>1007</v>
      </c>
      <c r="F2142" t="s">
        <v>5325</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4" customHeight="1">
      <c r="A2143" t="s">
        <v>3884</v>
      </c>
      <c r="B2143">
        <v>36</v>
      </c>
      <c r="C2143" t="s">
        <v>67</v>
      </c>
      <c r="D2143">
        <v>43</v>
      </c>
      <c r="E2143" t="s">
        <v>1019</v>
      </c>
      <c r="F2143" t="s">
        <v>5322</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4" customHeight="1">
      <c r="A2144" t="s">
        <v>3884</v>
      </c>
      <c r="B2144">
        <v>37</v>
      </c>
      <c r="C2144" t="s">
        <v>67</v>
      </c>
      <c r="D2144">
        <v>44</v>
      </c>
      <c r="E2144" t="s">
        <v>1019</v>
      </c>
      <c r="F2144" t="s">
        <v>5323</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4" customHeight="1">
      <c r="A2145" t="s">
        <v>3884</v>
      </c>
      <c r="B2145">
        <v>38</v>
      </c>
      <c r="C2145" t="s">
        <v>67</v>
      </c>
      <c r="D2145">
        <v>45</v>
      </c>
      <c r="E2145" t="s">
        <v>1019</v>
      </c>
      <c r="F2145" t="s">
        <v>5324</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4" customHeight="1">
      <c r="A2146" t="s">
        <v>3884</v>
      </c>
      <c r="B2146">
        <v>39</v>
      </c>
      <c r="C2146" t="s">
        <v>67</v>
      </c>
      <c r="D2146">
        <v>46</v>
      </c>
      <c r="E2146" t="s">
        <v>1019</v>
      </c>
      <c r="F2146" t="s">
        <v>5324</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4" customHeight="1">
      <c r="A2147" t="s">
        <v>3884</v>
      </c>
      <c r="B2147">
        <v>40</v>
      </c>
      <c r="C2147" t="s">
        <v>67</v>
      </c>
      <c r="D2147">
        <v>47</v>
      </c>
      <c r="E2147" t="s">
        <v>1019</v>
      </c>
      <c r="F2147" t="s">
        <v>5324</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4" customHeight="1">
      <c r="A2148" t="s">
        <v>3884</v>
      </c>
      <c r="B2148">
        <v>41</v>
      </c>
      <c r="C2148" t="s">
        <v>67</v>
      </c>
      <c r="D2148">
        <v>48</v>
      </c>
      <c r="E2148" t="s">
        <v>1019</v>
      </c>
      <c r="F2148" t="s">
        <v>5324</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4" customHeight="1">
      <c r="A2149" t="s">
        <v>3884</v>
      </c>
      <c r="B2149">
        <v>42</v>
      </c>
      <c r="C2149" t="s">
        <v>67</v>
      </c>
      <c r="D2149">
        <v>49</v>
      </c>
      <c r="E2149" t="s">
        <v>1019</v>
      </c>
      <c r="F2149" t="s">
        <v>5324</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4" customHeight="1">
      <c r="A2150" t="s">
        <v>3884</v>
      </c>
      <c r="B2150">
        <v>43</v>
      </c>
      <c r="C2150" t="s">
        <v>67</v>
      </c>
      <c r="D2150">
        <v>50</v>
      </c>
      <c r="E2150" t="s">
        <v>1019</v>
      </c>
      <c r="F2150" t="s">
        <v>5324</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4" customHeight="1">
      <c r="A2151" t="s">
        <v>3884</v>
      </c>
      <c r="B2151">
        <v>44</v>
      </c>
      <c r="C2151" t="s">
        <v>67</v>
      </c>
      <c r="D2151">
        <v>51</v>
      </c>
      <c r="E2151" t="s">
        <v>1019</v>
      </c>
      <c r="F2151" t="s">
        <v>5324</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4" customHeight="1">
      <c r="A2152" t="s">
        <v>3884</v>
      </c>
      <c r="B2152">
        <v>45</v>
      </c>
      <c r="C2152" t="s">
        <v>67</v>
      </c>
      <c r="D2152">
        <v>52</v>
      </c>
      <c r="E2152" t="s">
        <v>1019</v>
      </c>
      <c r="F2152" t="s">
        <v>5324</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4" customHeight="1">
      <c r="A2153" t="s">
        <v>3884</v>
      </c>
      <c r="B2153">
        <v>46</v>
      </c>
      <c r="C2153" t="s">
        <v>67</v>
      </c>
      <c r="D2153">
        <v>53</v>
      </c>
      <c r="E2153" t="s">
        <v>1019</v>
      </c>
      <c r="F2153" t="s">
        <v>5325</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4" customHeight="1">
      <c r="A2154" t="s">
        <v>3884</v>
      </c>
      <c r="B2154">
        <v>47</v>
      </c>
      <c r="C2154" t="s">
        <v>67</v>
      </c>
      <c r="D2154">
        <v>54</v>
      </c>
      <c r="E2154" t="s">
        <v>1051</v>
      </c>
      <c r="F2154" t="s">
        <v>5322</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4" customHeight="1">
      <c r="A2155" t="s">
        <v>3884</v>
      </c>
      <c r="B2155">
        <v>48</v>
      </c>
      <c r="C2155" t="s">
        <v>67</v>
      </c>
      <c r="D2155">
        <v>55</v>
      </c>
      <c r="E2155" t="s">
        <v>1051</v>
      </c>
      <c r="F2155" t="s">
        <v>5323</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4" customHeight="1">
      <c r="A2156" t="s">
        <v>3884</v>
      </c>
      <c r="B2156">
        <v>49</v>
      </c>
      <c r="C2156" t="s">
        <v>67</v>
      </c>
      <c r="D2156">
        <v>56</v>
      </c>
      <c r="E2156" t="s">
        <v>1051</v>
      </c>
      <c r="F2156" t="s">
        <v>5324</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4" customHeight="1">
      <c r="A2157" t="s">
        <v>3884</v>
      </c>
      <c r="B2157">
        <v>50</v>
      </c>
      <c r="C2157" t="s">
        <v>67</v>
      </c>
      <c r="D2157">
        <v>57</v>
      </c>
      <c r="E2157" t="s">
        <v>1051</v>
      </c>
      <c r="F2157" t="s">
        <v>5324</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4" customHeight="1">
      <c r="A2158" t="s">
        <v>3884</v>
      </c>
      <c r="B2158">
        <v>51</v>
      </c>
      <c r="C2158" t="s">
        <v>67</v>
      </c>
      <c r="D2158">
        <v>58</v>
      </c>
      <c r="E2158" t="s">
        <v>1051</v>
      </c>
      <c r="F2158" t="s">
        <v>5324</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4" customHeight="1">
      <c r="A2159" t="s">
        <v>3884</v>
      </c>
      <c r="B2159">
        <v>52</v>
      </c>
      <c r="C2159" t="s">
        <v>67</v>
      </c>
      <c r="D2159">
        <v>59</v>
      </c>
      <c r="E2159" t="s">
        <v>1051</v>
      </c>
      <c r="F2159" t="s">
        <v>5324</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4" customHeight="1">
      <c r="A2160" t="s">
        <v>3884</v>
      </c>
      <c r="B2160">
        <v>53</v>
      </c>
      <c r="C2160" t="s">
        <v>67</v>
      </c>
      <c r="D2160">
        <v>60</v>
      </c>
      <c r="E2160" t="s">
        <v>1051</v>
      </c>
      <c r="F2160" t="s">
        <v>5324</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4" customHeight="1">
      <c r="A2161" t="s">
        <v>3884</v>
      </c>
      <c r="B2161">
        <v>54</v>
      </c>
      <c r="C2161" t="s">
        <v>67</v>
      </c>
      <c r="D2161">
        <v>61</v>
      </c>
      <c r="E2161" t="s">
        <v>1051</v>
      </c>
      <c r="F2161" t="s">
        <v>5324</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4" customHeight="1">
      <c r="A2162" t="s">
        <v>3884</v>
      </c>
      <c r="B2162">
        <v>55</v>
      </c>
      <c r="C2162" t="s">
        <v>67</v>
      </c>
      <c r="D2162">
        <v>62</v>
      </c>
      <c r="E2162" t="s">
        <v>1051</v>
      </c>
      <c r="F2162" t="s">
        <v>5324</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4" customHeight="1">
      <c r="A2163" t="s">
        <v>3884</v>
      </c>
      <c r="B2163">
        <v>56</v>
      </c>
      <c r="C2163" t="s">
        <v>67</v>
      </c>
      <c r="D2163">
        <v>63</v>
      </c>
      <c r="E2163" t="s">
        <v>1051</v>
      </c>
      <c r="F2163" t="s">
        <v>5324</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4" customHeight="1">
      <c r="A2164" t="s">
        <v>3884</v>
      </c>
      <c r="B2164">
        <v>57</v>
      </c>
      <c r="C2164" t="s">
        <v>67</v>
      </c>
      <c r="D2164">
        <v>64</v>
      </c>
      <c r="E2164" t="s">
        <v>1051</v>
      </c>
      <c r="F2164" t="s">
        <v>5325</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4" customHeight="1">
      <c r="A2165" t="s">
        <v>3884</v>
      </c>
      <c r="B2165">
        <v>58</v>
      </c>
      <c r="C2165" t="s">
        <v>67</v>
      </c>
      <c r="D2165">
        <v>65</v>
      </c>
      <c r="E2165" t="s">
        <v>1052</v>
      </c>
      <c r="F2165" t="s">
        <v>5322</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4" customHeight="1">
      <c r="A2166" t="s">
        <v>3884</v>
      </c>
      <c r="B2166">
        <v>59</v>
      </c>
      <c r="C2166" t="s">
        <v>67</v>
      </c>
      <c r="D2166">
        <v>66</v>
      </c>
      <c r="E2166" t="s">
        <v>1052</v>
      </c>
      <c r="F2166" t="s">
        <v>5323</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4" customHeight="1">
      <c r="A2167" t="s">
        <v>3884</v>
      </c>
      <c r="B2167">
        <v>60</v>
      </c>
      <c r="C2167" t="s">
        <v>67</v>
      </c>
      <c r="D2167">
        <v>67</v>
      </c>
      <c r="E2167" t="s">
        <v>1052</v>
      </c>
      <c r="F2167" t="s">
        <v>5324</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4" customHeight="1">
      <c r="A2168" t="s">
        <v>3884</v>
      </c>
      <c r="B2168">
        <v>61</v>
      </c>
      <c r="C2168" t="s">
        <v>67</v>
      </c>
      <c r="D2168">
        <v>68</v>
      </c>
      <c r="E2168" t="s">
        <v>1052</v>
      </c>
      <c r="F2168" t="s">
        <v>5324</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4" customHeight="1">
      <c r="A2169" t="s">
        <v>3884</v>
      </c>
      <c r="B2169">
        <v>62</v>
      </c>
      <c r="C2169" t="s">
        <v>67</v>
      </c>
      <c r="D2169">
        <v>69</v>
      </c>
      <c r="E2169" t="s">
        <v>1052</v>
      </c>
      <c r="F2169" t="s">
        <v>5324</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4" customHeight="1">
      <c r="A2170" t="s">
        <v>3884</v>
      </c>
      <c r="B2170">
        <v>63</v>
      </c>
      <c r="C2170" t="s">
        <v>67</v>
      </c>
      <c r="D2170">
        <v>70</v>
      </c>
      <c r="E2170" t="s">
        <v>1052</v>
      </c>
      <c r="F2170" t="s">
        <v>5324</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4" customHeight="1">
      <c r="A2171" t="s">
        <v>3884</v>
      </c>
      <c r="B2171">
        <v>64</v>
      </c>
      <c r="C2171" t="s">
        <v>67</v>
      </c>
      <c r="D2171">
        <v>71</v>
      </c>
      <c r="E2171" t="s">
        <v>1052</v>
      </c>
      <c r="F2171" t="s">
        <v>5324</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4" customHeight="1">
      <c r="A2172" t="s">
        <v>3884</v>
      </c>
      <c r="B2172">
        <v>65</v>
      </c>
      <c r="C2172" t="s">
        <v>67</v>
      </c>
      <c r="D2172">
        <v>72</v>
      </c>
      <c r="E2172" t="s">
        <v>1052</v>
      </c>
      <c r="F2172" t="s">
        <v>5324</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4" customHeight="1">
      <c r="A2173" t="s">
        <v>3884</v>
      </c>
      <c r="B2173">
        <v>66</v>
      </c>
      <c r="C2173" t="s">
        <v>67</v>
      </c>
      <c r="D2173">
        <v>73</v>
      </c>
      <c r="E2173" t="s">
        <v>1052</v>
      </c>
      <c r="F2173" t="s">
        <v>5324</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4" customHeight="1">
      <c r="A2174" t="s">
        <v>3884</v>
      </c>
      <c r="B2174">
        <v>67</v>
      </c>
      <c r="C2174" t="s">
        <v>67</v>
      </c>
      <c r="D2174">
        <v>74</v>
      </c>
      <c r="E2174" t="s">
        <v>1052</v>
      </c>
      <c r="F2174" t="s">
        <v>5324</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4" customHeight="1">
      <c r="A2175" t="s">
        <v>3884</v>
      </c>
      <c r="B2175">
        <v>68</v>
      </c>
      <c r="C2175" t="s">
        <v>67</v>
      </c>
      <c r="D2175">
        <v>75</v>
      </c>
      <c r="E2175" t="s">
        <v>1052</v>
      </c>
      <c r="F2175" t="s">
        <v>5325</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4" customHeight="1">
      <c r="A2176" t="s">
        <v>68</v>
      </c>
      <c r="B2176">
        <v>1</v>
      </c>
      <c r="C2176" t="s">
        <v>69</v>
      </c>
      <c r="D2176">
        <v>8</v>
      </c>
      <c r="E2176" t="s">
        <v>918</v>
      </c>
      <c r="F2176" t="s">
        <v>5322</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4" customHeight="1">
      <c r="A2177" t="s">
        <v>68</v>
      </c>
      <c r="B2177">
        <v>2</v>
      </c>
      <c r="C2177" t="s">
        <v>69</v>
      </c>
      <c r="D2177">
        <v>9</v>
      </c>
      <c r="E2177" t="s">
        <v>918</v>
      </c>
      <c r="F2177" t="s">
        <v>5323</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4" customHeight="1">
      <c r="A2178" t="s">
        <v>68</v>
      </c>
      <c r="B2178">
        <v>3</v>
      </c>
      <c r="C2178" t="s">
        <v>69</v>
      </c>
      <c r="D2178">
        <v>10</v>
      </c>
      <c r="E2178" t="s">
        <v>918</v>
      </c>
      <c r="F2178" t="s">
        <v>5324</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4" customHeight="1">
      <c r="A2179" t="s">
        <v>68</v>
      </c>
      <c r="B2179">
        <v>4</v>
      </c>
      <c r="C2179" t="s">
        <v>69</v>
      </c>
      <c r="D2179">
        <v>11</v>
      </c>
      <c r="E2179" t="s">
        <v>918</v>
      </c>
      <c r="F2179" t="s">
        <v>5324</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4" customHeight="1">
      <c r="A2180" t="s">
        <v>68</v>
      </c>
      <c r="B2180">
        <v>5</v>
      </c>
      <c r="C2180" t="s">
        <v>69</v>
      </c>
      <c r="D2180">
        <v>12</v>
      </c>
      <c r="E2180" t="s">
        <v>918</v>
      </c>
      <c r="F2180" t="s">
        <v>5324</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4" customHeight="1">
      <c r="A2181" t="s">
        <v>68</v>
      </c>
      <c r="B2181">
        <v>6</v>
      </c>
      <c r="C2181" t="s">
        <v>69</v>
      </c>
      <c r="D2181">
        <v>13</v>
      </c>
      <c r="E2181" t="s">
        <v>918</v>
      </c>
      <c r="F2181" t="s">
        <v>5324</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4" customHeight="1">
      <c r="A2182" t="s">
        <v>68</v>
      </c>
      <c r="B2182">
        <v>7</v>
      </c>
      <c r="C2182" t="s">
        <v>69</v>
      </c>
      <c r="D2182">
        <v>14</v>
      </c>
      <c r="E2182" t="s">
        <v>918</v>
      </c>
      <c r="F2182" t="s">
        <v>5324</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4" customHeight="1">
      <c r="A2183" t="s">
        <v>68</v>
      </c>
      <c r="B2183">
        <v>8</v>
      </c>
      <c r="C2183" t="s">
        <v>69</v>
      </c>
      <c r="D2183">
        <v>15</v>
      </c>
      <c r="E2183" t="s">
        <v>918</v>
      </c>
      <c r="F2183" t="s">
        <v>5324</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4" customHeight="1">
      <c r="A2184" t="s">
        <v>68</v>
      </c>
      <c r="B2184">
        <v>9</v>
      </c>
      <c r="C2184" t="s">
        <v>69</v>
      </c>
      <c r="D2184">
        <v>16</v>
      </c>
      <c r="E2184" t="s">
        <v>918</v>
      </c>
      <c r="F2184" t="s">
        <v>5324</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4" customHeight="1">
      <c r="A2185" t="s">
        <v>68</v>
      </c>
      <c r="B2185">
        <v>10</v>
      </c>
      <c r="C2185" t="s">
        <v>69</v>
      </c>
      <c r="D2185">
        <v>17</v>
      </c>
      <c r="E2185" t="s">
        <v>918</v>
      </c>
      <c r="F2185" t="s">
        <v>5325</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4" customHeight="1">
      <c r="A2186" t="s">
        <v>68</v>
      </c>
      <c r="B2186">
        <v>11</v>
      </c>
      <c r="C2186" t="s">
        <v>69</v>
      </c>
      <c r="D2186">
        <v>18</v>
      </c>
      <c r="E2186" t="s">
        <v>936</v>
      </c>
      <c r="F2186" t="s">
        <v>5322</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4" customHeight="1">
      <c r="A2187" t="s">
        <v>68</v>
      </c>
      <c r="B2187">
        <v>12</v>
      </c>
      <c r="C2187" t="s">
        <v>69</v>
      </c>
      <c r="D2187">
        <v>19</v>
      </c>
      <c r="E2187" t="s">
        <v>936</v>
      </c>
      <c r="F2187" t="s">
        <v>5323</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4" customHeight="1">
      <c r="A2188" t="s">
        <v>68</v>
      </c>
      <c r="B2188">
        <v>13</v>
      </c>
      <c r="C2188" t="s">
        <v>69</v>
      </c>
      <c r="D2188">
        <v>20</v>
      </c>
      <c r="E2188" t="s">
        <v>936</v>
      </c>
      <c r="F2188" t="s">
        <v>5324</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4" customHeight="1">
      <c r="A2189" t="s">
        <v>68</v>
      </c>
      <c r="B2189">
        <v>14</v>
      </c>
      <c r="C2189" t="s">
        <v>69</v>
      </c>
      <c r="D2189">
        <v>21</v>
      </c>
      <c r="E2189" t="s">
        <v>936</v>
      </c>
      <c r="F2189" t="s">
        <v>5324</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4" customHeight="1">
      <c r="A2190" t="s">
        <v>68</v>
      </c>
      <c r="B2190">
        <v>15</v>
      </c>
      <c r="C2190" t="s">
        <v>69</v>
      </c>
      <c r="D2190">
        <v>22</v>
      </c>
      <c r="E2190" t="s">
        <v>936</v>
      </c>
      <c r="F2190" t="s">
        <v>5324</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4" customHeight="1">
      <c r="A2191" t="s">
        <v>68</v>
      </c>
      <c r="B2191">
        <v>16</v>
      </c>
      <c r="C2191" t="s">
        <v>69</v>
      </c>
      <c r="D2191">
        <v>23</v>
      </c>
      <c r="E2191" t="s">
        <v>936</v>
      </c>
      <c r="F2191" t="s">
        <v>5324</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4" customHeight="1">
      <c r="A2192" t="s">
        <v>68</v>
      </c>
      <c r="B2192">
        <v>17</v>
      </c>
      <c r="C2192" t="s">
        <v>69</v>
      </c>
      <c r="D2192">
        <v>24</v>
      </c>
      <c r="E2192" t="s">
        <v>936</v>
      </c>
      <c r="F2192" t="s">
        <v>5324</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4" customHeight="1">
      <c r="A2193" t="s">
        <v>68</v>
      </c>
      <c r="B2193">
        <v>18</v>
      </c>
      <c r="C2193" t="s">
        <v>69</v>
      </c>
      <c r="D2193">
        <v>25</v>
      </c>
      <c r="E2193" t="s">
        <v>936</v>
      </c>
      <c r="F2193" t="s">
        <v>5325</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4" customHeight="1">
      <c r="A2194" t="s">
        <v>68</v>
      </c>
      <c r="B2194">
        <v>19</v>
      </c>
      <c r="C2194" t="s">
        <v>69</v>
      </c>
      <c r="D2194">
        <v>26</v>
      </c>
      <c r="E2194" t="s">
        <v>951</v>
      </c>
      <c r="F2194" t="s">
        <v>5322</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4" customHeight="1">
      <c r="A2195" t="s">
        <v>68</v>
      </c>
      <c r="B2195">
        <v>20</v>
      </c>
      <c r="C2195" t="s">
        <v>69</v>
      </c>
      <c r="D2195">
        <v>27</v>
      </c>
      <c r="E2195" t="s">
        <v>951</v>
      </c>
      <c r="F2195" t="s">
        <v>5323</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4" customHeight="1">
      <c r="A2196" t="s">
        <v>68</v>
      </c>
      <c r="B2196">
        <v>21</v>
      </c>
      <c r="C2196" t="s">
        <v>69</v>
      </c>
      <c r="D2196">
        <v>28</v>
      </c>
      <c r="E2196" t="s">
        <v>951</v>
      </c>
      <c r="F2196" t="s">
        <v>5324</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4" customHeight="1">
      <c r="A2197" t="s">
        <v>68</v>
      </c>
      <c r="B2197">
        <v>22</v>
      </c>
      <c r="C2197" t="s">
        <v>69</v>
      </c>
      <c r="D2197">
        <v>29</v>
      </c>
      <c r="E2197" t="s">
        <v>951</v>
      </c>
      <c r="F2197" t="s">
        <v>5324</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4" customHeight="1">
      <c r="A2198" t="s">
        <v>68</v>
      </c>
      <c r="B2198">
        <v>23</v>
      </c>
      <c r="C2198" t="s">
        <v>69</v>
      </c>
      <c r="D2198">
        <v>30</v>
      </c>
      <c r="E2198" t="s">
        <v>951</v>
      </c>
      <c r="F2198" t="s">
        <v>5324</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4" customHeight="1">
      <c r="A2199" t="s">
        <v>68</v>
      </c>
      <c r="B2199">
        <v>24</v>
      </c>
      <c r="C2199" t="s">
        <v>69</v>
      </c>
      <c r="D2199">
        <v>31</v>
      </c>
      <c r="E2199" t="s">
        <v>951</v>
      </c>
      <c r="F2199" t="s">
        <v>5324</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4" customHeight="1">
      <c r="A2200" t="s">
        <v>68</v>
      </c>
      <c r="B2200">
        <v>25</v>
      </c>
      <c r="C2200" t="s">
        <v>69</v>
      </c>
      <c r="D2200">
        <v>32</v>
      </c>
      <c r="E2200" t="s">
        <v>951</v>
      </c>
      <c r="F2200" t="s">
        <v>5324</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4" customHeight="1">
      <c r="A2201" t="s">
        <v>68</v>
      </c>
      <c r="B2201">
        <v>26</v>
      </c>
      <c r="C2201" t="s">
        <v>69</v>
      </c>
      <c r="D2201">
        <v>33</v>
      </c>
      <c r="E2201" t="s">
        <v>951</v>
      </c>
      <c r="F2201" t="s">
        <v>5325</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4" customHeight="1">
      <c r="A2202" t="s">
        <v>68</v>
      </c>
      <c r="B2202">
        <v>27</v>
      </c>
      <c r="C2202" t="s">
        <v>69</v>
      </c>
      <c r="D2202">
        <v>34</v>
      </c>
      <c r="E2202" t="s">
        <v>964</v>
      </c>
      <c r="F2202" t="s">
        <v>5322</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4" customHeight="1">
      <c r="A2203" t="s">
        <v>68</v>
      </c>
      <c r="B2203">
        <v>28</v>
      </c>
      <c r="C2203" t="s">
        <v>69</v>
      </c>
      <c r="D2203">
        <v>35</v>
      </c>
      <c r="E2203" t="s">
        <v>964</v>
      </c>
      <c r="F2203" t="s">
        <v>5323</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4" customHeight="1">
      <c r="A2204" t="s">
        <v>68</v>
      </c>
      <c r="B2204">
        <v>29</v>
      </c>
      <c r="C2204" t="s">
        <v>69</v>
      </c>
      <c r="D2204">
        <v>36</v>
      </c>
      <c r="E2204" t="s">
        <v>964</v>
      </c>
      <c r="F2204" t="s">
        <v>5324</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4" customHeight="1">
      <c r="A2205" t="s">
        <v>68</v>
      </c>
      <c r="B2205">
        <v>30</v>
      </c>
      <c r="C2205" t="s">
        <v>69</v>
      </c>
      <c r="D2205">
        <v>37</v>
      </c>
      <c r="E2205" t="s">
        <v>964</v>
      </c>
      <c r="F2205" t="s">
        <v>5324</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4" customHeight="1">
      <c r="A2206" t="s">
        <v>68</v>
      </c>
      <c r="B2206">
        <v>31</v>
      </c>
      <c r="C2206" t="s">
        <v>69</v>
      </c>
      <c r="D2206">
        <v>38</v>
      </c>
      <c r="E2206" t="s">
        <v>964</v>
      </c>
      <c r="F2206" t="s">
        <v>5324</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4" customHeight="1">
      <c r="A2207" t="s">
        <v>68</v>
      </c>
      <c r="B2207">
        <v>32</v>
      </c>
      <c r="C2207" t="s">
        <v>69</v>
      </c>
      <c r="D2207">
        <v>39</v>
      </c>
      <c r="E2207" t="s">
        <v>964</v>
      </c>
      <c r="F2207" t="s">
        <v>5324</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4" customHeight="1">
      <c r="A2208" t="s">
        <v>68</v>
      </c>
      <c r="B2208">
        <v>33</v>
      </c>
      <c r="C2208" t="s">
        <v>69</v>
      </c>
      <c r="D2208">
        <v>40</v>
      </c>
      <c r="E2208" t="s">
        <v>964</v>
      </c>
      <c r="F2208" t="s">
        <v>5324</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4" customHeight="1">
      <c r="A2209" t="s">
        <v>68</v>
      </c>
      <c r="B2209">
        <v>34</v>
      </c>
      <c r="C2209" t="s">
        <v>69</v>
      </c>
      <c r="D2209">
        <v>41</v>
      </c>
      <c r="E2209" t="s">
        <v>964</v>
      </c>
      <c r="F2209" t="s">
        <v>5325</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4" customHeight="1">
      <c r="A2210" t="s">
        <v>68</v>
      </c>
      <c r="B2210">
        <v>35</v>
      </c>
      <c r="C2210" t="s">
        <v>69</v>
      </c>
      <c r="D2210">
        <v>42</v>
      </c>
      <c r="E2210" t="s">
        <v>977</v>
      </c>
      <c r="F2210" t="s">
        <v>5322</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4" customHeight="1">
      <c r="A2211" t="s">
        <v>68</v>
      </c>
      <c r="B2211">
        <v>36</v>
      </c>
      <c r="C2211" t="s">
        <v>69</v>
      </c>
      <c r="D2211">
        <v>43</v>
      </c>
      <c r="E2211" t="s">
        <v>977</v>
      </c>
      <c r="F2211" t="s">
        <v>5323</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4" customHeight="1">
      <c r="A2212" t="s">
        <v>68</v>
      </c>
      <c r="B2212">
        <v>37</v>
      </c>
      <c r="C2212" t="s">
        <v>69</v>
      </c>
      <c r="D2212">
        <v>44</v>
      </c>
      <c r="E2212" t="s">
        <v>977</v>
      </c>
      <c r="F2212" t="s">
        <v>5324</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4" customHeight="1">
      <c r="A2213" t="s">
        <v>68</v>
      </c>
      <c r="B2213">
        <v>38</v>
      </c>
      <c r="C2213" t="s">
        <v>69</v>
      </c>
      <c r="D2213">
        <v>45</v>
      </c>
      <c r="E2213" t="s">
        <v>977</v>
      </c>
      <c r="F2213" t="s">
        <v>5324</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4" customHeight="1">
      <c r="A2214" t="s">
        <v>68</v>
      </c>
      <c r="B2214">
        <v>39</v>
      </c>
      <c r="C2214" t="s">
        <v>69</v>
      </c>
      <c r="D2214">
        <v>46</v>
      </c>
      <c r="E2214" t="s">
        <v>977</v>
      </c>
      <c r="F2214" t="s">
        <v>5324</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4" customHeight="1">
      <c r="A2215" t="s">
        <v>68</v>
      </c>
      <c r="B2215">
        <v>40</v>
      </c>
      <c r="C2215" t="s">
        <v>69</v>
      </c>
      <c r="D2215">
        <v>47</v>
      </c>
      <c r="E2215" t="s">
        <v>977</v>
      </c>
      <c r="F2215" t="s">
        <v>5324</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4" customHeight="1">
      <c r="A2216" t="s">
        <v>68</v>
      </c>
      <c r="B2216">
        <v>41</v>
      </c>
      <c r="C2216" t="s">
        <v>69</v>
      </c>
      <c r="D2216">
        <v>48</v>
      </c>
      <c r="E2216" t="s">
        <v>977</v>
      </c>
      <c r="F2216" t="s">
        <v>5324</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4" customHeight="1">
      <c r="A2217" t="s">
        <v>68</v>
      </c>
      <c r="B2217">
        <v>42</v>
      </c>
      <c r="C2217" t="s">
        <v>69</v>
      </c>
      <c r="D2217">
        <v>49</v>
      </c>
      <c r="E2217" t="s">
        <v>977</v>
      </c>
      <c r="F2217" t="s">
        <v>5325</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4" customHeight="1">
      <c r="A2218" t="s">
        <v>68</v>
      </c>
      <c r="B2218">
        <v>43</v>
      </c>
      <c r="C2218" t="s">
        <v>69</v>
      </c>
      <c r="D2218">
        <v>50</v>
      </c>
      <c r="E2218" t="s">
        <v>994</v>
      </c>
      <c r="F2218" t="s">
        <v>5322</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4" customHeight="1">
      <c r="A2219" t="s">
        <v>68</v>
      </c>
      <c r="B2219">
        <v>44</v>
      </c>
      <c r="C2219" t="s">
        <v>69</v>
      </c>
      <c r="D2219">
        <v>51</v>
      </c>
      <c r="E2219" t="s">
        <v>994</v>
      </c>
      <c r="F2219" t="s">
        <v>5323</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4" customHeight="1">
      <c r="A2220" t="s">
        <v>68</v>
      </c>
      <c r="B2220">
        <v>45</v>
      </c>
      <c r="C2220" t="s">
        <v>69</v>
      </c>
      <c r="D2220">
        <v>52</v>
      </c>
      <c r="E2220" t="s">
        <v>994</v>
      </c>
      <c r="F2220" t="s">
        <v>5324</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4" customHeight="1">
      <c r="A2221" t="s">
        <v>68</v>
      </c>
      <c r="B2221">
        <v>46</v>
      </c>
      <c r="C2221" t="s">
        <v>69</v>
      </c>
      <c r="D2221">
        <v>53</v>
      </c>
      <c r="E2221" t="s">
        <v>994</v>
      </c>
      <c r="F2221" t="s">
        <v>5324</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4" customHeight="1">
      <c r="A2222" t="s">
        <v>68</v>
      </c>
      <c r="B2222">
        <v>47</v>
      </c>
      <c r="C2222" t="s">
        <v>69</v>
      </c>
      <c r="D2222">
        <v>54</v>
      </c>
      <c r="E2222" t="s">
        <v>994</v>
      </c>
      <c r="F2222" t="s">
        <v>5324</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4" customHeight="1">
      <c r="A2223" t="s">
        <v>68</v>
      </c>
      <c r="B2223">
        <v>48</v>
      </c>
      <c r="C2223" t="s">
        <v>69</v>
      </c>
      <c r="D2223">
        <v>55</v>
      </c>
      <c r="E2223" t="s">
        <v>994</v>
      </c>
      <c r="F2223" t="s">
        <v>5324</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4" customHeight="1">
      <c r="A2224" t="s">
        <v>68</v>
      </c>
      <c r="B2224">
        <v>49</v>
      </c>
      <c r="C2224" t="s">
        <v>69</v>
      </c>
      <c r="D2224">
        <v>56</v>
      </c>
      <c r="E2224" t="s">
        <v>994</v>
      </c>
      <c r="F2224" t="s">
        <v>5324</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4" customHeight="1">
      <c r="A2225" t="s">
        <v>68</v>
      </c>
      <c r="B2225">
        <v>50</v>
      </c>
      <c r="C2225" t="s">
        <v>69</v>
      </c>
      <c r="D2225">
        <v>57</v>
      </c>
      <c r="E2225" t="s">
        <v>994</v>
      </c>
      <c r="F2225" t="s">
        <v>5325</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4" customHeight="1">
      <c r="A2226" t="s">
        <v>68</v>
      </c>
      <c r="B2226">
        <v>51</v>
      </c>
      <c r="C2226" t="s">
        <v>69</v>
      </c>
      <c r="D2226">
        <v>58</v>
      </c>
      <c r="E2226" t="s">
        <v>1007</v>
      </c>
      <c r="F2226" t="s">
        <v>5322</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4" customHeight="1">
      <c r="A2227" t="s">
        <v>68</v>
      </c>
      <c r="B2227">
        <v>52</v>
      </c>
      <c r="C2227" t="s">
        <v>69</v>
      </c>
      <c r="D2227">
        <v>59</v>
      </c>
      <c r="E2227" t="s">
        <v>1007</v>
      </c>
      <c r="F2227" t="s">
        <v>5323</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4" customHeight="1">
      <c r="A2228" t="s">
        <v>68</v>
      </c>
      <c r="B2228">
        <v>53</v>
      </c>
      <c r="C2228" t="s">
        <v>69</v>
      </c>
      <c r="D2228">
        <v>60</v>
      </c>
      <c r="E2228" t="s">
        <v>1007</v>
      </c>
      <c r="F2228" t="s">
        <v>5324</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4" customHeight="1">
      <c r="A2229" t="s">
        <v>68</v>
      </c>
      <c r="B2229">
        <v>54</v>
      </c>
      <c r="C2229" t="s">
        <v>69</v>
      </c>
      <c r="D2229">
        <v>61</v>
      </c>
      <c r="E2229" t="s">
        <v>1007</v>
      </c>
      <c r="F2229" t="s">
        <v>5324</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4" customHeight="1">
      <c r="A2230" t="s">
        <v>68</v>
      </c>
      <c r="B2230">
        <v>55</v>
      </c>
      <c r="C2230" t="s">
        <v>69</v>
      </c>
      <c r="D2230">
        <v>62</v>
      </c>
      <c r="E2230" t="s">
        <v>1007</v>
      </c>
      <c r="F2230" t="s">
        <v>5324</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4" customHeight="1">
      <c r="A2231" t="s">
        <v>68</v>
      </c>
      <c r="B2231">
        <v>56</v>
      </c>
      <c r="C2231" t="s">
        <v>69</v>
      </c>
      <c r="D2231">
        <v>63</v>
      </c>
      <c r="E2231" t="s">
        <v>1007</v>
      </c>
      <c r="F2231" t="s">
        <v>5324</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4" customHeight="1">
      <c r="A2232" t="s">
        <v>68</v>
      </c>
      <c r="B2232">
        <v>57</v>
      </c>
      <c r="C2232" t="s">
        <v>69</v>
      </c>
      <c r="D2232">
        <v>64</v>
      </c>
      <c r="E2232" t="s">
        <v>1007</v>
      </c>
      <c r="F2232" t="s">
        <v>5324</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4" customHeight="1">
      <c r="A2233" t="s">
        <v>68</v>
      </c>
      <c r="B2233">
        <v>58</v>
      </c>
      <c r="C2233" t="s">
        <v>69</v>
      </c>
      <c r="D2233">
        <v>65</v>
      </c>
      <c r="E2233" t="s">
        <v>1007</v>
      </c>
      <c r="F2233" t="s">
        <v>5325</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4" customHeight="1">
      <c r="A2234" t="s">
        <v>68</v>
      </c>
      <c r="B2234">
        <v>59</v>
      </c>
      <c r="C2234" t="s">
        <v>69</v>
      </c>
      <c r="D2234">
        <v>66</v>
      </c>
      <c r="E2234" t="s">
        <v>1019</v>
      </c>
      <c r="F2234" t="s">
        <v>5322</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4" customHeight="1">
      <c r="A2235" t="s">
        <v>68</v>
      </c>
      <c r="B2235">
        <v>60</v>
      </c>
      <c r="C2235" t="s">
        <v>69</v>
      </c>
      <c r="D2235">
        <v>67</v>
      </c>
      <c r="E2235" t="s">
        <v>1019</v>
      </c>
      <c r="F2235" t="s">
        <v>5323</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4" customHeight="1">
      <c r="A2236" t="s">
        <v>68</v>
      </c>
      <c r="B2236">
        <v>61</v>
      </c>
      <c r="C2236" t="s">
        <v>69</v>
      </c>
      <c r="D2236">
        <v>68</v>
      </c>
      <c r="E2236" t="s">
        <v>1019</v>
      </c>
      <c r="F2236" t="s">
        <v>5324</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4" customHeight="1">
      <c r="A2237" t="s">
        <v>68</v>
      </c>
      <c r="B2237">
        <v>62</v>
      </c>
      <c r="C2237" t="s">
        <v>69</v>
      </c>
      <c r="D2237">
        <v>69</v>
      </c>
      <c r="E2237" t="s">
        <v>1019</v>
      </c>
      <c r="F2237" t="s">
        <v>5324</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4" customHeight="1">
      <c r="A2238" t="s">
        <v>68</v>
      </c>
      <c r="B2238">
        <v>63</v>
      </c>
      <c r="C2238" t="s">
        <v>69</v>
      </c>
      <c r="D2238">
        <v>70</v>
      </c>
      <c r="E2238" t="s">
        <v>1019</v>
      </c>
      <c r="F2238" t="s">
        <v>5324</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4" customHeight="1">
      <c r="A2239" t="s">
        <v>68</v>
      </c>
      <c r="B2239">
        <v>64</v>
      </c>
      <c r="C2239" t="s">
        <v>69</v>
      </c>
      <c r="D2239">
        <v>71</v>
      </c>
      <c r="E2239" t="s">
        <v>1019</v>
      </c>
      <c r="F2239" t="s">
        <v>5324</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4" customHeight="1">
      <c r="A2240" t="s">
        <v>68</v>
      </c>
      <c r="B2240">
        <v>65</v>
      </c>
      <c r="C2240" t="s">
        <v>69</v>
      </c>
      <c r="D2240">
        <v>72</v>
      </c>
      <c r="E2240" t="s">
        <v>1019</v>
      </c>
      <c r="F2240" t="s">
        <v>5324</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4" customHeight="1">
      <c r="A2241" t="s">
        <v>68</v>
      </c>
      <c r="B2241">
        <v>66</v>
      </c>
      <c r="C2241" t="s">
        <v>69</v>
      </c>
      <c r="D2241">
        <v>73</v>
      </c>
      <c r="E2241" t="s">
        <v>1019</v>
      </c>
      <c r="F2241" t="s">
        <v>5324</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4" customHeight="1">
      <c r="A2242" t="s">
        <v>68</v>
      </c>
      <c r="B2242">
        <v>67</v>
      </c>
      <c r="C2242" t="s">
        <v>69</v>
      </c>
      <c r="D2242">
        <v>74</v>
      </c>
      <c r="E2242" t="s">
        <v>1019</v>
      </c>
      <c r="F2242" t="s">
        <v>5324</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4" customHeight="1">
      <c r="A2243" t="s">
        <v>68</v>
      </c>
      <c r="B2243">
        <v>68</v>
      </c>
      <c r="C2243" t="s">
        <v>69</v>
      </c>
      <c r="D2243">
        <v>75</v>
      </c>
      <c r="E2243" t="s">
        <v>1019</v>
      </c>
      <c r="F2243" t="s">
        <v>5324</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4" customHeight="1">
      <c r="A2244" t="s">
        <v>68</v>
      </c>
      <c r="B2244">
        <v>69</v>
      </c>
      <c r="C2244" t="s">
        <v>69</v>
      </c>
      <c r="D2244">
        <v>76</v>
      </c>
      <c r="E2244" t="s">
        <v>1019</v>
      </c>
      <c r="F2244" t="s">
        <v>5325</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4" customHeight="1">
      <c r="A2245" t="s">
        <v>68</v>
      </c>
      <c r="B2245">
        <v>70</v>
      </c>
      <c r="C2245" t="s">
        <v>69</v>
      </c>
      <c r="D2245">
        <v>77</v>
      </c>
      <c r="E2245" t="s">
        <v>1051</v>
      </c>
      <c r="F2245" t="s">
        <v>5322</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4" customHeight="1">
      <c r="A2246" t="s">
        <v>68</v>
      </c>
      <c r="B2246">
        <v>71</v>
      </c>
      <c r="C2246" t="s">
        <v>69</v>
      </c>
      <c r="D2246">
        <v>78</v>
      </c>
      <c r="E2246" t="s">
        <v>1051</v>
      </c>
      <c r="F2246" t="s">
        <v>5323</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4" customHeight="1">
      <c r="A2247" t="s">
        <v>68</v>
      </c>
      <c r="B2247">
        <v>72</v>
      </c>
      <c r="C2247" t="s">
        <v>69</v>
      </c>
      <c r="D2247">
        <v>79</v>
      </c>
      <c r="E2247" t="s">
        <v>1051</v>
      </c>
      <c r="F2247" t="s">
        <v>5324</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4" customHeight="1">
      <c r="A2248" t="s">
        <v>68</v>
      </c>
      <c r="B2248">
        <v>73</v>
      </c>
      <c r="C2248" t="s">
        <v>69</v>
      </c>
      <c r="D2248">
        <v>80</v>
      </c>
      <c r="E2248" t="s">
        <v>1051</v>
      </c>
      <c r="F2248" t="s">
        <v>5324</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4" customHeight="1">
      <c r="A2249" t="s">
        <v>68</v>
      </c>
      <c r="B2249">
        <v>74</v>
      </c>
      <c r="C2249" t="s">
        <v>69</v>
      </c>
      <c r="D2249">
        <v>81</v>
      </c>
      <c r="E2249" t="s">
        <v>1051</v>
      </c>
      <c r="F2249" t="s">
        <v>5324</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4" customHeight="1">
      <c r="A2250" t="s">
        <v>68</v>
      </c>
      <c r="B2250">
        <v>75</v>
      </c>
      <c r="C2250" t="s">
        <v>69</v>
      </c>
      <c r="D2250">
        <v>82</v>
      </c>
      <c r="E2250" t="s">
        <v>1051</v>
      </c>
      <c r="F2250" t="s">
        <v>5324</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4" customHeight="1">
      <c r="A2251" t="s">
        <v>68</v>
      </c>
      <c r="B2251">
        <v>76</v>
      </c>
      <c r="C2251" t="s">
        <v>69</v>
      </c>
      <c r="D2251">
        <v>83</v>
      </c>
      <c r="E2251" t="s">
        <v>1051</v>
      </c>
      <c r="F2251" t="s">
        <v>5324</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4" customHeight="1">
      <c r="A2252" t="s">
        <v>68</v>
      </c>
      <c r="B2252">
        <v>77</v>
      </c>
      <c r="C2252" t="s">
        <v>69</v>
      </c>
      <c r="D2252">
        <v>84</v>
      </c>
      <c r="E2252" t="s">
        <v>1051</v>
      </c>
      <c r="F2252" t="s">
        <v>5324</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4" customHeight="1">
      <c r="A2253" t="s">
        <v>68</v>
      </c>
      <c r="B2253">
        <v>78</v>
      </c>
      <c r="C2253" t="s">
        <v>69</v>
      </c>
      <c r="D2253">
        <v>85</v>
      </c>
      <c r="E2253" t="s">
        <v>1051</v>
      </c>
      <c r="F2253" t="s">
        <v>5324</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4" customHeight="1">
      <c r="A2254" t="s">
        <v>68</v>
      </c>
      <c r="B2254">
        <v>79</v>
      </c>
      <c r="C2254" t="s">
        <v>69</v>
      </c>
      <c r="D2254">
        <v>86</v>
      </c>
      <c r="E2254" t="s">
        <v>1051</v>
      </c>
      <c r="F2254" t="s">
        <v>5324</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4" customHeight="1">
      <c r="A2255" t="s">
        <v>68</v>
      </c>
      <c r="B2255">
        <v>80</v>
      </c>
      <c r="C2255" t="s">
        <v>69</v>
      </c>
      <c r="D2255">
        <v>87</v>
      </c>
      <c r="E2255" t="s">
        <v>1051</v>
      </c>
      <c r="F2255" t="s">
        <v>5325</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4" customHeight="1">
      <c r="A2256" t="s">
        <v>68</v>
      </c>
      <c r="B2256">
        <v>81</v>
      </c>
      <c r="C2256" t="s">
        <v>69</v>
      </c>
      <c r="D2256">
        <v>88</v>
      </c>
      <c r="E2256" t="s">
        <v>1052</v>
      </c>
      <c r="F2256" t="s">
        <v>5322</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4" customHeight="1">
      <c r="A2257" t="s">
        <v>68</v>
      </c>
      <c r="B2257">
        <v>82</v>
      </c>
      <c r="C2257" t="s">
        <v>69</v>
      </c>
      <c r="D2257">
        <v>89</v>
      </c>
      <c r="E2257" t="s">
        <v>1052</v>
      </c>
      <c r="F2257" t="s">
        <v>5323</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4" customHeight="1">
      <c r="A2258" t="s">
        <v>68</v>
      </c>
      <c r="B2258">
        <v>83</v>
      </c>
      <c r="C2258" t="s">
        <v>69</v>
      </c>
      <c r="D2258">
        <v>90</v>
      </c>
      <c r="E2258" t="s">
        <v>1052</v>
      </c>
      <c r="F2258" t="s">
        <v>5324</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4" customHeight="1">
      <c r="A2259" t="s">
        <v>68</v>
      </c>
      <c r="B2259">
        <v>84</v>
      </c>
      <c r="C2259" t="s">
        <v>69</v>
      </c>
      <c r="D2259">
        <v>91</v>
      </c>
      <c r="E2259" t="s">
        <v>1052</v>
      </c>
      <c r="F2259" t="s">
        <v>5324</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4" customHeight="1">
      <c r="A2260" t="s">
        <v>68</v>
      </c>
      <c r="B2260">
        <v>85</v>
      </c>
      <c r="C2260" t="s">
        <v>69</v>
      </c>
      <c r="D2260">
        <v>92</v>
      </c>
      <c r="E2260" t="s">
        <v>1052</v>
      </c>
      <c r="F2260" t="s">
        <v>5324</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4" customHeight="1">
      <c r="A2261" t="s">
        <v>68</v>
      </c>
      <c r="B2261">
        <v>86</v>
      </c>
      <c r="C2261" t="s">
        <v>69</v>
      </c>
      <c r="D2261">
        <v>93</v>
      </c>
      <c r="E2261" t="s">
        <v>1052</v>
      </c>
      <c r="F2261" t="s">
        <v>5324</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4" customHeight="1">
      <c r="A2262" t="s">
        <v>68</v>
      </c>
      <c r="B2262">
        <v>87</v>
      </c>
      <c r="C2262" t="s">
        <v>69</v>
      </c>
      <c r="D2262">
        <v>94</v>
      </c>
      <c r="E2262" t="s">
        <v>1052</v>
      </c>
      <c r="F2262" t="s">
        <v>5324</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4" customHeight="1">
      <c r="A2263" t="s">
        <v>68</v>
      </c>
      <c r="B2263">
        <v>88</v>
      </c>
      <c r="C2263" t="s">
        <v>69</v>
      </c>
      <c r="D2263">
        <v>95</v>
      </c>
      <c r="E2263" t="s">
        <v>1052</v>
      </c>
      <c r="F2263" t="s">
        <v>5324</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4" customHeight="1">
      <c r="A2264" t="s">
        <v>68</v>
      </c>
      <c r="B2264">
        <v>89</v>
      </c>
      <c r="C2264" t="s">
        <v>69</v>
      </c>
      <c r="D2264">
        <v>96</v>
      </c>
      <c r="E2264" t="s">
        <v>1052</v>
      </c>
      <c r="F2264" t="s">
        <v>5324</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4" customHeight="1">
      <c r="A2265" t="s">
        <v>68</v>
      </c>
      <c r="B2265">
        <v>90</v>
      </c>
      <c r="C2265" t="s">
        <v>69</v>
      </c>
      <c r="D2265">
        <v>97</v>
      </c>
      <c r="E2265" t="s">
        <v>1052</v>
      </c>
      <c r="F2265" t="s">
        <v>5324</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4" customHeight="1">
      <c r="A2266" t="s">
        <v>68</v>
      </c>
      <c r="B2266">
        <v>91</v>
      </c>
      <c r="C2266" t="s">
        <v>69</v>
      </c>
      <c r="D2266">
        <v>98</v>
      </c>
      <c r="E2266" t="s">
        <v>1052</v>
      </c>
      <c r="F2266" t="s">
        <v>5325</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4" customHeight="1">
      <c r="A2267" t="s">
        <v>70</v>
      </c>
      <c r="B2267">
        <v>1</v>
      </c>
      <c r="C2267" t="s">
        <v>71</v>
      </c>
      <c r="D2267">
        <v>8</v>
      </c>
      <c r="E2267" t="s">
        <v>4200</v>
      </c>
      <c r="F2267" t="s">
        <v>5322</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4" customHeight="1">
      <c r="A2268" t="s">
        <v>70</v>
      </c>
      <c r="B2268">
        <v>2</v>
      </c>
      <c r="C2268" t="s">
        <v>71</v>
      </c>
      <c r="D2268">
        <v>9</v>
      </c>
      <c r="E2268" t="s">
        <v>4200</v>
      </c>
      <c r="F2268" t="s">
        <v>5323</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4" customHeight="1">
      <c r="A2269" t="s">
        <v>70</v>
      </c>
      <c r="B2269">
        <v>3</v>
      </c>
      <c r="C2269" t="s">
        <v>71</v>
      </c>
      <c r="D2269">
        <v>10</v>
      </c>
      <c r="E2269" t="s">
        <v>4200</v>
      </c>
      <c r="F2269" t="s">
        <v>5324</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4" customHeight="1">
      <c r="A2270" t="s">
        <v>70</v>
      </c>
      <c r="B2270">
        <v>4</v>
      </c>
      <c r="C2270" t="s">
        <v>71</v>
      </c>
      <c r="D2270">
        <v>11</v>
      </c>
      <c r="E2270" t="s">
        <v>4200</v>
      </c>
      <c r="F2270" t="s">
        <v>5324</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4" customHeight="1">
      <c r="A2271" t="s">
        <v>70</v>
      </c>
      <c r="B2271">
        <v>5</v>
      </c>
      <c r="C2271" t="s">
        <v>71</v>
      </c>
      <c r="D2271">
        <v>12</v>
      </c>
      <c r="E2271" t="s">
        <v>4200</v>
      </c>
      <c r="F2271" t="s">
        <v>5324</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4" customHeight="1">
      <c r="A2272" t="s">
        <v>70</v>
      </c>
      <c r="B2272">
        <v>6</v>
      </c>
      <c r="C2272" t="s">
        <v>71</v>
      </c>
      <c r="D2272">
        <v>13</v>
      </c>
      <c r="E2272" t="s">
        <v>4200</v>
      </c>
      <c r="F2272" t="s">
        <v>5324</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4" customHeight="1">
      <c r="A2273" t="s">
        <v>70</v>
      </c>
      <c r="B2273">
        <v>7</v>
      </c>
      <c r="C2273" t="s">
        <v>71</v>
      </c>
      <c r="D2273">
        <v>14</v>
      </c>
      <c r="E2273" t="s">
        <v>4200</v>
      </c>
      <c r="F2273" t="s">
        <v>5324</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4" customHeight="1">
      <c r="A2274" t="s">
        <v>70</v>
      </c>
      <c r="B2274">
        <v>8</v>
      </c>
      <c r="C2274" t="s">
        <v>71</v>
      </c>
      <c r="D2274">
        <v>15</v>
      </c>
      <c r="E2274" t="s">
        <v>4200</v>
      </c>
      <c r="F2274" t="s">
        <v>5324</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4" customHeight="1">
      <c r="A2275" t="s">
        <v>70</v>
      </c>
      <c r="B2275">
        <v>9</v>
      </c>
      <c r="C2275" t="s">
        <v>71</v>
      </c>
      <c r="D2275">
        <v>16</v>
      </c>
      <c r="E2275" t="s">
        <v>4200</v>
      </c>
      <c r="F2275" t="s">
        <v>5324</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4" customHeight="1">
      <c r="A2276" t="s">
        <v>70</v>
      </c>
      <c r="B2276">
        <v>10</v>
      </c>
      <c r="C2276" t="s">
        <v>71</v>
      </c>
      <c r="D2276">
        <v>17</v>
      </c>
      <c r="E2276" t="s">
        <v>4200</v>
      </c>
      <c r="F2276" t="s">
        <v>5324</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4" customHeight="1">
      <c r="A2277" t="s">
        <v>70</v>
      </c>
      <c r="B2277">
        <v>11</v>
      </c>
      <c r="C2277" t="s">
        <v>71</v>
      </c>
      <c r="D2277">
        <v>18</v>
      </c>
      <c r="E2277" t="s">
        <v>4200</v>
      </c>
      <c r="F2277" t="s">
        <v>5324</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4" customHeight="1">
      <c r="A2278" t="s">
        <v>70</v>
      </c>
      <c r="B2278">
        <v>12</v>
      </c>
      <c r="C2278" t="s">
        <v>71</v>
      </c>
      <c r="D2278">
        <v>19</v>
      </c>
      <c r="E2278" t="s">
        <v>4200</v>
      </c>
      <c r="F2278" t="s">
        <v>5324</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4" customHeight="1">
      <c r="A2279" t="s">
        <v>70</v>
      </c>
      <c r="B2279">
        <v>13</v>
      </c>
      <c r="C2279" t="s">
        <v>71</v>
      </c>
      <c r="D2279">
        <v>20</v>
      </c>
      <c r="E2279" t="s">
        <v>4200</v>
      </c>
      <c r="F2279" t="s">
        <v>5325</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4" customHeight="1">
      <c r="A2280" t="s">
        <v>70</v>
      </c>
      <c r="B2280">
        <v>14</v>
      </c>
      <c r="C2280" t="s">
        <v>71</v>
      </c>
      <c r="D2280">
        <v>21</v>
      </c>
      <c r="E2280" t="s">
        <v>4271</v>
      </c>
      <c r="F2280" t="s">
        <v>5322</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4" customHeight="1">
      <c r="A2281" t="s">
        <v>70</v>
      </c>
      <c r="B2281">
        <v>15</v>
      </c>
      <c r="C2281" t="s">
        <v>71</v>
      </c>
      <c r="D2281">
        <v>22</v>
      </c>
      <c r="E2281" t="s">
        <v>4271</v>
      </c>
      <c r="F2281" t="s">
        <v>5323</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4" customHeight="1">
      <c r="A2282" t="s">
        <v>70</v>
      </c>
      <c r="B2282">
        <v>16</v>
      </c>
      <c r="C2282" t="s">
        <v>71</v>
      </c>
      <c r="D2282">
        <v>23</v>
      </c>
      <c r="E2282" t="s">
        <v>4271</v>
      </c>
      <c r="F2282" t="s">
        <v>5324</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4" customHeight="1">
      <c r="A2283" t="s">
        <v>70</v>
      </c>
      <c r="B2283">
        <v>17</v>
      </c>
      <c r="C2283" t="s">
        <v>71</v>
      </c>
      <c r="D2283">
        <v>24</v>
      </c>
      <c r="E2283" t="s">
        <v>4271</v>
      </c>
      <c r="F2283" t="s">
        <v>5324</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4" customHeight="1">
      <c r="A2284" t="s">
        <v>70</v>
      </c>
      <c r="B2284">
        <v>18</v>
      </c>
      <c r="C2284" t="s">
        <v>71</v>
      </c>
      <c r="D2284">
        <v>25</v>
      </c>
      <c r="E2284" t="s">
        <v>4271</v>
      </c>
      <c r="F2284" t="s">
        <v>5324</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4" customHeight="1">
      <c r="A2285" t="s">
        <v>70</v>
      </c>
      <c r="B2285">
        <v>19</v>
      </c>
      <c r="C2285" t="s">
        <v>71</v>
      </c>
      <c r="D2285">
        <v>26</v>
      </c>
      <c r="E2285" t="s">
        <v>4271</v>
      </c>
      <c r="F2285" t="s">
        <v>5324</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4" customHeight="1">
      <c r="A2286" t="s">
        <v>70</v>
      </c>
      <c r="B2286">
        <v>20</v>
      </c>
      <c r="C2286" t="s">
        <v>71</v>
      </c>
      <c r="D2286">
        <v>27</v>
      </c>
      <c r="E2286" t="s">
        <v>4271</v>
      </c>
      <c r="F2286" t="s">
        <v>5324</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4" customHeight="1">
      <c r="A2287" t="s">
        <v>70</v>
      </c>
      <c r="B2287">
        <v>21</v>
      </c>
      <c r="C2287" t="s">
        <v>71</v>
      </c>
      <c r="D2287">
        <v>28</v>
      </c>
      <c r="E2287" t="s">
        <v>4271</v>
      </c>
      <c r="F2287" t="s">
        <v>5325</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4" customHeight="1">
      <c r="A2288" t="s">
        <v>70</v>
      </c>
      <c r="B2288">
        <v>22</v>
      </c>
      <c r="C2288" t="s">
        <v>71</v>
      </c>
      <c r="D2288">
        <v>29</v>
      </c>
      <c r="E2288" t="s">
        <v>4290</v>
      </c>
      <c r="F2288" t="s">
        <v>5322</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4" customHeight="1">
      <c r="A2289" t="s">
        <v>70</v>
      </c>
      <c r="B2289">
        <v>23</v>
      </c>
      <c r="C2289" t="s">
        <v>71</v>
      </c>
      <c r="D2289">
        <v>30</v>
      </c>
      <c r="E2289" t="s">
        <v>4290</v>
      </c>
      <c r="F2289" t="s">
        <v>5323</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4" customHeight="1">
      <c r="A2290" t="s">
        <v>70</v>
      </c>
      <c r="B2290">
        <v>24</v>
      </c>
      <c r="C2290" t="s">
        <v>71</v>
      </c>
      <c r="D2290">
        <v>31</v>
      </c>
      <c r="E2290" t="s">
        <v>4290</v>
      </c>
      <c r="F2290" t="s">
        <v>5324</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4" customHeight="1">
      <c r="A2291" t="s">
        <v>70</v>
      </c>
      <c r="B2291">
        <v>25</v>
      </c>
      <c r="C2291" t="s">
        <v>71</v>
      </c>
      <c r="D2291">
        <v>32</v>
      </c>
      <c r="E2291" t="s">
        <v>4290</v>
      </c>
      <c r="F2291" t="s">
        <v>5324</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4" customHeight="1">
      <c r="A2292" t="s">
        <v>70</v>
      </c>
      <c r="B2292">
        <v>26</v>
      </c>
      <c r="C2292" t="s">
        <v>71</v>
      </c>
      <c r="D2292">
        <v>33</v>
      </c>
      <c r="E2292" t="s">
        <v>4290</v>
      </c>
      <c r="F2292" t="s">
        <v>5324</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4" customHeight="1">
      <c r="A2293" t="s">
        <v>70</v>
      </c>
      <c r="B2293">
        <v>27</v>
      </c>
      <c r="C2293" t="s">
        <v>71</v>
      </c>
      <c r="D2293">
        <v>34</v>
      </c>
      <c r="E2293" t="s">
        <v>4290</v>
      </c>
      <c r="F2293" t="s">
        <v>5324</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4" customHeight="1">
      <c r="A2294" t="s">
        <v>70</v>
      </c>
      <c r="B2294">
        <v>28</v>
      </c>
      <c r="C2294" t="s">
        <v>71</v>
      </c>
      <c r="D2294">
        <v>35</v>
      </c>
      <c r="E2294" t="s">
        <v>4290</v>
      </c>
      <c r="F2294" t="s">
        <v>5325</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4" customHeight="1">
      <c r="A2295" t="s">
        <v>70</v>
      </c>
      <c r="B2295">
        <v>29</v>
      </c>
      <c r="C2295" t="s">
        <v>71</v>
      </c>
      <c r="D2295">
        <v>36</v>
      </c>
      <c r="E2295" t="s">
        <v>4307</v>
      </c>
      <c r="F2295" t="s">
        <v>5322</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4" customHeight="1">
      <c r="A2296" t="s">
        <v>70</v>
      </c>
      <c r="B2296">
        <v>30</v>
      </c>
      <c r="C2296" t="s">
        <v>71</v>
      </c>
      <c r="D2296">
        <v>37</v>
      </c>
      <c r="E2296" t="s">
        <v>4307</v>
      </c>
      <c r="F2296" t="s">
        <v>5323</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4" customHeight="1">
      <c r="A2297" t="s">
        <v>70</v>
      </c>
      <c r="B2297">
        <v>31</v>
      </c>
      <c r="C2297" t="s">
        <v>71</v>
      </c>
      <c r="D2297">
        <v>38</v>
      </c>
      <c r="E2297" t="s">
        <v>4307</v>
      </c>
      <c r="F2297" t="s">
        <v>5324</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4" customHeight="1">
      <c r="A2298" t="s">
        <v>70</v>
      </c>
      <c r="B2298">
        <v>32</v>
      </c>
      <c r="C2298" t="s">
        <v>71</v>
      </c>
      <c r="D2298">
        <v>39</v>
      </c>
      <c r="E2298" t="s">
        <v>4307</v>
      </c>
      <c r="F2298" t="s">
        <v>5324</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4" customHeight="1">
      <c r="A2299" t="s">
        <v>70</v>
      </c>
      <c r="B2299">
        <v>33</v>
      </c>
      <c r="C2299" t="s">
        <v>71</v>
      </c>
      <c r="D2299">
        <v>40</v>
      </c>
      <c r="E2299" t="s">
        <v>4307</v>
      </c>
      <c r="F2299" t="s">
        <v>5324</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4" customHeight="1">
      <c r="A2300" t="s">
        <v>70</v>
      </c>
      <c r="B2300">
        <v>34</v>
      </c>
      <c r="C2300" t="s">
        <v>71</v>
      </c>
      <c r="D2300">
        <v>41</v>
      </c>
      <c r="E2300" t="s">
        <v>4307</v>
      </c>
      <c r="F2300" t="s">
        <v>5324</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4" customHeight="1">
      <c r="A2301" t="s">
        <v>70</v>
      </c>
      <c r="B2301">
        <v>35</v>
      </c>
      <c r="C2301" t="s">
        <v>71</v>
      </c>
      <c r="D2301">
        <v>42</v>
      </c>
      <c r="E2301" t="s">
        <v>4307</v>
      </c>
      <c r="F2301" t="s">
        <v>5324</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4" customHeight="1">
      <c r="A2302" t="s">
        <v>70</v>
      </c>
      <c r="B2302">
        <v>36</v>
      </c>
      <c r="C2302" t="s">
        <v>71</v>
      </c>
      <c r="D2302">
        <v>43</v>
      </c>
      <c r="E2302" t="s">
        <v>4307</v>
      </c>
      <c r="F2302" t="s">
        <v>5325</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4" customHeight="1">
      <c r="A2303" t="s">
        <v>70</v>
      </c>
      <c r="B2303">
        <v>37</v>
      </c>
      <c r="C2303" t="s">
        <v>71</v>
      </c>
      <c r="D2303">
        <v>44</v>
      </c>
      <c r="E2303" t="s">
        <v>4334</v>
      </c>
      <c r="F2303" t="s">
        <v>5322</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4" customHeight="1">
      <c r="A2304" t="s">
        <v>70</v>
      </c>
      <c r="B2304">
        <v>38</v>
      </c>
      <c r="C2304" t="s">
        <v>71</v>
      </c>
      <c r="D2304">
        <v>45</v>
      </c>
      <c r="E2304" t="s">
        <v>4334</v>
      </c>
      <c r="F2304" t="s">
        <v>5323</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4" customHeight="1">
      <c r="A2305" t="s">
        <v>70</v>
      </c>
      <c r="B2305">
        <v>39</v>
      </c>
      <c r="C2305" t="s">
        <v>71</v>
      </c>
      <c r="D2305">
        <v>46</v>
      </c>
      <c r="E2305" t="s">
        <v>4334</v>
      </c>
      <c r="F2305" t="s">
        <v>5324</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4" customHeight="1">
      <c r="A2306" t="s">
        <v>70</v>
      </c>
      <c r="B2306">
        <v>40</v>
      </c>
      <c r="C2306" t="s">
        <v>71</v>
      </c>
      <c r="D2306">
        <v>47</v>
      </c>
      <c r="E2306" t="s">
        <v>4334</v>
      </c>
      <c r="F2306" t="s">
        <v>5324</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4" customHeight="1">
      <c r="A2307" t="s">
        <v>70</v>
      </c>
      <c r="B2307">
        <v>41</v>
      </c>
      <c r="C2307" t="s">
        <v>71</v>
      </c>
      <c r="D2307">
        <v>48</v>
      </c>
      <c r="E2307" t="s">
        <v>4334</v>
      </c>
      <c r="F2307" t="s">
        <v>5324</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4" customHeight="1">
      <c r="A2308" t="s">
        <v>70</v>
      </c>
      <c r="B2308">
        <v>42</v>
      </c>
      <c r="C2308" t="s">
        <v>71</v>
      </c>
      <c r="D2308">
        <v>49</v>
      </c>
      <c r="E2308" t="s">
        <v>4334</v>
      </c>
      <c r="F2308" t="s">
        <v>5324</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4" customHeight="1">
      <c r="A2309" t="s">
        <v>70</v>
      </c>
      <c r="B2309">
        <v>43</v>
      </c>
      <c r="C2309" t="s">
        <v>71</v>
      </c>
      <c r="D2309">
        <v>50</v>
      </c>
      <c r="E2309" t="s">
        <v>4334</v>
      </c>
      <c r="F2309" t="s">
        <v>5325</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4" customHeight="1">
      <c r="A2310" t="s">
        <v>70</v>
      </c>
      <c r="B2310">
        <v>44</v>
      </c>
      <c r="C2310" t="s">
        <v>71</v>
      </c>
      <c r="D2310">
        <v>51</v>
      </c>
      <c r="E2310" t="s">
        <v>4346</v>
      </c>
      <c r="F2310" t="s">
        <v>5322</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4" customHeight="1">
      <c r="A2311" t="s">
        <v>70</v>
      </c>
      <c r="B2311">
        <v>45</v>
      </c>
      <c r="C2311" t="s">
        <v>71</v>
      </c>
      <c r="D2311">
        <v>52</v>
      </c>
      <c r="E2311" t="s">
        <v>4346</v>
      </c>
      <c r="F2311" t="s">
        <v>5323</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4" customHeight="1">
      <c r="A2312" t="s">
        <v>70</v>
      </c>
      <c r="B2312">
        <v>46</v>
      </c>
      <c r="C2312" t="s">
        <v>71</v>
      </c>
      <c r="D2312">
        <v>53</v>
      </c>
      <c r="E2312" t="s">
        <v>4346</v>
      </c>
      <c r="F2312" t="s">
        <v>5324</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4" customHeight="1">
      <c r="A2313" t="s">
        <v>70</v>
      </c>
      <c r="B2313">
        <v>47</v>
      </c>
      <c r="C2313" t="s">
        <v>71</v>
      </c>
      <c r="D2313">
        <v>54</v>
      </c>
      <c r="E2313" t="s">
        <v>4346</v>
      </c>
      <c r="F2313" t="s">
        <v>5324</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4" customHeight="1">
      <c r="A2314" t="s">
        <v>70</v>
      </c>
      <c r="B2314">
        <v>48</v>
      </c>
      <c r="C2314" t="s">
        <v>71</v>
      </c>
      <c r="D2314">
        <v>55</v>
      </c>
      <c r="E2314" t="s">
        <v>4346</v>
      </c>
      <c r="F2314" t="s">
        <v>5324</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4" customHeight="1">
      <c r="A2315" t="s">
        <v>70</v>
      </c>
      <c r="B2315">
        <v>49</v>
      </c>
      <c r="C2315" t="s">
        <v>71</v>
      </c>
      <c r="D2315">
        <v>56</v>
      </c>
      <c r="E2315" t="s">
        <v>4346</v>
      </c>
      <c r="F2315" t="s">
        <v>5324</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4" customHeight="1">
      <c r="A2316" t="s">
        <v>70</v>
      </c>
      <c r="B2316">
        <v>50</v>
      </c>
      <c r="C2316" t="s">
        <v>71</v>
      </c>
      <c r="D2316">
        <v>57</v>
      </c>
      <c r="E2316" t="s">
        <v>4346</v>
      </c>
      <c r="F2316" t="s">
        <v>5325</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4" customHeight="1">
      <c r="A2317" t="s">
        <v>70</v>
      </c>
      <c r="B2317">
        <v>51</v>
      </c>
      <c r="C2317" t="s">
        <v>71</v>
      </c>
      <c r="D2317">
        <v>58</v>
      </c>
      <c r="E2317" t="s">
        <v>4368</v>
      </c>
      <c r="F2317" t="s">
        <v>5322</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4" customHeight="1">
      <c r="A2318" t="s">
        <v>70</v>
      </c>
      <c r="B2318">
        <v>52</v>
      </c>
      <c r="C2318" t="s">
        <v>71</v>
      </c>
      <c r="D2318">
        <v>59</v>
      </c>
      <c r="E2318" t="s">
        <v>4368</v>
      </c>
      <c r="F2318" t="s">
        <v>5323</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4" customHeight="1">
      <c r="A2319" t="s">
        <v>70</v>
      </c>
      <c r="B2319">
        <v>53</v>
      </c>
      <c r="C2319" t="s">
        <v>71</v>
      </c>
      <c r="D2319">
        <v>60</v>
      </c>
      <c r="E2319" t="s">
        <v>4368</v>
      </c>
      <c r="F2319" t="s">
        <v>5324</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4" customHeight="1">
      <c r="A2320" t="s">
        <v>70</v>
      </c>
      <c r="B2320">
        <v>54</v>
      </c>
      <c r="C2320" t="s">
        <v>71</v>
      </c>
      <c r="D2320">
        <v>61</v>
      </c>
      <c r="E2320" t="s">
        <v>4368</v>
      </c>
      <c r="F2320" t="s">
        <v>5324</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4" customHeight="1">
      <c r="A2321" t="s">
        <v>70</v>
      </c>
      <c r="B2321">
        <v>55</v>
      </c>
      <c r="C2321" t="s">
        <v>71</v>
      </c>
      <c r="D2321">
        <v>62</v>
      </c>
      <c r="E2321" t="s">
        <v>4368</v>
      </c>
      <c r="F2321" t="s">
        <v>5324</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4" customHeight="1">
      <c r="A2322" t="s">
        <v>70</v>
      </c>
      <c r="B2322">
        <v>56</v>
      </c>
      <c r="C2322" t="s">
        <v>71</v>
      </c>
      <c r="D2322">
        <v>63</v>
      </c>
      <c r="E2322" t="s">
        <v>4368</v>
      </c>
      <c r="F2322" t="s">
        <v>5325</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4" customHeight="1">
      <c r="A2323" t="s">
        <v>70</v>
      </c>
      <c r="B2323">
        <v>57</v>
      </c>
      <c r="C2323" t="s">
        <v>71</v>
      </c>
      <c r="D2323">
        <v>64</v>
      </c>
      <c r="E2323" t="s">
        <v>1019</v>
      </c>
      <c r="F2323" t="s">
        <v>5322</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4" customHeight="1">
      <c r="A2324" t="s">
        <v>70</v>
      </c>
      <c r="B2324">
        <v>58</v>
      </c>
      <c r="C2324" t="s">
        <v>71</v>
      </c>
      <c r="D2324">
        <v>65</v>
      </c>
      <c r="E2324" t="s">
        <v>1019</v>
      </c>
      <c r="F2324" t="s">
        <v>5323</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4" customHeight="1">
      <c r="A2325" t="s">
        <v>70</v>
      </c>
      <c r="B2325">
        <v>59</v>
      </c>
      <c r="C2325" t="s">
        <v>71</v>
      </c>
      <c r="D2325">
        <v>66</v>
      </c>
      <c r="E2325" t="s">
        <v>1019</v>
      </c>
      <c r="F2325" t="s">
        <v>5324</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4" customHeight="1">
      <c r="A2326" t="s">
        <v>70</v>
      </c>
      <c r="B2326">
        <v>60</v>
      </c>
      <c r="C2326" t="s">
        <v>71</v>
      </c>
      <c r="D2326">
        <v>67</v>
      </c>
      <c r="E2326" t="s">
        <v>1019</v>
      </c>
      <c r="F2326" t="s">
        <v>5324</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4" customHeight="1">
      <c r="A2327" t="s">
        <v>70</v>
      </c>
      <c r="B2327">
        <v>61</v>
      </c>
      <c r="C2327" t="s">
        <v>71</v>
      </c>
      <c r="D2327">
        <v>68</v>
      </c>
      <c r="E2327" t="s">
        <v>1019</v>
      </c>
      <c r="F2327" t="s">
        <v>5324</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4" customHeight="1">
      <c r="A2328" t="s">
        <v>70</v>
      </c>
      <c r="B2328">
        <v>62</v>
      </c>
      <c r="C2328" t="s">
        <v>71</v>
      </c>
      <c r="D2328">
        <v>69</v>
      </c>
      <c r="E2328" t="s">
        <v>1019</v>
      </c>
      <c r="F2328" t="s">
        <v>5324</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4" customHeight="1">
      <c r="A2329" t="s">
        <v>70</v>
      </c>
      <c r="B2329">
        <v>63</v>
      </c>
      <c r="C2329" t="s">
        <v>71</v>
      </c>
      <c r="D2329">
        <v>70</v>
      </c>
      <c r="E2329" t="s">
        <v>1019</v>
      </c>
      <c r="F2329" t="s">
        <v>5324</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4" customHeight="1">
      <c r="A2330" t="s">
        <v>70</v>
      </c>
      <c r="B2330">
        <v>64</v>
      </c>
      <c r="C2330" t="s">
        <v>71</v>
      </c>
      <c r="D2330">
        <v>71</v>
      </c>
      <c r="E2330" t="s">
        <v>1019</v>
      </c>
      <c r="F2330" t="s">
        <v>5324</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4" customHeight="1">
      <c r="A2331" t="s">
        <v>70</v>
      </c>
      <c r="B2331">
        <v>65</v>
      </c>
      <c r="C2331" t="s">
        <v>71</v>
      </c>
      <c r="D2331">
        <v>72</v>
      </c>
      <c r="E2331" t="s">
        <v>1019</v>
      </c>
      <c r="F2331" t="s">
        <v>5324</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4" customHeight="1">
      <c r="A2332" t="s">
        <v>70</v>
      </c>
      <c r="B2332">
        <v>66</v>
      </c>
      <c r="C2332" t="s">
        <v>71</v>
      </c>
      <c r="D2332">
        <v>73</v>
      </c>
      <c r="E2332" t="s">
        <v>1019</v>
      </c>
      <c r="F2332" t="s">
        <v>5324</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4" customHeight="1">
      <c r="A2333" t="s">
        <v>70</v>
      </c>
      <c r="B2333">
        <v>67</v>
      </c>
      <c r="C2333" t="s">
        <v>71</v>
      </c>
      <c r="D2333">
        <v>74</v>
      </c>
      <c r="E2333" t="s">
        <v>1019</v>
      </c>
      <c r="F2333" t="s">
        <v>5325</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4" customHeight="1">
      <c r="A2334" t="s">
        <v>70</v>
      </c>
      <c r="B2334">
        <v>68</v>
      </c>
      <c r="C2334" t="s">
        <v>71</v>
      </c>
      <c r="D2334">
        <v>75</v>
      </c>
      <c r="E2334" t="s">
        <v>1051</v>
      </c>
      <c r="F2334" t="s">
        <v>5322</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4" customHeight="1">
      <c r="A2335" t="s">
        <v>70</v>
      </c>
      <c r="B2335">
        <v>69</v>
      </c>
      <c r="C2335" t="s">
        <v>71</v>
      </c>
      <c r="D2335">
        <v>76</v>
      </c>
      <c r="E2335" t="s">
        <v>1051</v>
      </c>
      <c r="F2335" t="s">
        <v>5323</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4" customHeight="1">
      <c r="A2336" t="s">
        <v>70</v>
      </c>
      <c r="B2336">
        <v>70</v>
      </c>
      <c r="C2336" t="s">
        <v>71</v>
      </c>
      <c r="D2336">
        <v>77</v>
      </c>
      <c r="E2336" t="s">
        <v>1051</v>
      </c>
      <c r="F2336" t="s">
        <v>5324</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4" customHeight="1">
      <c r="A2337" t="s">
        <v>70</v>
      </c>
      <c r="B2337">
        <v>71</v>
      </c>
      <c r="C2337" t="s">
        <v>71</v>
      </c>
      <c r="D2337">
        <v>78</v>
      </c>
      <c r="E2337" t="s">
        <v>1051</v>
      </c>
      <c r="F2337" t="s">
        <v>5324</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4" customHeight="1">
      <c r="A2338" t="s">
        <v>70</v>
      </c>
      <c r="B2338">
        <v>72</v>
      </c>
      <c r="C2338" t="s">
        <v>71</v>
      </c>
      <c r="D2338">
        <v>79</v>
      </c>
      <c r="E2338" t="s">
        <v>1051</v>
      </c>
      <c r="F2338" t="s">
        <v>5324</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4" customHeight="1">
      <c r="A2339" t="s">
        <v>70</v>
      </c>
      <c r="B2339">
        <v>73</v>
      </c>
      <c r="C2339" t="s">
        <v>71</v>
      </c>
      <c r="D2339">
        <v>80</v>
      </c>
      <c r="E2339" t="s">
        <v>1051</v>
      </c>
      <c r="F2339" t="s">
        <v>5324</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4" customHeight="1">
      <c r="A2340" t="s">
        <v>70</v>
      </c>
      <c r="B2340">
        <v>74</v>
      </c>
      <c r="C2340" t="s">
        <v>71</v>
      </c>
      <c r="D2340">
        <v>81</v>
      </c>
      <c r="E2340" t="s">
        <v>1051</v>
      </c>
      <c r="F2340" t="s">
        <v>5324</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4" customHeight="1">
      <c r="A2341" t="s">
        <v>70</v>
      </c>
      <c r="B2341">
        <v>75</v>
      </c>
      <c r="C2341" t="s">
        <v>71</v>
      </c>
      <c r="D2341">
        <v>82</v>
      </c>
      <c r="E2341" t="s">
        <v>1051</v>
      </c>
      <c r="F2341" t="s">
        <v>5324</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4" customHeight="1">
      <c r="A2342" t="s">
        <v>70</v>
      </c>
      <c r="B2342">
        <v>76</v>
      </c>
      <c r="C2342" t="s">
        <v>71</v>
      </c>
      <c r="D2342">
        <v>83</v>
      </c>
      <c r="E2342" t="s">
        <v>1051</v>
      </c>
      <c r="F2342" t="s">
        <v>5324</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4" customHeight="1">
      <c r="A2343" t="s">
        <v>70</v>
      </c>
      <c r="B2343">
        <v>77</v>
      </c>
      <c r="C2343" t="s">
        <v>71</v>
      </c>
      <c r="D2343">
        <v>84</v>
      </c>
      <c r="E2343" t="s">
        <v>1051</v>
      </c>
      <c r="F2343" t="s">
        <v>5324</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4" customHeight="1">
      <c r="A2344" t="s">
        <v>70</v>
      </c>
      <c r="B2344">
        <v>78</v>
      </c>
      <c r="C2344" t="s">
        <v>71</v>
      </c>
      <c r="D2344">
        <v>85</v>
      </c>
      <c r="E2344" t="s">
        <v>1051</v>
      </c>
      <c r="F2344" t="s">
        <v>5325</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4" customHeight="1">
      <c r="A2345" t="s">
        <v>70</v>
      </c>
      <c r="B2345">
        <v>79</v>
      </c>
      <c r="C2345" t="s">
        <v>71</v>
      </c>
      <c r="D2345">
        <v>86</v>
      </c>
      <c r="E2345" t="s">
        <v>1052</v>
      </c>
      <c r="F2345" t="s">
        <v>5322</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4" customHeight="1">
      <c r="A2346" t="s">
        <v>70</v>
      </c>
      <c r="B2346">
        <v>80</v>
      </c>
      <c r="C2346" t="s">
        <v>71</v>
      </c>
      <c r="D2346">
        <v>87</v>
      </c>
      <c r="E2346" t="s">
        <v>1052</v>
      </c>
      <c r="F2346" t="s">
        <v>5323</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4" customHeight="1">
      <c r="A2347" t="s">
        <v>70</v>
      </c>
      <c r="B2347">
        <v>81</v>
      </c>
      <c r="C2347" t="s">
        <v>71</v>
      </c>
      <c r="D2347">
        <v>88</v>
      </c>
      <c r="E2347" t="s">
        <v>1052</v>
      </c>
      <c r="F2347" t="s">
        <v>5324</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4" customHeight="1">
      <c r="A2348" t="s">
        <v>70</v>
      </c>
      <c r="B2348">
        <v>82</v>
      </c>
      <c r="C2348" t="s">
        <v>71</v>
      </c>
      <c r="D2348">
        <v>89</v>
      </c>
      <c r="E2348" t="s">
        <v>1052</v>
      </c>
      <c r="F2348" t="s">
        <v>5324</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4" customHeight="1">
      <c r="A2349" t="s">
        <v>70</v>
      </c>
      <c r="B2349">
        <v>83</v>
      </c>
      <c r="C2349" t="s">
        <v>71</v>
      </c>
      <c r="D2349">
        <v>90</v>
      </c>
      <c r="E2349" t="s">
        <v>1052</v>
      </c>
      <c r="F2349" t="s">
        <v>5324</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4" customHeight="1">
      <c r="A2350" t="s">
        <v>70</v>
      </c>
      <c r="B2350">
        <v>84</v>
      </c>
      <c r="C2350" t="s">
        <v>71</v>
      </c>
      <c r="D2350">
        <v>91</v>
      </c>
      <c r="E2350" t="s">
        <v>1052</v>
      </c>
      <c r="F2350" t="s">
        <v>5324</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4" customHeight="1">
      <c r="A2351" t="s">
        <v>70</v>
      </c>
      <c r="B2351">
        <v>85</v>
      </c>
      <c r="C2351" t="s">
        <v>71</v>
      </c>
      <c r="D2351">
        <v>92</v>
      </c>
      <c r="E2351" t="s">
        <v>1052</v>
      </c>
      <c r="F2351" t="s">
        <v>5324</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4" customHeight="1">
      <c r="A2352" t="s">
        <v>70</v>
      </c>
      <c r="B2352">
        <v>86</v>
      </c>
      <c r="C2352" t="s">
        <v>71</v>
      </c>
      <c r="D2352">
        <v>93</v>
      </c>
      <c r="E2352" t="s">
        <v>1052</v>
      </c>
      <c r="F2352" t="s">
        <v>5324</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4" customHeight="1">
      <c r="A2353" t="s">
        <v>70</v>
      </c>
      <c r="B2353">
        <v>87</v>
      </c>
      <c r="C2353" t="s">
        <v>71</v>
      </c>
      <c r="D2353">
        <v>94</v>
      </c>
      <c r="E2353" t="s">
        <v>1052</v>
      </c>
      <c r="F2353" t="s">
        <v>5324</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4" customHeight="1">
      <c r="A2354" t="s">
        <v>70</v>
      </c>
      <c r="B2354">
        <v>88</v>
      </c>
      <c r="C2354" t="s">
        <v>71</v>
      </c>
      <c r="D2354">
        <v>95</v>
      </c>
      <c r="E2354" t="s">
        <v>1052</v>
      </c>
      <c r="F2354" t="s">
        <v>5324</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4" customHeight="1">
      <c r="A2355" t="s">
        <v>70</v>
      </c>
      <c r="B2355">
        <v>89</v>
      </c>
      <c r="C2355" t="s">
        <v>71</v>
      </c>
      <c r="D2355">
        <v>96</v>
      </c>
      <c r="E2355" t="s">
        <v>1052</v>
      </c>
      <c r="F2355" t="s">
        <v>5325</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defaultColWidth="8.7109375" defaultRowHeight="12.75"/>
  <cols>
    <col min="1" max="1" width="18" customWidth="1"/>
    <col min="2" max="2" width="24" customWidth="1"/>
    <col min="3" max="3" width="36" customWidth="1"/>
    <col min="4" max="4" width="60" customWidth="1"/>
  </cols>
  <sheetData>
    <row r="1" spans="1:4" ht="27.75" customHeight="1">
      <c r="A1" s="937" t="s">
        <v>5425</v>
      </c>
      <c r="B1" s="938"/>
      <c r="C1" s="938"/>
      <c r="D1" s="939"/>
    </row>
    <row r="2" spans="1:4" ht="18" customHeight="1">
      <c r="A2" s="940" t="s">
        <v>5426</v>
      </c>
      <c r="B2" s="938"/>
      <c r="C2" s="938"/>
      <c r="D2" s="939"/>
    </row>
    <row r="3" spans="1:4" ht="18" customHeight="1">
      <c r="A3" s="158" t="s">
        <v>5427</v>
      </c>
      <c r="B3" s="158" t="s">
        <v>5428</v>
      </c>
      <c r="C3" s="158" t="s">
        <v>5429</v>
      </c>
      <c r="D3" s="158" t="s">
        <v>5430</v>
      </c>
    </row>
    <row r="4" spans="1:4" ht="18" customHeight="1">
      <c r="A4" s="158" t="s">
        <v>5431</v>
      </c>
      <c r="B4" s="158" t="s">
        <v>5412</v>
      </c>
      <c r="C4" s="158" t="s">
        <v>5432</v>
      </c>
      <c r="D4" s="158" t="s">
        <v>5433</v>
      </c>
    </row>
    <row r="5" spans="1:4" ht="18" customHeight="1">
      <c r="A5" s="158" t="s">
        <v>5434</v>
      </c>
      <c r="B5" s="158" t="s">
        <v>5435</v>
      </c>
      <c r="C5" s="158" t="s">
        <v>5436</v>
      </c>
      <c r="D5" s="158" t="s">
        <v>5437</v>
      </c>
    </row>
    <row r="6" spans="1:4" ht="18" customHeight="1">
      <c r="A6" s="158" t="s">
        <v>5438</v>
      </c>
      <c r="B6" s="158" t="s">
        <v>5439</v>
      </c>
      <c r="C6" s="158" t="s">
        <v>5440</v>
      </c>
      <c r="D6" s="158" t="s">
        <v>5441</v>
      </c>
    </row>
    <row r="7" spans="1:4" ht="18" customHeight="1">
      <c r="A7" s="158" t="s">
        <v>5442</v>
      </c>
      <c r="B7" s="158" t="s">
        <v>5443</v>
      </c>
      <c r="C7" s="158" t="s">
        <v>5444</v>
      </c>
      <c r="D7" s="158" t="s">
        <v>5445</v>
      </c>
    </row>
    <row r="12" spans="1:4" ht="18" customHeight="1">
      <c r="A12" s="586"/>
      <c r="B12" s="620"/>
      <c r="C12" s="620"/>
      <c r="D12" s="620"/>
    </row>
  </sheetData>
  <mergeCells count="3">
    <mergeCell ref="A1:D1"/>
    <mergeCell ref="A12:D12"/>
    <mergeCell ref="A2:D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election activeCell="G5" sqref="G5"/>
    </sheetView>
  </sheetViews>
  <sheetFormatPr defaultColWidth="8.7109375" defaultRowHeight="12.75"/>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5446</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5447</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5448</v>
      </c>
      <c r="B3" s="162" t="s">
        <v>142</v>
      </c>
      <c r="C3" s="162" t="s">
        <v>5449</v>
      </c>
      <c r="D3" s="162" t="s">
        <v>5450</v>
      </c>
      <c r="E3" s="162" t="s">
        <v>5451</v>
      </c>
      <c r="F3" s="162" t="s">
        <v>5452</v>
      </c>
      <c r="G3" s="162" t="s">
        <v>5453</v>
      </c>
      <c r="H3" s="162" t="s">
        <v>869</v>
      </c>
      <c r="I3" s="162" t="s">
        <v>174</v>
      </c>
      <c r="J3" s="162" t="s">
        <v>77</v>
      </c>
      <c r="K3" s="162" t="s">
        <v>175</v>
      </c>
      <c r="L3" s="162" t="s">
        <v>176</v>
      </c>
      <c r="M3" s="162" t="s">
        <v>177</v>
      </c>
      <c r="N3" s="162" t="s">
        <v>178</v>
      </c>
      <c r="O3" s="162" t="s">
        <v>179</v>
      </c>
      <c r="P3" s="162" t="s">
        <v>874</v>
      </c>
      <c r="Q3" s="162" t="s">
        <v>875</v>
      </c>
      <c r="R3" s="162" t="s">
        <v>871</v>
      </c>
      <c r="S3" s="162" t="s">
        <v>872</v>
      </c>
      <c r="T3" s="162" t="s">
        <v>873</v>
      </c>
      <c r="U3" s="162" t="s">
        <v>5454</v>
      </c>
      <c r="V3" s="160"/>
    </row>
    <row r="4" spans="1:22" ht="370.5" customHeight="1">
      <c r="A4" s="163">
        <f t="shared" ref="A4:A33" si="0">IF(B4="","",1+COUNTIF($D$4:$D$33,"&gt;"&amp;D4))</f>
        <v>1</v>
      </c>
      <c r="B4" s="163" t="str">
        <f>PMIS_Data!A3&amp;""</f>
        <v>01</v>
      </c>
      <c r="C4" s="163" t="str">
        <f>PMIS_Data!B3</f>
        <v>B01_Assessment</v>
      </c>
      <c r="D4" s="163">
        <f t="shared" ref="D4:D33" si="1">IF(B4="",0,U4+(100-ROW())/10000)</f>
        <v>75.009600000000006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0.5</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75</v>
      </c>
      <c r="V4" s="160"/>
    </row>
    <row r="5" spans="1:22" ht="370.5" customHeight="1">
      <c r="A5" s="163">
        <f t="shared" si="0"/>
        <v>2</v>
      </c>
      <c r="B5" s="163" t="str">
        <f>PMIS_Data!A4&amp;""</f>
        <v>02</v>
      </c>
      <c r="C5" s="163" t="str">
        <f>PMIS_Data!B4</f>
        <v>B02_Assessment</v>
      </c>
      <c r="D5" s="163">
        <f t="shared" si="1"/>
        <v>75.009500000000003</v>
      </c>
      <c r="E5" s="163" t="str">
        <f t="shared" si="2"/>
        <v>Medium</v>
      </c>
      <c r="F5" s="163" t="str">
        <f t="shared" si="3"/>
        <v>READY BUILDING</v>
      </c>
      <c r="G5" s="163" t="str">
        <f t="shared" si="4"/>
        <v>No major exception detected.</v>
      </c>
      <c r="H5" s="163" t="str">
        <f t="shared" si="5"/>
        <v>Maintain monitoring.</v>
      </c>
      <c r="I5" s="163">
        <f>IFERROR(PMIS_Data!E4,0)</f>
        <v>0.5</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75</v>
      </c>
      <c r="V5" s="160"/>
    </row>
    <row r="6" spans="1:22" ht="370.5" customHeight="1">
      <c r="A6" s="163">
        <f t="shared" si="0"/>
        <v>3</v>
      </c>
      <c r="B6" s="163" t="str">
        <f>PMIS_Data!A5&amp;""</f>
        <v>03</v>
      </c>
      <c r="C6" s="163" t="str">
        <f>PMIS_Data!B5</f>
        <v>B03_Assessment</v>
      </c>
      <c r="D6" s="163">
        <f t="shared" si="1"/>
        <v>75.009399999999999</v>
      </c>
      <c r="E6" s="163" t="str">
        <f t="shared" si="2"/>
        <v>Medium</v>
      </c>
      <c r="F6" s="163" t="str">
        <f t="shared" si="3"/>
        <v>READY BUILDING</v>
      </c>
      <c r="G6" s="163" t="str">
        <f t="shared" si="4"/>
        <v>No major exception detected.</v>
      </c>
      <c r="H6" s="163" t="str">
        <f t="shared" si="5"/>
        <v>Maintain monitoring.</v>
      </c>
      <c r="I6" s="163">
        <f>IFERROR(PMIS_Data!E5,0)</f>
        <v>0.5</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75</v>
      </c>
      <c r="V6" s="160"/>
    </row>
    <row r="7" spans="1:22" ht="370.5" customHeight="1">
      <c r="A7" s="163">
        <f t="shared" si="0"/>
        <v>4</v>
      </c>
      <c r="B7" s="163" t="str">
        <f>PMIS_Data!A6&amp;""</f>
        <v>04</v>
      </c>
      <c r="C7" s="163" t="str">
        <f>PMIS_Data!B6</f>
        <v>B04_Assessment</v>
      </c>
      <c r="D7" s="163">
        <f t="shared" si="1"/>
        <v>75.009299999999996</v>
      </c>
      <c r="E7" s="163" t="str">
        <f t="shared" si="2"/>
        <v>Medium</v>
      </c>
      <c r="F7" s="163" t="str">
        <f t="shared" si="3"/>
        <v>READY BUILDING</v>
      </c>
      <c r="G7" s="163" t="str">
        <f t="shared" si="4"/>
        <v>No major exception detected.</v>
      </c>
      <c r="H7" s="163" t="str">
        <f t="shared" si="5"/>
        <v>Maintain monitoring.</v>
      </c>
      <c r="I7" s="163">
        <f>IFERROR(PMIS_Data!E6,0)</f>
        <v>0.5</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75</v>
      </c>
      <c r="V7" s="160"/>
    </row>
    <row r="8" spans="1:22" ht="370.5" customHeight="1">
      <c r="A8" s="163">
        <f t="shared" si="0"/>
        <v>5</v>
      </c>
      <c r="B8" s="163" t="str">
        <f>PMIS_Data!A7&amp;""</f>
        <v>05</v>
      </c>
      <c r="C8" s="163" t="str">
        <f>PMIS_Data!B7</f>
        <v>B05_Assessment</v>
      </c>
      <c r="D8" s="163">
        <f t="shared" si="1"/>
        <v>75.009200000000007</v>
      </c>
      <c r="E8" s="163" t="str">
        <f t="shared" si="2"/>
        <v>Medium</v>
      </c>
      <c r="F8" s="163" t="str">
        <f t="shared" si="3"/>
        <v>READY BUILDING</v>
      </c>
      <c r="G8" s="163" t="str">
        <f t="shared" si="4"/>
        <v>No major exception detected.</v>
      </c>
      <c r="H8" s="163" t="str">
        <f t="shared" si="5"/>
        <v>Maintain monitoring.</v>
      </c>
      <c r="I8" s="163">
        <f>IFERROR(PMIS_Data!E7,0)</f>
        <v>0.5</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75</v>
      </c>
      <c r="V8" s="160"/>
    </row>
    <row r="9" spans="1:22" ht="370.5" customHeight="1">
      <c r="A9" s="163">
        <f t="shared" si="0"/>
        <v>6</v>
      </c>
      <c r="B9" s="163" t="str">
        <f>PMIS_Data!A8&amp;""</f>
        <v>06</v>
      </c>
      <c r="C9" s="163" t="str">
        <f>PMIS_Data!B8</f>
        <v>B06_Assessment</v>
      </c>
      <c r="D9" s="163">
        <f t="shared" si="1"/>
        <v>75.009100000000004</v>
      </c>
      <c r="E9" s="163" t="str">
        <f t="shared" si="2"/>
        <v>Medium</v>
      </c>
      <c r="F9" s="163" t="str">
        <f t="shared" si="3"/>
        <v>READY BUILDING</v>
      </c>
      <c r="G9" s="163" t="str">
        <f t="shared" si="4"/>
        <v>No major exception detected.</v>
      </c>
      <c r="H9" s="163" t="str">
        <f t="shared" si="5"/>
        <v>Maintain monitoring.</v>
      </c>
      <c r="I9" s="163">
        <f>IFERROR(PMIS_Data!E8,0)</f>
        <v>0.5</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75</v>
      </c>
      <c r="V9" s="160"/>
    </row>
    <row r="10" spans="1:22" ht="370.5" customHeight="1">
      <c r="A10" s="163">
        <f t="shared" si="0"/>
        <v>7</v>
      </c>
      <c r="B10" s="163" t="str">
        <f>PMIS_Data!A9&amp;""</f>
        <v>07</v>
      </c>
      <c r="C10" s="163" t="str">
        <f>PMIS_Data!B9</f>
        <v>B07_Assessment</v>
      </c>
      <c r="D10" s="163">
        <f t="shared" si="1"/>
        <v>75.009</v>
      </c>
      <c r="E10" s="163" t="str">
        <f t="shared" si="2"/>
        <v>Medium</v>
      </c>
      <c r="F10" s="163" t="str">
        <f t="shared" si="3"/>
        <v>READY BUILDING</v>
      </c>
      <c r="G10" s="163" t="str">
        <f t="shared" si="4"/>
        <v>No major exception detected.</v>
      </c>
      <c r="H10" s="163" t="str">
        <f t="shared" si="5"/>
        <v>Maintain monitoring.</v>
      </c>
      <c r="I10" s="163">
        <f>IFERROR(PMIS_Data!E9,0)</f>
        <v>0.5</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75</v>
      </c>
      <c r="V10" s="160"/>
    </row>
    <row r="11" spans="1:22" ht="370.5" customHeight="1">
      <c r="A11" s="163">
        <f t="shared" si="0"/>
        <v>8</v>
      </c>
      <c r="B11" s="163" t="str">
        <f>PMIS_Data!A10&amp;""</f>
        <v>08</v>
      </c>
      <c r="C11" s="163" t="str">
        <f>PMIS_Data!B10</f>
        <v>B08_Assessment</v>
      </c>
      <c r="D11" s="163">
        <f t="shared" si="1"/>
        <v>75.008899999999997</v>
      </c>
      <c r="E11" s="163" t="str">
        <f t="shared" si="2"/>
        <v>Medium</v>
      </c>
      <c r="F11" s="163" t="str">
        <f t="shared" si="3"/>
        <v>READY BUILDING</v>
      </c>
      <c r="G11" s="163" t="str">
        <f t="shared" si="4"/>
        <v>No major exception detected.</v>
      </c>
      <c r="H11" s="163" t="str">
        <f t="shared" si="5"/>
        <v>Maintain monitoring.</v>
      </c>
      <c r="I11" s="163">
        <f>IFERROR(PMIS_Data!E10,0)</f>
        <v>0.5</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75</v>
      </c>
      <c r="V11" s="160"/>
    </row>
    <row r="12" spans="1:22" ht="370.5" customHeight="1">
      <c r="A12" s="163">
        <f t="shared" si="0"/>
        <v>9</v>
      </c>
      <c r="B12" s="163" t="str">
        <f>PMIS_Data!A11&amp;""</f>
        <v>09</v>
      </c>
      <c r="C12" s="163" t="str">
        <f>PMIS_Data!B11</f>
        <v>B09_Assessment</v>
      </c>
      <c r="D12" s="163">
        <f t="shared" si="1"/>
        <v>75.008799999999994</v>
      </c>
      <c r="E12" s="163" t="str">
        <f t="shared" si="2"/>
        <v>Medium</v>
      </c>
      <c r="F12" s="163" t="str">
        <f t="shared" si="3"/>
        <v>READY BUILDING</v>
      </c>
      <c r="G12" s="163" t="str">
        <f t="shared" si="4"/>
        <v>No major exception detected.</v>
      </c>
      <c r="H12" s="163" t="str">
        <f t="shared" si="5"/>
        <v>Maintain monitoring.</v>
      </c>
      <c r="I12" s="163">
        <f>IFERROR(PMIS_Data!E11,0)</f>
        <v>0.5</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75</v>
      </c>
      <c r="V12" s="160"/>
    </row>
    <row r="13" spans="1:22" ht="370.5" customHeight="1">
      <c r="A13" s="163">
        <f t="shared" si="0"/>
        <v>10</v>
      </c>
      <c r="B13" s="163" t="str">
        <f>PMIS_Data!A12&amp;""</f>
        <v>10</v>
      </c>
      <c r="C13" s="163" t="str">
        <f>PMIS_Data!B12</f>
        <v>B10_Assessment</v>
      </c>
      <c r="D13" s="163">
        <f t="shared" si="1"/>
        <v>75.008700000000005</v>
      </c>
      <c r="E13" s="163" t="str">
        <f t="shared" si="2"/>
        <v>Medium</v>
      </c>
      <c r="F13" s="163" t="str">
        <f t="shared" si="3"/>
        <v>READY BUILDING</v>
      </c>
      <c r="G13" s="163" t="str">
        <f t="shared" si="4"/>
        <v>No major exception detected.</v>
      </c>
      <c r="H13" s="163" t="str">
        <f t="shared" si="5"/>
        <v>Maintain monitoring.</v>
      </c>
      <c r="I13" s="163">
        <f>IFERROR(PMIS_Data!E12,0)</f>
        <v>0.5</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75</v>
      </c>
      <c r="V13" s="160"/>
    </row>
    <row r="14" spans="1:22" ht="370.5" customHeight="1">
      <c r="A14" s="163">
        <f t="shared" si="0"/>
        <v>11</v>
      </c>
      <c r="B14" s="163" t="str">
        <f>PMIS_Data!A13&amp;""</f>
        <v>12</v>
      </c>
      <c r="C14" s="163" t="str">
        <f>PMIS_Data!B13</f>
        <v>B12_Assessment</v>
      </c>
      <c r="D14" s="163">
        <f t="shared" si="1"/>
        <v>75.008600000000001</v>
      </c>
      <c r="E14" s="163" t="str">
        <f t="shared" si="2"/>
        <v>Medium</v>
      </c>
      <c r="F14" s="163" t="str">
        <f t="shared" si="3"/>
        <v>READY BUILDING</v>
      </c>
      <c r="G14" s="163" t="str">
        <f t="shared" si="4"/>
        <v>No major exception detected.</v>
      </c>
      <c r="H14" s="163" t="str">
        <f t="shared" si="5"/>
        <v>Maintain monitoring.</v>
      </c>
      <c r="I14" s="163">
        <f>IFERROR(PMIS_Data!E13,0)</f>
        <v>0.5</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75</v>
      </c>
      <c r="V14" s="160"/>
    </row>
    <row r="15" spans="1:22" ht="381.75" customHeight="1">
      <c r="A15" s="163">
        <f t="shared" si="0"/>
        <v>12</v>
      </c>
      <c r="B15" s="163" t="str">
        <f>PMIS_Data!A14&amp;""</f>
        <v>13</v>
      </c>
      <c r="C15" s="163" t="str">
        <f>PMIS_Data!B14</f>
        <v>B13_Assessment</v>
      </c>
      <c r="D15" s="163">
        <f t="shared" si="1"/>
        <v>75.008499999999998</v>
      </c>
      <c r="E15" s="163" t="str">
        <f t="shared" si="2"/>
        <v>Medium</v>
      </c>
      <c r="F15" s="163" t="str">
        <f t="shared" si="3"/>
        <v>READY BUILDING</v>
      </c>
      <c r="G15" s="163" t="str">
        <f t="shared" si="4"/>
        <v>No major exception detected.</v>
      </c>
      <c r="H15" s="163" t="str">
        <f t="shared" si="5"/>
        <v>Maintain monitoring.</v>
      </c>
      <c r="I15" s="163">
        <f>IFERROR(PMIS_Data!E14,0)</f>
        <v>0.5</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75</v>
      </c>
      <c r="V15" s="160"/>
    </row>
    <row r="16" spans="1:22" ht="370.5" customHeight="1">
      <c r="A16" s="163">
        <f t="shared" si="0"/>
        <v>13</v>
      </c>
      <c r="B16" s="163" t="str">
        <f>PMIS_Data!A15&amp;""</f>
        <v>14</v>
      </c>
      <c r="C16" s="163" t="str">
        <f>PMIS_Data!B15</f>
        <v>B14_Assessment</v>
      </c>
      <c r="D16" s="163">
        <f t="shared" si="1"/>
        <v>75.008399999999995</v>
      </c>
      <c r="E16" s="163" t="str">
        <f t="shared" si="2"/>
        <v>Medium</v>
      </c>
      <c r="F16" s="163" t="str">
        <f t="shared" si="3"/>
        <v>READY BUILDING</v>
      </c>
      <c r="G16" s="163" t="str">
        <f t="shared" si="4"/>
        <v>No major exception detected.</v>
      </c>
      <c r="H16" s="163" t="str">
        <f t="shared" si="5"/>
        <v>Maintain monitoring.</v>
      </c>
      <c r="I16" s="163">
        <f>IFERROR(PMIS_Data!E15,0)</f>
        <v>0.5</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75</v>
      </c>
      <c r="V16" s="160"/>
    </row>
    <row r="17" spans="1:22" ht="370.5" customHeight="1">
      <c r="A17" s="163">
        <f t="shared" si="0"/>
        <v>14</v>
      </c>
      <c r="B17" s="163" t="str">
        <f>PMIS_Data!A16&amp;""</f>
        <v>15</v>
      </c>
      <c r="C17" s="163" t="str">
        <f>PMIS_Data!B16</f>
        <v>B15_Assessment</v>
      </c>
      <c r="D17" s="163">
        <f t="shared" si="1"/>
        <v>75.008300000000006</v>
      </c>
      <c r="E17" s="163" t="str">
        <f t="shared" si="2"/>
        <v>Medium</v>
      </c>
      <c r="F17" s="163" t="str">
        <f t="shared" si="3"/>
        <v>READY BUILDING</v>
      </c>
      <c r="G17" s="163" t="str">
        <f t="shared" si="4"/>
        <v>No major exception detected.</v>
      </c>
      <c r="H17" s="163" t="str">
        <f t="shared" si="5"/>
        <v>Maintain monitoring.</v>
      </c>
      <c r="I17" s="163">
        <f>IFERROR(PMIS_Data!E16,0)</f>
        <v>0.5</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75</v>
      </c>
      <c r="V17" s="160"/>
    </row>
    <row r="18" spans="1:22" ht="370.5" customHeight="1">
      <c r="A18" s="163">
        <f t="shared" si="0"/>
        <v>15</v>
      </c>
      <c r="B18" s="163" t="str">
        <f>PMIS_Data!A17&amp;""</f>
        <v>16</v>
      </c>
      <c r="C18" s="163" t="str">
        <f>PMIS_Data!B17</f>
        <v>B16_Assessment</v>
      </c>
      <c r="D18" s="163">
        <f t="shared" si="1"/>
        <v>75.008200000000002</v>
      </c>
      <c r="E18" s="163" t="str">
        <f t="shared" si="2"/>
        <v>Medium</v>
      </c>
      <c r="F18" s="163" t="str">
        <f t="shared" si="3"/>
        <v>READY BUILDING</v>
      </c>
      <c r="G18" s="163" t="str">
        <f t="shared" si="4"/>
        <v>No major exception detected.</v>
      </c>
      <c r="H18" s="163" t="str">
        <f t="shared" si="5"/>
        <v>Maintain monitoring.</v>
      </c>
      <c r="I18" s="163">
        <f>IFERROR(PMIS_Data!E17,0)</f>
        <v>0.5</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75</v>
      </c>
      <c r="V18" s="160"/>
    </row>
    <row r="19" spans="1:22" ht="370.5" customHeight="1">
      <c r="A19" s="163">
        <f t="shared" si="0"/>
        <v>16</v>
      </c>
      <c r="B19" s="163" t="str">
        <f>PMIS_Data!A18&amp;""</f>
        <v>17</v>
      </c>
      <c r="C19" s="163" t="str">
        <f>PMIS_Data!B18</f>
        <v>B17_Assessment</v>
      </c>
      <c r="D19" s="163">
        <f t="shared" si="1"/>
        <v>75.008099999999999</v>
      </c>
      <c r="E19" s="163" t="str">
        <f t="shared" si="2"/>
        <v>Medium</v>
      </c>
      <c r="F19" s="163" t="str">
        <f t="shared" si="3"/>
        <v>READY BUILDING</v>
      </c>
      <c r="G19" s="163" t="str">
        <f t="shared" si="4"/>
        <v>No major exception detected.</v>
      </c>
      <c r="H19" s="163" t="str">
        <f t="shared" si="5"/>
        <v>Maintain monitoring.</v>
      </c>
      <c r="I19" s="163">
        <f>IFERROR(PMIS_Data!E18,0)</f>
        <v>0.5</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75</v>
      </c>
      <c r="V19" s="160"/>
    </row>
    <row r="20" spans="1:22" ht="370.5" customHeight="1">
      <c r="A20" s="163">
        <f t="shared" si="0"/>
        <v>17</v>
      </c>
      <c r="B20" s="163" t="str">
        <f>PMIS_Data!A19&amp;""</f>
        <v>18</v>
      </c>
      <c r="C20" s="163" t="str">
        <f>PMIS_Data!B19</f>
        <v>B18_Assessment</v>
      </c>
      <c r="D20" s="163">
        <f t="shared" si="1"/>
        <v>75.007999999999996</v>
      </c>
      <c r="E20" s="163" t="str">
        <f t="shared" si="2"/>
        <v>Medium</v>
      </c>
      <c r="F20" s="163" t="str">
        <f t="shared" si="3"/>
        <v>READY BUILDING</v>
      </c>
      <c r="G20" s="163" t="str">
        <f t="shared" si="4"/>
        <v>No major exception detected.</v>
      </c>
      <c r="H20" s="163" t="str">
        <f t="shared" si="5"/>
        <v>Maintain monitoring.</v>
      </c>
      <c r="I20" s="163">
        <f>IFERROR(PMIS_Data!E19,0)</f>
        <v>0.5</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75</v>
      </c>
      <c r="V20" s="160"/>
    </row>
    <row r="21" spans="1:22" ht="370.5" customHeight="1">
      <c r="A21" s="163">
        <f t="shared" si="0"/>
        <v>18</v>
      </c>
      <c r="B21" s="163" t="str">
        <f>PMIS_Data!A20&amp;""</f>
        <v>20</v>
      </c>
      <c r="C21" s="163" t="str">
        <f>PMIS_Data!B20</f>
        <v>B20_Assessment</v>
      </c>
      <c r="D21" s="163">
        <f t="shared" si="1"/>
        <v>75.007900000000006</v>
      </c>
      <c r="E21" s="163" t="str">
        <f t="shared" si="2"/>
        <v>Medium</v>
      </c>
      <c r="F21" s="163" t="str">
        <f t="shared" si="3"/>
        <v>READY BUILDING</v>
      </c>
      <c r="G21" s="163" t="str">
        <f t="shared" si="4"/>
        <v>No major exception detected.</v>
      </c>
      <c r="H21" s="163" t="str">
        <f t="shared" si="5"/>
        <v>Maintain monitoring.</v>
      </c>
      <c r="I21" s="163">
        <f>IFERROR(PMIS_Data!E20,0)</f>
        <v>0.5</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75</v>
      </c>
      <c r="V21" s="160"/>
    </row>
    <row r="22" spans="1:22" ht="370.5" customHeight="1">
      <c r="A22" s="163">
        <f t="shared" si="0"/>
        <v>19</v>
      </c>
      <c r="B22" s="163" t="str">
        <f>PMIS_Data!A21&amp;""</f>
        <v>21</v>
      </c>
      <c r="C22" s="163" t="str">
        <f>PMIS_Data!B21</f>
        <v>B21_Assessment</v>
      </c>
      <c r="D22" s="163">
        <f t="shared" si="1"/>
        <v>75.007800000000003</v>
      </c>
      <c r="E22" s="163" t="str">
        <f t="shared" si="2"/>
        <v>Medium</v>
      </c>
      <c r="F22" s="163" t="str">
        <f t="shared" si="3"/>
        <v>READY BUILDING</v>
      </c>
      <c r="G22" s="163" t="str">
        <f t="shared" si="4"/>
        <v>No major exception detected.</v>
      </c>
      <c r="H22" s="163" t="str">
        <f t="shared" si="5"/>
        <v>Maintain monitoring.</v>
      </c>
      <c r="I22" s="163">
        <f>IFERROR(PMIS_Data!E21,0)</f>
        <v>0.5</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75</v>
      </c>
      <c r="V22" s="160"/>
    </row>
    <row r="23" spans="1:22" ht="370.5" customHeight="1">
      <c r="A23" s="163">
        <f t="shared" si="0"/>
        <v>20</v>
      </c>
      <c r="B23" s="163" t="str">
        <f>PMIS_Data!A22&amp;""</f>
        <v>22</v>
      </c>
      <c r="C23" s="163" t="str">
        <f>PMIS_Data!B22</f>
        <v>B22_Assessment</v>
      </c>
      <c r="D23" s="163">
        <f t="shared" si="1"/>
        <v>75.0077</v>
      </c>
      <c r="E23" s="163" t="str">
        <f t="shared" si="2"/>
        <v>Medium</v>
      </c>
      <c r="F23" s="163" t="str">
        <f t="shared" si="3"/>
        <v>READY BUILDING</v>
      </c>
      <c r="G23" s="163" t="str">
        <f t="shared" si="4"/>
        <v>No major exception detected.</v>
      </c>
      <c r="H23" s="163" t="str">
        <f t="shared" si="5"/>
        <v>Maintain monitoring.</v>
      </c>
      <c r="I23" s="163">
        <f>IFERROR(PMIS_Data!E22,0)</f>
        <v>0.5</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75</v>
      </c>
      <c r="V23" s="160"/>
    </row>
    <row r="24" spans="1:22" ht="370.5" customHeight="1">
      <c r="A24" s="163">
        <f t="shared" si="0"/>
        <v>21</v>
      </c>
      <c r="B24" s="163" t="str">
        <f>PMIS_Data!A23&amp;""</f>
        <v>33</v>
      </c>
      <c r="C24" s="163" t="str">
        <f>PMIS_Data!B23</f>
        <v>B33_Assessment</v>
      </c>
      <c r="D24" s="163">
        <f t="shared" si="1"/>
        <v>75.007599999999996</v>
      </c>
      <c r="E24" s="163" t="str">
        <f t="shared" si="2"/>
        <v>Medium</v>
      </c>
      <c r="F24" s="163" t="str">
        <f t="shared" si="3"/>
        <v>READY BUILDING</v>
      </c>
      <c r="G24" s="163" t="str">
        <f t="shared" si="4"/>
        <v>No major exception detected.</v>
      </c>
      <c r="H24" s="163" t="str">
        <f t="shared" si="5"/>
        <v>Maintain monitoring.</v>
      </c>
      <c r="I24" s="163">
        <f>IFERROR(PMIS_Data!E23,0)</f>
        <v>0.5</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75</v>
      </c>
      <c r="V24" s="160"/>
    </row>
    <row r="25" spans="1:22" ht="370.5" customHeight="1">
      <c r="A25" s="163">
        <f t="shared" si="0"/>
        <v>30</v>
      </c>
      <c r="B25" s="163" t="str">
        <f>PMIS_Data!A24&amp;""</f>
        <v>61</v>
      </c>
      <c r="C25" s="163" t="str">
        <f>PMIS_Data!B24</f>
        <v>B61_Assessment</v>
      </c>
      <c r="D25" s="163">
        <f t="shared" si="1"/>
        <v>30.0075</v>
      </c>
      <c r="E25" s="163" t="str">
        <f t="shared" si="2"/>
        <v>Low</v>
      </c>
      <c r="F25" s="163" t="str">
        <f t="shared" si="3"/>
        <v>MONITOR</v>
      </c>
      <c r="G25" s="163" t="str">
        <f t="shared" si="4"/>
        <v>No major exception detected.</v>
      </c>
      <c r="H25" s="163" t="str">
        <f t="shared" si="5"/>
        <v>Maintain monitoring.</v>
      </c>
      <c r="I25" s="163">
        <f>IFERROR(PMIS_Data!E24,0)</f>
        <v>0</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30</v>
      </c>
      <c r="V25" s="160"/>
    </row>
    <row r="26" spans="1:22" ht="370.5" customHeight="1">
      <c r="A26" s="163">
        <f t="shared" si="0"/>
        <v>22</v>
      </c>
      <c r="B26" s="163" t="str">
        <f>PMIS_Data!A25&amp;""</f>
        <v>62</v>
      </c>
      <c r="C26" s="163" t="str">
        <f>PMIS_Data!B25</f>
        <v>B62_TR_Assessment</v>
      </c>
      <c r="D26" s="163">
        <f t="shared" si="1"/>
        <v>75.007400000000004</v>
      </c>
      <c r="E26" s="163" t="str">
        <f t="shared" si="2"/>
        <v>Medium</v>
      </c>
      <c r="F26" s="163" t="str">
        <f t="shared" si="3"/>
        <v>READY BUILDING</v>
      </c>
      <c r="G26" s="163" t="str">
        <f t="shared" si="4"/>
        <v>No major exception detected.</v>
      </c>
      <c r="H26" s="163" t="str">
        <f t="shared" si="5"/>
        <v>Maintain monitoring.</v>
      </c>
      <c r="I26" s="163">
        <f>IFERROR(PMIS_Data!E25,0)</f>
        <v>0.5</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75</v>
      </c>
      <c r="V26" s="160"/>
    </row>
    <row r="27" spans="1:22" ht="370.5" customHeight="1">
      <c r="A27" s="163">
        <f t="shared" si="0"/>
        <v>23</v>
      </c>
      <c r="B27" s="163" t="str">
        <f>PMIS_Data!A26&amp;""</f>
        <v>70</v>
      </c>
      <c r="C27" s="163" t="str">
        <f>PMIS_Data!B26</f>
        <v>B70_TR_Assessment</v>
      </c>
      <c r="D27" s="163">
        <f t="shared" si="1"/>
        <v>75.007300000000001</v>
      </c>
      <c r="E27" s="163" t="str">
        <f t="shared" si="2"/>
        <v>Medium</v>
      </c>
      <c r="F27" s="163" t="str">
        <f t="shared" si="3"/>
        <v>READY BUILDING</v>
      </c>
      <c r="G27" s="163" t="str">
        <f t="shared" si="4"/>
        <v>No major exception detected.</v>
      </c>
      <c r="H27" s="163" t="str">
        <f t="shared" si="5"/>
        <v>Maintain monitoring.</v>
      </c>
      <c r="I27" s="163">
        <f>IFERROR(PMIS_Data!E26,0)</f>
        <v>0.5</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75</v>
      </c>
      <c r="V27" s="160"/>
    </row>
    <row r="28" spans="1:22" ht="336.75" customHeight="1">
      <c r="A28" s="163">
        <f t="shared" si="0"/>
        <v>24</v>
      </c>
      <c r="B28" s="163" t="str">
        <f>PMIS_Data!A27&amp;""</f>
        <v>78</v>
      </c>
      <c r="C28" s="163" t="str">
        <f>PMIS_Data!B27</f>
        <v>B78_Assessment</v>
      </c>
      <c r="D28" s="163">
        <f t="shared" si="1"/>
        <v>75.007199999999997</v>
      </c>
      <c r="E28" s="163" t="str">
        <f t="shared" si="2"/>
        <v>Medium</v>
      </c>
      <c r="F28" s="163" t="str">
        <f t="shared" si="3"/>
        <v>READY BUILDING</v>
      </c>
      <c r="G28" s="163" t="str">
        <f t="shared" si="4"/>
        <v>No major exception detected.</v>
      </c>
      <c r="H28" s="163" t="str">
        <f t="shared" si="5"/>
        <v>Maintain monitoring.</v>
      </c>
      <c r="I28" s="163">
        <f>IFERROR(PMIS_Data!E27,0)</f>
        <v>0.5</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75</v>
      </c>
      <c r="V28" s="160"/>
    </row>
    <row r="29" spans="1:22" ht="370.5" customHeight="1">
      <c r="A29" s="163">
        <f t="shared" si="0"/>
        <v>25</v>
      </c>
      <c r="B29" s="163" t="str">
        <f>PMIS_Data!A28&amp;""</f>
        <v>80</v>
      </c>
      <c r="C29" s="163" t="str">
        <f>PMIS_Data!B28</f>
        <v>B80_Assessment</v>
      </c>
      <c r="D29" s="163">
        <f t="shared" si="1"/>
        <v>75.007099999999994</v>
      </c>
      <c r="E29" s="163" t="str">
        <f t="shared" si="2"/>
        <v>Medium</v>
      </c>
      <c r="F29" s="163" t="str">
        <f t="shared" si="3"/>
        <v>READY BUILDING</v>
      </c>
      <c r="G29" s="163" t="str">
        <f t="shared" si="4"/>
        <v>No major exception detected.</v>
      </c>
      <c r="H29" s="163" t="str">
        <f t="shared" si="5"/>
        <v>Maintain monitoring.</v>
      </c>
      <c r="I29" s="163">
        <f>IFERROR(PMIS_Data!E28,0)</f>
        <v>0.5</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75</v>
      </c>
      <c r="V29" s="160"/>
    </row>
    <row r="30" spans="1:22" ht="370.5" customHeight="1">
      <c r="A30" s="163">
        <f t="shared" si="0"/>
        <v>26</v>
      </c>
      <c r="B30" s="163" t="str">
        <f>PMIS_Data!A29&amp;""</f>
        <v>82</v>
      </c>
      <c r="C30" s="163" t="str">
        <f>PMIS_Data!B29</f>
        <v>B82_Assessment</v>
      </c>
      <c r="D30" s="163">
        <f t="shared" si="1"/>
        <v>75.007000000000005</v>
      </c>
      <c r="E30" s="163" t="str">
        <f t="shared" si="2"/>
        <v>Medium</v>
      </c>
      <c r="F30" s="163" t="str">
        <f t="shared" si="3"/>
        <v>READY BUILDING</v>
      </c>
      <c r="G30" s="163" t="str">
        <f t="shared" si="4"/>
        <v>No major exception detected.</v>
      </c>
      <c r="H30" s="163" t="str">
        <f t="shared" si="5"/>
        <v>Maintain monitoring.</v>
      </c>
      <c r="I30" s="163">
        <f>IFERROR(PMIS_Data!E29,0)</f>
        <v>0.5</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75</v>
      </c>
      <c r="V30" s="160"/>
    </row>
    <row r="31" spans="1:22" ht="336.75" customHeight="1">
      <c r="A31" s="163">
        <f t="shared" si="0"/>
        <v>27</v>
      </c>
      <c r="B31" s="163" t="str">
        <f>PMIS_Data!A30&amp;""</f>
        <v>BCH</v>
      </c>
      <c r="C31" s="163" t="str">
        <f>PMIS_Data!B30</f>
        <v>BCH_Assessment</v>
      </c>
      <c r="D31" s="163">
        <f t="shared" si="1"/>
        <v>75.006900000000002</v>
      </c>
      <c r="E31" s="163" t="str">
        <f t="shared" si="2"/>
        <v>Medium</v>
      </c>
      <c r="F31" s="163" t="str">
        <f t="shared" si="3"/>
        <v>READY BUILDING</v>
      </c>
      <c r="G31" s="163" t="str">
        <f t="shared" si="4"/>
        <v>No major exception detected.</v>
      </c>
      <c r="H31" s="163" t="str">
        <f t="shared" si="5"/>
        <v>Maintain monitoring.</v>
      </c>
      <c r="I31" s="163">
        <f>IFERROR(PMIS_Data!E30,0)</f>
        <v>0.5</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75</v>
      </c>
      <c r="V31" s="160"/>
    </row>
    <row r="32" spans="1:22" ht="303.75" customHeight="1">
      <c r="A32" s="163">
        <f t="shared" si="0"/>
        <v>28</v>
      </c>
      <c r="B32" s="163" t="str">
        <f>PMIS_Data!A31&amp;""</f>
        <v>MCR</v>
      </c>
      <c r="C32" s="163" t="str">
        <f>PMIS_Data!B31</f>
        <v>MCR_Assessment</v>
      </c>
      <c r="D32" s="163">
        <f t="shared" si="1"/>
        <v>75.006799999999998</v>
      </c>
      <c r="E32" s="163" t="str">
        <f t="shared" si="2"/>
        <v>Medium</v>
      </c>
      <c r="F32" s="163" t="str">
        <f t="shared" si="3"/>
        <v>READY BUILDING</v>
      </c>
      <c r="G32" s="163" t="str">
        <f t="shared" si="4"/>
        <v>No major exception detected.</v>
      </c>
      <c r="H32" s="163" t="str">
        <f t="shared" si="5"/>
        <v>Maintain monitoring.</v>
      </c>
      <c r="I32" s="163">
        <f>IFERROR(PMIS_Data!E31,0)</f>
        <v>0.5</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75</v>
      </c>
      <c r="V32" s="160"/>
    </row>
    <row r="33" spans="1:22" ht="303.75" customHeight="1">
      <c r="A33" s="163">
        <f t="shared" si="0"/>
        <v>29</v>
      </c>
      <c r="B33" s="163" t="str">
        <f>PMIS_Data!A32&amp;""</f>
        <v>SITE</v>
      </c>
      <c r="C33" s="163" t="str">
        <f>PMIS_Data!B32</f>
        <v>SITE_Assesment</v>
      </c>
      <c r="D33" s="163">
        <f t="shared" si="1"/>
        <v>75.006699999999995</v>
      </c>
      <c r="E33" s="163" t="str">
        <f t="shared" si="2"/>
        <v>Medium</v>
      </c>
      <c r="F33" s="163" t="str">
        <f t="shared" si="3"/>
        <v>READY BUILDING</v>
      </c>
      <c r="G33" s="163" t="str">
        <f t="shared" si="4"/>
        <v>No major exception detected.</v>
      </c>
      <c r="H33" s="163" t="str">
        <f t="shared" si="5"/>
        <v>Maintain monitoring.</v>
      </c>
      <c r="I33" s="163">
        <f>IFERROR(PMIS_Data!E32,0)</f>
        <v>0.5</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75</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election activeCell="F2" sqref="F2"/>
    </sheetView>
  </sheetViews>
  <sheetFormatPr defaultColWidth="8.7109375" defaultRowHeight="12.75"/>
  <cols>
    <col min="1" max="1" width="12" style="192" customWidth="1"/>
    <col min="2" max="8" width="38" style="192" customWidth="1"/>
    <col min="9" max="16384" width="8.7109375" style="192"/>
  </cols>
  <sheetData>
    <row r="1" spans="1:8" ht="7.15" customHeight="1">
      <c r="A1" s="547" t="s">
        <v>5300</v>
      </c>
      <c r="B1" s="547" t="s">
        <v>5455</v>
      </c>
      <c r="C1" s="547" t="s">
        <v>3348</v>
      </c>
      <c r="D1" s="547" t="s">
        <v>3349</v>
      </c>
      <c r="E1" s="547" t="s">
        <v>5456</v>
      </c>
      <c r="F1" s="547" t="s">
        <v>5457</v>
      </c>
      <c r="G1" s="547" t="s">
        <v>4526</v>
      </c>
      <c r="H1" s="547" t="s">
        <v>199</v>
      </c>
    </row>
    <row r="2" spans="1:8" ht="121.7" customHeight="1">
      <c r="A2" s="249" t="str">
        <f>PMIS_Trade_Notes!A2</f>
        <v>01</v>
      </c>
      <c r="B2" s="249" t="str">
        <f>PMIS_Trade_Notes!D2</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2" s="249" t="str">
        <f>PMIS_Trade_Notes!E2</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2" s="249" t="str">
        <f>PMIS_Trade_Notes!F2</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2" s="249" t="str">
        <f>PMIS_Trade_Notes!G2</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2" s="249" t="str">
        <f>PMIS_Trade_Notes!H2</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2" s="249" t="str">
        <f>PMIS_Trade_Notes!I2</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2" s="249" t="str">
        <f>PMIS_Trade_Notes!J2</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row>
    <row r="3" spans="1:8" ht="135.19999999999999" customHeight="1">
      <c r="A3" s="249" t="str">
        <f>PMIS_Trade_Notes!A3</f>
        <v>02</v>
      </c>
      <c r="B3" s="249" t="str">
        <f>PMIS_Trade_Notes!D3</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3" s="249" t="str">
        <f>PMIS_Trade_Notes!E3</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3" s="249" t="str">
        <f>PMIS_Trade_Notes!F3</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3" s="249" t="str">
        <f>PMIS_Trade_Notes!G3</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3" s="249" t="str">
        <f>PMIS_Trade_Notes!H3</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3" s="249" t="str">
        <f>PMIS_Trade_Notes!I3</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3" s="249" t="str">
        <f>PMIS_Trade_Notes!J3</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row>
    <row r="4" spans="1:8" ht="135.19999999999999" customHeight="1">
      <c r="A4" s="249" t="str">
        <f>PMIS_Trade_Notes!A4</f>
        <v>03</v>
      </c>
      <c r="B4" s="249" t="str">
        <f>PMIS_Trade_Notes!D4</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4" s="249" t="str">
        <f>PMIS_Trade_Notes!E4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4" s="249" t="str">
        <f>PMIS_Trade_Notes!F4</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4" s="249" t="str">
        <f>PMIS_Trade_Notes!G4</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4" s="249" t="str">
        <f>PMIS_Trade_Notes!H4</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4" s="249" t="str">
        <f>PMIS_Trade_Notes!I4</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4" s="249" t="str">
        <f>PMIS_Trade_Notes!J4</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row>
    <row r="5" spans="1:8" ht="114.95" customHeight="1">
      <c r="A5" s="249" t="str">
        <f>PMIS_Trade_Notes!A5</f>
        <v>04</v>
      </c>
      <c r="B5" s="249" t="str">
        <f>PMIS_Trade_Notes!D5</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 s="249" t="str">
        <f>PMIS_Trade_Notes!E5</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 s="249" t="str">
        <f>PMIS_Trade_Notes!F5</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 s="249" t="str">
        <f>PMIS_Trade_Notes!G5</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 s="249" t="str">
        <f>PMIS_Trade_Notes!H5</f>
        <v>• Verify access-controlled TR door, camera, and VMS/PACS integration.
• Architectural notes require door/access control coordination; verify card reader/electric strike rough-in.
• Verify room security details and device integration with VA systems.</v>
      </c>
      <c r="G5" s="249" t="str">
        <f>PMIS_Trade_Notes!I5</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 s="249" t="str">
        <f>PMIS_Trade_Notes!J5</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row>
    <row r="6" spans="1:8" ht="108.2" customHeight="1">
      <c r="A6" s="249" t="str">
        <f>PMIS_Trade_Notes!A6</f>
        <v>05</v>
      </c>
      <c r="B6" s="249" t="str">
        <f>PMIS_Trade_Notes!D6</f>
        <v>• Cover sheet note states mechanical and fire protection scope excluded; still verify firestopping and existing fire alarm/life safety impacts.
• Existing conditions only; verify protection-in-place and no unsealed penetrations after cabling.</v>
      </c>
      <c r="C6" s="249" t="str">
        <f>PMIS_Trade_Notes!E6</f>
        <v>• Mechanical scope is excluded for Building 05; verify TE heat load is acceptable in existing space and does not require added cooling.
• Existing wall/wall-mount TE area; verify existing environmental conditions during field survey.</v>
      </c>
      <c r="D6" s="249" t="str">
        <f>PMIS_Trade_Notes!F6</f>
        <v>• 05T-604 shows APC UPS, two PDU L-530 input / NEMA 5-20 output units, 1200V outlet UPS, and 1200V outlet PDU; verify actual electrical schedule/panel/circuit source.
• Existing elevation shows floor UPS and legacy wall-mounted TE equipment; protect active equipment until cutover.</v>
      </c>
      <c r="E6" s="249" t="str">
        <f>PMIS_Trade_Notes!G6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6" s="249" t="str">
        <f>PMIS_Trade_Notes!H6</f>
        <v>• Project general scope includes CCTV and PACS for telecom spaces; verify whether TE location receives camera/access control or is served by existing room controls.
• Verify existing security protection and whether access-control work is needed for existing TE area.</v>
      </c>
      <c r="G6" s="249" t="str">
        <f>PMIS_Trade_Notes!I6</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6" s="249" t="str">
        <f>PMIS_Trade_Notes!J6</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row>
    <row r="7" spans="1:8" ht="101.45" customHeight="1">
      <c r="A7" s="249" t="str">
        <f>PMIS_Trade_Notes!A7</f>
        <v>06</v>
      </c>
      <c r="B7" s="249" t="str">
        <f>PMIS_Trade_Notes!D7</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7" s="249" t="str">
        <f>PMIS_Trade_Notes!E7</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7" s="249" t="str">
        <f>PMIS_Trade_Notes!F7</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7" s="249" t="str">
        <f>PMIS_Trade_Notes!G7</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7" s="249" t="str">
        <f>PMIS_Trade_Notes!H7</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7" s="249" t="str">
        <f>PMIS_Trade_Notes!I7</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7" s="249" t="str">
        <f>PMIS_Trade_Notes!J7</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row>
    <row r="8" spans="1:8" ht="101.45" customHeight="1">
      <c r="A8" s="249" t="str">
        <f>PMIS_Trade_Notes!A8</f>
        <v>07</v>
      </c>
      <c r="B8" s="249" t="str">
        <f>PMIS_Trade_Notes!D8</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8" s="249" t="str">
        <f>PMIS_Trade_Notes!E8</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8" s="249" t="str">
        <f>PMIS_Trade_Notes!F8</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8" s="249" t="str">
        <f>PMIS_Trade_Notes!G8</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8" s="249" t="str">
        <f>PMIS_Trade_Notes!H8</f>
        <v>• Verify access control, door hardware and CCTV/PACS integration for basement TR.
• Architectural notes require access control hardware modifications at new rated door; verify card reader, electric strike, door position switch, motion sensor and camera.</v>
      </c>
      <c r="G8" s="249" t="str">
        <f>PMIS_Trade_Notes!I8</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8" s="249" t="str">
        <f>PMIS_Trade_Notes!J8</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row>
    <row r="9" spans="1:8" ht="121.7" customHeight="1">
      <c r="A9" s="249" t="str">
        <f>PMIS_Trade_Notes!A9</f>
        <v>08</v>
      </c>
      <c r="B9" s="249" t="str">
        <f>PMIS_Trade_Notes!D9</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9" s="249" t="str">
        <f>PMIS_Trade_Notes!E9</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9" s="249" t="str">
        <f>PMIS_Trade_Notes!F9</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9" s="249" t="str">
        <f>PMIS_Trade_Notes!G9</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9" s="249" t="str">
        <f>PMIS_Trade_Notes!H9</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9" s="249" t="str">
        <f>PMIS_Trade_Notes!I9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9" s="249" t="str">
        <f>PMIS_Trade_Notes!J9</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row>
    <row r="10" spans="1:8" ht="128.44999999999999" customHeight="1">
      <c r="A10" s="249" t="str">
        <f>PMIS_Trade_Notes!A10</f>
        <v>09</v>
      </c>
      <c r="B10" s="249" t="str">
        <f>PMIS_Trade_Notes!D10</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10" s="249" t="str">
        <f>PMIS_Trade_Notes!E10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10" s="249" t="str">
        <f>PMIS_Trade_Notes!F10</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10" s="249" t="str">
        <f>PMIS_Trade_Notes!G10</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10" s="249" t="str">
        <f>PMIS_Trade_Notes!H10</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10" s="249" t="str">
        <f>PMIS_Trade_Notes!I10</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10" s="249" t="str">
        <f>PMIS_Trade_Notes!J10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row>
    <row r="11" spans="1:8" ht="121.7" customHeight="1">
      <c r="A11" s="249" t="str">
        <f>PMIS_Trade_Notes!A11</f>
        <v>10</v>
      </c>
      <c r="B11" s="249" t="str">
        <f>PMIS_Trade_Notes!D11</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11" s="249" t="str">
        <f>PMIS_Trade_Notes!E11</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11" s="249" t="str">
        <f>PMIS_Trade_Notes!F11</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11" s="249" t="str">
        <f>PMIS_Trade_Notes!G11</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11" s="249" t="str">
        <f>PMIS_Trade_Notes!H11</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11" s="249" t="str">
        <f>PMIS_Trade_Notes!I11</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11" s="249" t="str">
        <f>PMIS_Trade_Notes!J11</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row>
    <row r="12" spans="1:8" ht="128.44999999999999" customHeight="1">
      <c r="A12" s="249" t="str">
        <f>PMIS_Trade_Notes!A12</f>
        <v>12</v>
      </c>
      <c r="B12" s="249" t="str">
        <f>PMIS_Trade_Notes!D12</f>
        <v>• No fire protection drawing package beyond general notes; verify penetrations/firestopping for fiber pull-through route.
• No new TR/FEC shown; verify no rated assemblies are compromised by fiber pathway work.</v>
      </c>
      <c r="C12" s="249" t="str">
        <f>PMIS_Trade_Notes!E12</f>
        <v>• No HVAC drawing package for Building 12; fiber-only scope does not indicate new cooling equipment.
• Field verify existing environmental conditions only if existing service point/equipment is accessed.</v>
      </c>
      <c r="D12" s="249" t="str">
        <f>PMIS_Trade_Notes!F12</f>
        <v>• No electrical drawing package for Building 12; no new panel/UPS/PDU/rack receptacle scope shown.
• Confirm whether any existing equipment is touched. Scope appears limited to fiber pull-through and testing/labeling.</v>
      </c>
      <c r="E12" s="249" t="str">
        <f>PMIS_Trade_Notes!G12</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12" s="249" t="str">
        <f>PMIS_Trade_Notes!H12</f>
        <v>• No new TR door or PACS/CCTV package shown for Building 12; verify security access only for work areas and existing equipment rooms.
• Confirm access requirements to existing closet/demarc while protecting active operations.</v>
      </c>
      <c r="G12" s="249" t="str">
        <f>PMIS_Trade_Notes!I12</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12" s="249" t="str">
        <f>PMIS_Trade_Notes!J12</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row>
    <row r="13" spans="1:8" ht="101.45" customHeight="1">
      <c r="A13" s="249" t="str">
        <f>PMIS_Trade_Notes!A13</f>
        <v>13</v>
      </c>
      <c r="B13" s="249" t="str">
        <f>PMIS_Trade_Notes!D13</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13" s="249" t="str">
        <f>PMIS_Trade_Notes!E13</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13" s="249" t="str">
        <f>PMIS_Trade_Notes!F13</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13" s="249" t="str">
        <f>PMIS_Trade_Notes!G13</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13" s="249" t="str">
        <f>PMIS_Trade_Notes!H13</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13" s="249" t="str">
        <f>PMIS_Trade_Notes!I13</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13" s="249" t="str">
        <f>PMIS_Trade_Notes!J13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row>
    <row r="14" spans="1:8" ht="114.95" customHeight="1">
      <c r="A14" s="249" t="str">
        <f>PMIS_Trade_Notes!A14</f>
        <v>14</v>
      </c>
      <c r="B14" s="249" t="str">
        <f>PMIS_Trade_Notes!D14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14" s="249" t="str">
        <f>PMIS_Trade_Notes!E14</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14" s="249" t="str">
        <f>PMIS_Trade_Notes!F14</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14" s="249" t="str">
        <f>PMIS_Trade_Notes!G14</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14" s="249" t="str">
        <f>PMIS_Trade_Notes!H14</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14" s="249" t="str">
        <f>PMIS_Trade_Notes!I14</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14" s="249" t="str">
        <f>PMIS_Trade_Notes!J14</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row>
    <row r="15" spans="1:8" ht="128.44999999999999" customHeight="1">
      <c r="A15" s="249" t="str">
        <f>PMIS_Trade_Notes!A15</f>
        <v>15</v>
      </c>
      <c r="B15" s="249" t="str">
        <f>PMIS_Trade_Notes!D15</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15" s="249" t="str">
        <f>PMIS_Trade_Notes!E15</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15" s="249" t="str">
        <f>PMIS_Trade_Notes!F15</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15" s="249" t="str">
        <f>PMIS_Trade_Notes!G15</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15" s="249" t="str">
        <f>PMIS_Trade_Notes!H15</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15" s="249" t="str">
        <f>PMIS_Trade_Notes!I15</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15" s="249" t="str">
        <f>PMIS_Trade_Notes!J15</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row>
    <row r="16" spans="1:8" ht="108.2" customHeight="1">
      <c r="A16" s="249" t="str">
        <f>PMIS_Trade_Notes!A16</f>
        <v>16</v>
      </c>
      <c r="B16" s="249" t="str">
        <f>PMIS_Trade_Notes!D16</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16" s="249" t="str">
        <f>PMIS_Trade_Notes!E16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16" s="249" t="str">
        <f>PMIS_Trade_Notes!F16</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16" s="249" t="str">
        <f>PMIS_Trade_Notes!G16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16" s="249" t="str">
        <f>PMIS_Trade_Notes!H16</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16" s="249" t="str">
        <f>PMIS_Trade_Notes!I16</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16" s="249" t="str">
        <f>PMIS_Trade_Notes!J16</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row>
    <row r="17" spans="1:8" ht="128.44999999999999" customHeight="1">
      <c r="A17" s="249" t="str">
        <f>PMIS_Trade_Notes!A17</f>
        <v>17</v>
      </c>
      <c r="B17" s="249" t="str">
        <f>PMIS_Trade_Notes!D17</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17" s="249" t="str">
        <f>PMIS_Trade_Notes!E17</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17" s="249" t="str">
        <f>PMIS_Trade_Notes!F17</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17" s="249" t="str">
        <f>PMIS_Trade_Notes!G17</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17" s="249" t="str">
        <f>PMIS_Trade_Notes!H17</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17" s="249" t="str">
        <f>PMIS_Trade_Notes!I17</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17" s="249" t="str">
        <f>PMIS_Trade_Notes!J17</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row>
    <row r="18" spans="1:8" ht="135.19999999999999" customHeight="1">
      <c r="A18" s="249" t="str">
        <f>PMIS_Trade_Notes!A18</f>
        <v>18</v>
      </c>
      <c r="B18" s="249" t="str">
        <f>PMIS_Trade_Notes!D18</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18" s="249" t="str">
        <f>PMIS_Trade_Notes!E18</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18" s="249" t="str">
        <f>PMIS_Trade_Notes!F18</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18" s="249" t="str">
        <f>PMIS_Trade_Notes!G18</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18" s="249" t="str">
        <f>PMIS_Trade_Notes!H18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18" s="249" t="str">
        <f>PMIS_Trade_Notes!I18</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18" s="249" t="str">
        <f>PMIS_Trade_Notes!J18</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row>
    <row r="19" spans="1:8" ht="128.44999999999999" customHeight="1">
      <c r="A19" s="249" t="str">
        <f>PMIS_Trade_Notes!A19</f>
        <v>20</v>
      </c>
      <c r="B19" s="249" t="str">
        <f>PMIS_Trade_Notes!D19</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19" s="249" t="str">
        <f>PMIS_Trade_Notes!E19</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19" s="249" t="str">
        <f>PMIS_Trade_Notes!F19</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19" s="249" t="str">
        <f>PMIS_Trade_Notes!G19</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19" s="249" t="str">
        <f>PMIS_Trade_Notes!H19</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19" s="249" t="str">
        <f>PMIS_Trade_Notes!I19</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19" s="249" t="str">
        <f>PMIS_Trade_Notes!J19</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row>
    <row r="20" spans="1:8" ht="128.44999999999999" customHeight="1">
      <c r="A20" s="249" t="str">
        <f>PMIS_Trade_Notes!A20</f>
        <v>21</v>
      </c>
      <c r="B20" s="249" t="str">
        <f>PMIS_Trade_Notes!D20</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20" s="249" t="str">
        <f>PMIS_Trade_Notes!E20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20" s="249" t="str">
        <f>PMIS_Trade_Notes!F20</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20" s="249" t="str">
        <f>PMIS_Trade_Notes!G20</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20" s="249" t="str">
        <f>PMIS_Trade_Notes!H20</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20" s="249" t="str">
        <f>PMIS_Trade_Notes!I20</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20" s="249" t="str">
        <f>PMIS_Trade_Notes!J20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row>
    <row r="21" spans="1:8" ht="121.7" customHeight="1">
      <c r="A21" s="249" t="str">
        <f>PMIS_Trade_Notes!A21</f>
        <v>22</v>
      </c>
      <c r="B21" s="249" t="str">
        <f>PMIS_Trade_Notes!D21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21" s="249" t="str">
        <f>PMIS_Trade_Notes!E21</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21" s="249" t="str">
        <f>PMIS_Trade_Notes!F21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21" s="249" t="str">
        <f>PMIS_Trade_Notes!G21</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21" s="249" t="str">
        <f>PMIS_Trade_Notes!H21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21" s="249" t="str">
        <f>PMIS_Trade_Notes!I21</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21" s="249" t="str">
        <f>PMIS_Trade_Notes!J21</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row>
    <row r="22" spans="1:8" ht="114.95" customHeight="1">
      <c r="A22" s="249" t="str">
        <f>PMIS_Trade_Notes!A22</f>
        <v>33</v>
      </c>
      <c r="B22" s="249" t="str">
        <f>PMIS_Trade_Notes!D22</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22" s="249" t="str">
        <f>PMIS_Trade_Notes!E22</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22" s="249" t="str">
        <f>PMIS_Trade_Notes!F22</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22" s="249" t="str">
        <f>PMIS_Trade_Notes!G22</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22" s="249" t="str">
        <f>PMIS_Trade_Notes!H22</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22" s="249" t="str">
        <f>PMIS_Trade_Notes!I22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22" s="249" t="str">
        <f>PMIS_Trade_Notes!J22</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row>
    <row r="23" spans="1:8" ht="128.44999999999999" customHeight="1">
      <c r="A23" s="249" t="str">
        <f>PMIS_Trade_Notes!A23</f>
        <v>61</v>
      </c>
      <c r="B23" s="249" t="str">
        <f>PMIS_Trade_Notes!D23</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23" s="249" t="str">
        <f>PMIS_Trade_Notes!E23</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23" s="249" t="str">
        <f>PMIS_Trade_Notes!F23</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23" s="249" t="str">
        <f>PMIS_Trade_Notes!G23</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23" s="249" t="str">
        <f>PMIS_Trade_Notes!H23</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23" s="249" t="str">
        <f>PMIS_Trade_Notes!I23</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23" s="249" t="str">
        <f>PMIS_Trade_Notes!J23</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row>
    <row r="24" spans="1:8" ht="101.45" customHeight="1">
      <c r="A24" s="249" t="str">
        <f>PMIS_Trade_Notes!A24</f>
        <v>62</v>
      </c>
      <c r="B24" s="249" t="str">
        <f>PMIS_Trade_Notes!D24</f>
        <v>• No fire / life safety items captured for this building.</v>
      </c>
      <c r="C24" s="249" t="str">
        <f>PMIS_Trade_Notes!E24</f>
        <v>• No hvac / cooling items captured for this building.</v>
      </c>
      <c r="D24" s="249" t="str">
        <f>PMIS_Trade_Notes!F24</f>
        <v>• No electrical / ups items captured for this building.</v>
      </c>
      <c r="E24" s="249" t="str">
        <f>PMIS_Trade_Notes!G24</f>
        <v>• No telecom / fiber items captured for this building.</v>
      </c>
      <c r="F24" s="249" t="str">
        <f>PMIS_Trade_Notes!H24</f>
        <v>• No security / pacs / cctv items captured for this building.</v>
      </c>
      <c r="G24" s="249" t="str">
        <f>PMIS_Trade_Notes!I24</f>
        <v>• B62-R1 — Cooling redundancy / emergency power not verified [Closed]
• B62-R2 — Firestopping condition unknown [Closed]
• B62-R3 — Existing room conditions undocumented [Closed]
• B62-R4 — Condensate leak risk near IT equipment [Closed]</v>
      </c>
      <c r="H24" s="249" t="str">
        <f>PMIS_Trade_Notes!J24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row>
    <row r="25" spans="1:8" ht="128.44999999999999" customHeight="1">
      <c r="A25" s="249" t="str">
        <f>PMIS_Trade_Notes!A25</f>
        <v>70</v>
      </c>
      <c r="B25" s="249" t="str">
        <f>PMIS_Trade_Notes!D25</f>
        <v>• No fire / life safety items captured for this building.</v>
      </c>
      <c r="C25" s="249" t="str">
        <f>PMIS_Trade_Notes!E25</f>
        <v>• No hvac / cooling items captured for this building.</v>
      </c>
      <c r="D25" s="249" t="str">
        <f>PMIS_Trade_Notes!F25</f>
        <v>• No electrical / ups items captured for this building.</v>
      </c>
      <c r="E25" s="249" t="str">
        <f>PMIS_Trade_Notes!G25</f>
        <v>• No telecom / fiber items captured for this building.</v>
      </c>
      <c r="F25" s="249" t="str">
        <f>PMIS_Trade_Notes!H25</f>
        <v>• No security / pacs / cctv items captured for this building.</v>
      </c>
      <c r="G25" s="249" t="str">
        <f>PMIS_Trade_Notes!I25</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25" s="249" t="str">
        <f>PMIS_Trade_Notes!J25</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row>
    <row r="26" spans="1:8" ht="121.7" customHeight="1">
      <c r="A26" s="249" t="str">
        <f>PMIS_Trade_Notes!A26</f>
        <v>78</v>
      </c>
      <c r="B26" s="249" t="str">
        <f>PMIS_Trade_Notes!D26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26" s="249" t="str">
        <f>PMIS_Trade_Notes!E26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26" s="249" t="str">
        <f>PMIS_Trade_Notes!F26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26" s="249" t="str">
        <f>PMIS_Trade_Notes!G26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26" s="249" t="str">
        <f>PMIS_Trade_Notes!H26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26" s="249" t="str">
        <f>PMIS_Trade_Notes!I26</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26" s="249" t="str">
        <f>PMIS_Trade_Notes!J26</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row>
    <row r="27" spans="1:8" ht="108.2" customHeight="1">
      <c r="A27" s="249" t="str">
        <f>PMIS_Trade_Notes!A27</f>
        <v>80</v>
      </c>
      <c r="B27" s="249" t="str">
        <f>PMIS_Trade_Notes!D27</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27" s="249" t="str">
        <f>PMIS_Trade_Notes!E27</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27" s="249" t="str">
        <f>PMIS_Trade_Notes!F27</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27" s="249" t="str">
        <f>PMIS_Trade_Notes!G27</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27" s="249" t="str">
        <f>PMIS_Trade_Notes!H27</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27" s="249" t="str">
        <f>PMIS_Trade_Notes!I27</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27" s="249" t="str">
        <f>PMIS_Trade_Notes!J27</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row>
    <row r="28" spans="1:8" ht="128.44999999999999" customHeight="1">
      <c r="A28" s="249" t="str">
        <f>PMIS_Trade_Notes!A28</f>
        <v>82</v>
      </c>
      <c r="B28" s="249" t="str">
        <f>PMIS_Trade_Notes!D28</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28" s="249" t="str">
        <f>PMIS_Trade_Notes!E28</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28" s="249" t="str">
        <f>PMIS_Trade_Notes!F28</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28" s="249" t="str">
        <f>PMIS_Trade_Notes!G28</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28" s="249" t="str">
        <f>PMIS_Trade_Notes!H28</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28" s="249" t="str">
        <f>PMIS_Trade_Notes!I28</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28" s="249" t="str">
        <f>PMIS_Trade_Notes!J28</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row>
    <row r="29" spans="1:8" ht="121.7" customHeight="1">
      <c r="A29" s="249" t="str">
        <f>PMIS_Trade_Notes!A29</f>
        <v>BCH</v>
      </c>
      <c r="B29" s="249" t="str">
        <f>PMIS_Trade_Notes!D29</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29" s="249" t="str">
        <f>PMIS_Trade_Notes!E29</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29" s="249" t="str">
        <f>PMIS_Trade_Notes!F29</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29" s="249" t="str">
        <f>PMIS_Trade_Notes!G29</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29" s="249" t="str">
        <f>PMIS_Trade_Notes!H29</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29" s="249" t="str">
        <f>PMIS_Trade_Notes!I29</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29" s="249" t="str">
        <f>PMIS_Trade_Notes!J29</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row>
    <row r="30" spans="1:8" ht="135.19999999999999" customHeight="1">
      <c r="A30" s="249" t="str">
        <f>PMIS_Trade_Notes!A30</f>
        <v>MCR</v>
      </c>
      <c r="B30" s="249" t="str">
        <f>PMIS_Trade_Notes!D30</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30" s="249" t="str">
        <f>PMIS_Trade_Notes!E30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30" s="249" t="str">
        <f>PMIS_Trade_Notes!F30</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30" s="249" t="str">
        <f>PMIS_Trade_Notes!G30</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30" s="249" t="str">
        <f>PMIS_Trade_Notes!H30</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30" s="249" t="str">
        <f>PMIS_Trade_Notes!I30</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30" s="249" t="str">
        <f>PMIS_Trade_Notes!J30</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row>
    <row r="31" spans="1:8" ht="128.44999999999999" customHeight="1">
      <c r="A31" s="249" t="str">
        <f>PMIS_Trade_Notes!A31</f>
        <v>SPEC</v>
      </c>
      <c r="B31" s="249" t="str">
        <f>PMIS_Trade_Notes!D31</f>
        <v>• No fire / life safety items captured for this building.</v>
      </c>
      <c r="C31" s="249" t="str">
        <f>PMIS_Trade_Notes!E31</f>
        <v>• No hvac / cooling items captured for this building.</v>
      </c>
      <c r="D31" s="249" t="str">
        <f>PMIS_Trade_Notes!F31</f>
        <v>• No electrical / ups items captured for this building.</v>
      </c>
      <c r="E31" s="249" t="str">
        <f>PMIS_Trade_Notes!G31</f>
        <v>• No telecom / fiber items captured for this building.</v>
      </c>
      <c r="F31" s="249" t="str">
        <f>PMIS_Trade_Notes!H31</f>
        <v>• No security / pacs / cctv items captured for this building.</v>
      </c>
      <c r="G31" s="249" t="str">
        <f>PMIS_Trade_Notes!I31</f>
        <v>• No owner risks items captured for this building.</v>
      </c>
      <c r="H31" s="249" t="str">
        <f>PMIS_Trade_Notes!J31</f>
        <v>• No open questions items captured for this building.</v>
      </c>
    </row>
    <row r="32" spans="1:8" ht="25.5">
      <c r="A32" s="249" t="str">
        <f>PMIS_Trade_Notes!A32</f>
        <v>Campus</v>
      </c>
      <c r="B32" s="249" t="str">
        <f>PMIS_Trade_Notes!D32</f>
        <v>• No fire / life safety items captured for this building.</v>
      </c>
      <c r="C32" s="249" t="str">
        <f>PMIS_Trade_Notes!E32</f>
        <v>• No hvac / cooling items captured for this building.</v>
      </c>
      <c r="D32" s="249" t="str">
        <f>PMIS_Trade_Notes!F32</f>
        <v>• No electrical / ups items captured for this building.</v>
      </c>
      <c r="E32" s="249" t="str">
        <f>PMIS_Trade_Notes!G32</f>
        <v>• No telecom / fiber items captured for this building.</v>
      </c>
      <c r="F32" s="249" t="str">
        <f>PMIS_Trade_Notes!H32</f>
        <v>• No security / pacs / cctv items captured for this building.</v>
      </c>
      <c r="G32" s="249" t="str">
        <f>PMIS_Trade_Notes!I32</f>
        <v>• No owner risks items captured for this building.</v>
      </c>
      <c r="H32" s="249" t="str">
        <f>PMIS_Trade_Notes!J32</f>
        <v>• No open questions items captured for this building.</v>
      </c>
    </row>
    <row r="33" spans="1:8" ht="262.14999999999998" customHeight="1">
      <c r="A33" s="249" t="str">
        <f>PMIS_Trade_Notes!A33</f>
        <v>SITE</v>
      </c>
      <c r="B33" s="249" t="str">
        <f>PMIS_Trade_Notes!D33</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C33" s="249" t="str">
        <f>PMIS_Trade_Notes!E33</f>
        <v>• No hvac / cooling items captured for this building.</v>
      </c>
      <c r="D33" s="249" t="str">
        <f>PMIS_Trade_Notes!F33</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E33" s="249" t="str">
        <f>PMIS_Trade_Notes!G33</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F33" s="249" t="str">
        <f>PMIS_Trade_Notes!H33</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G33" s="249" t="str">
        <f>PMIS_Trade_Notes!I33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H33" s="249" t="str">
        <f>PMIS_Trade_Notes!J33</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election activeCell="D2" sqref="D2"/>
    </sheetView>
  </sheetViews>
  <sheetFormatPr defaultColWidth="9.140625" defaultRowHeight="12.75"/>
  <cols>
    <col min="1" max="1" width="12" style="192" customWidth="1"/>
    <col min="2" max="2" width="14" style="192" customWidth="1"/>
    <col min="3" max="3" width="24" style="192" customWidth="1"/>
    <col min="4" max="10" width="38" style="192" customWidth="1"/>
    <col min="11" max="11" width="42" style="192" customWidth="1"/>
    <col min="12" max="16384" width="9.140625" style="192"/>
  </cols>
  <sheetData>
    <row r="1" spans="1:11">
      <c r="A1" s="549" t="s">
        <v>5300</v>
      </c>
      <c r="B1" s="549" t="s">
        <v>5302</v>
      </c>
      <c r="C1" s="549" t="s">
        <v>5301</v>
      </c>
      <c r="D1" s="549" t="s">
        <v>5455</v>
      </c>
      <c r="E1" s="549" t="s">
        <v>3348</v>
      </c>
      <c r="F1" s="549" t="s">
        <v>3349</v>
      </c>
      <c r="G1" s="549" t="s">
        <v>5456</v>
      </c>
      <c r="H1" s="549" t="s">
        <v>5457</v>
      </c>
      <c r="I1" s="549" t="s">
        <v>4526</v>
      </c>
      <c r="J1" s="549" t="s">
        <v>199</v>
      </c>
      <c r="K1" s="549" t="s">
        <v>870</v>
      </c>
    </row>
    <row r="2" spans="1:11" ht="262.14999999999998" customHeight="1">
      <c r="A2" s="546" t="str">
        <f>_Command_Source!A2</f>
        <v>01</v>
      </c>
      <c r="B2" s="546" t="str">
        <f>_Command_Source!C2</f>
        <v>B01</v>
      </c>
      <c r="C2" s="546" t="str">
        <f>_Command_Source!B2</f>
        <v>B01_Assessment</v>
      </c>
      <c r="D2" s="335" t="str">
        <f>IF(COUNTA(B01_Assessment!$J$24:$J$27)=0,"• No fire / life safety items captured for this building.",IF(B01_Assessment!$J$24&lt;&gt;"","• "&amp;B01_Assessment!$J$24&amp;IF(COUNTA(B01_Assessment!$J$25:$J$27)&gt;0,CHAR(10),""),"")&amp;IF(B01_Assessment!$J$25&lt;&gt;"","• "&amp;B01_Assessment!$J$25&amp;IF(COUNTA(B01_Assessment!$J$26:$J$27)&gt;0,CHAR(10),""),"")&amp;IF(B01_Assessment!$J$26&lt;&gt;"","• "&amp;B01_Assessment!$J$26&amp;IF(COUNTA(B01_Assessment!$J$27:$J$27)&gt;0,CHAR(10),""),"")&amp;IF(B01_Assessment!$J$27&lt;&gt;"","• "&amp;B01_Assessment!$J$27,""))</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2" s="335" t="str">
        <f>IF(COUNTA(B01_Assessment!$J$31:$J$34)=0,"• No hvac / cooling items captured for this building.",IF(B01_Assessment!$J$31&lt;&gt;"","• "&amp;B01_Assessment!$J$31&amp;IF(COUNTA(B01_Assessment!$J$32:$J$34)&gt;0,CHAR(10),""),"")&amp;IF(B01_Assessment!$J$32&lt;&gt;"","• "&amp;B01_Assessment!$J$32&amp;IF(COUNTA(B01_Assessment!$J$33:$J$34)&gt;0,CHAR(10),""),"")&amp;IF(B01_Assessment!$J$33&lt;&gt;"","• "&amp;B01_Assessment!$J$33&amp;IF(COUNTA(B01_Assessment!$J$34:$J$34)&gt;0,CHAR(10),""),"")&amp;IF(B01_Assessment!$J$34&lt;&gt;"","• "&amp;B01_Assessment!$J$34,""))</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2" s="335" t="str">
        <f>IF(COUNTA(B01_Assessment!$J$38:$J$41)=0,"• No electrical / ups items captured for this building.",IF(B01_Assessment!$J$38&lt;&gt;"","• "&amp;B01_Assessment!$J$38&amp;IF(COUNTA(B01_Assessment!$J$39:$J$41)&gt;0,CHAR(10),""),"")&amp;IF(B01_Assessment!$J$39&lt;&gt;"","• "&amp;B01_Assessment!$J$39&amp;IF(COUNTA(B01_Assessment!$J$40:$J$41)&gt;0,CHAR(10),""),"")&amp;IF(B01_Assessment!$J$40&lt;&gt;"","• "&amp;B01_Assessment!$J$40&amp;IF(COUNTA(B01_Assessment!$J$41:$J$41)&gt;0,CHAR(10),""),"")&amp;IF(B01_Assessment!$J$41&lt;&gt;"","• "&amp;B01_Assessment!$J$41,""))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2" s="335" t="str">
        <f>IF(COUNTA(B01_Assessment!$J$45:$J$48)=0,"• No telecom / fiber items captured for this building.",IF(B01_Assessment!$J$45&lt;&gt;"","• "&amp;B01_Assessment!$J$45&amp;IF(COUNTA(B01_Assessment!$J$46:$J$48)&gt;0,CHAR(10),""),"")&amp;IF(B01_Assessment!$J$46&lt;&gt;"","• "&amp;B01_Assessment!$J$46&amp;IF(COUNTA(B01_Assessment!$J$47:$J$48)&gt;0,CHAR(10),""),"")&amp;IF(B01_Assessment!$J$47&lt;&gt;"","• "&amp;B01_Assessment!$J$47&amp;IF(COUNTA(B01_Assessment!$J$48:$J$48)&gt;0,CHAR(10),""),"")&amp;IF(B01_Assessment!$J$48&lt;&gt;"","• "&amp;B01_Assessment!$J$48,""))</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2" s="335" t="str">
        <f>IF(COUNTA(B01_Assessment!$J$52:$J$55)=0,"• No security / pacs / cctv items captured for this building.",IF(B01_Assessment!$J$52&lt;&gt;"","• "&amp;B01_Assessment!$J$52&amp;IF(COUNTA(B01_Assessment!$J$53:$J$55)&gt;0,CHAR(10),""),"")&amp;IF(B01_Assessment!$J$53&lt;&gt;"","• "&amp;B01_Assessment!$J$53&amp;IF(COUNTA(B01_Assessment!$J$54:$J$55)&gt;0,CHAR(10),""),"")&amp;IF(B01_Assessment!$J$54&lt;&gt;"","• "&amp;B01_Assessment!$J$54&amp;IF(COUNTA(B01_Assessment!$J$55:$J$55)&gt;0,CHAR(10),""),"")&amp;IF(B01_Assessment!$J$55&lt;&gt;"","• "&amp;B01_Assessment!$J$55,""))</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I2" s="335" t="str">
        <f>IF(COUNTA(B01_Assessment!$A$59:$A$66)=0,"• No owner risks items captured for this building.",IF(B01_Assessment!$A$59&lt;&gt;"","• "&amp;B01_Assessment!$A$59&amp;" — "&amp;B01_Assessment!$C$59&amp;" ["&amp;B01_Assessment!$I$59&amp;"]"&amp;IF(B01_Assessment!$J$59&lt;&gt;""," — "&amp;B01_Assessment!$J$59,""),"")&amp;IF(B01_Assessment!$A$60&lt;&gt;"",IF(COUNTA(B01_Assessment!$A$59:$A$59)&gt;0,CHAR(10),"")&amp;"• "&amp;B01_Assessment!$A$60&amp;" — "&amp;B01_Assessment!$C$60&amp;" ["&amp;B01_Assessment!$I$60&amp;"]"&amp;IF(B01_Assessment!$J$60&lt;&gt;""," — "&amp;B01_Assessment!$J$60,""),"")&amp;IF(B01_Assessment!$A$61&lt;&gt;"",IF(COUNTA(B01_Assessment!$A$59:$A$60)&gt;0,CHAR(10),"")&amp;"• "&amp;B01_Assessment!$A$61&amp;" — "&amp;B01_Assessment!$C$61&amp;" ["&amp;B01_Assessment!$I$61&amp;"]"&amp;IF(B01_Assessment!$J$61&lt;&gt;""," — "&amp;B01_Assessment!$J$61,""),"")&amp;IF(B01_Assessment!$A$62&lt;&gt;"",IF(COUNTA(B01_Assessment!$A$59:$A$61)&gt;0,CHAR(10),"")&amp;"• "&amp;B01_Assessment!$A$62&amp;" — "&amp;B01_Assessment!$C$62&amp;" ["&amp;B01_Assessment!$I$62&amp;"]"&amp;IF(B01_Assessment!$J$62&lt;&gt;""," — "&amp;B01_Assessment!$J$62,""),"")&amp;IF(B01_Assessment!$A$63&lt;&gt;"",IF(COUNTA(B01_Assessment!$A$59:$A$62)&gt;0,CHAR(10),"")&amp;"• "&amp;B01_Assessment!$A$63&amp;" — "&amp;B01_Assessment!$C$63&amp;" ["&amp;B01_Assessment!$I$63&amp;"]"&amp;IF(B01_Assessment!$J$63&lt;&gt;""," — "&amp;B01_Assessment!$J$63,""),"")&amp;IF(B01_Assessment!$A$64&lt;&gt;"",IF(COUNTA(B01_Assessment!$A$59:$A$63)&gt;0,CHAR(10),"")&amp;"• "&amp;B01_Assessment!$A$64&amp;" — "&amp;B01_Assessment!$C$64&amp;" ["&amp;B01_Assessment!$I$64&amp;"]"&amp;IF(B01_Assessment!$J$64&lt;&gt;""," — "&amp;B01_Assessment!$J$64,""),"")&amp;IF(B01_Assessment!$A$65&lt;&gt;"",IF(COUNTA(B01_Assessment!$A$59:$A$64)&gt;0,CHAR(10),"")&amp;"• "&amp;B01_Assessment!$A$65&amp;" — "&amp;B01_Assessment!$C$65&amp;" ["&amp;B01_Assessment!$I$65&amp;"]"&amp;IF(B01_Assessment!$J$65&lt;&gt;""," — "&amp;B01_Assessment!$J$65,""),"")&amp;IF(B01_Assessment!$A$66&lt;&gt;"",IF(COUNTA(B01_Assessment!$A$59:$A$65)&gt;0,CHAR(10),"")&amp;"• "&amp;B01_Assessment!$A$66&amp;" — "&amp;B01_Assessment!$C$66&amp;" ["&amp;B01_Assessment!$I$66&amp;"]"&amp;IF(B01_Assessment!$J$66&lt;&gt;""," — "&amp;B01_Assessment!$J$66,""),""))</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J2" s="335" t="str">
        <f>IF(COUNTA(B01_Assessment!$A$70:$A$77)=0,"• No open questions items captured for this building.",IF(B01_Assessment!$A$70&lt;&gt;"","• "&amp;B01_Assessment!$A$70&amp;" — "&amp;B01_Assessment!$B$70&amp;" ["&amp;B01_Assessment!$D$70&amp;"]"&amp;IF(B01_Assessment!$G$70&lt;&gt;""," Impact: "&amp;B01_Assessment!$G$70,"")&amp;IF(B01_Assessment!$J$70&lt;&gt;""," — "&amp;B01_Assessment!$J$70,""),"")&amp;IF(B01_Assessment!$A$71&lt;&gt;"",IF(COUNTA(B01_Assessment!$A$70:$A$70)&gt;0,CHAR(10),"")&amp;"• "&amp;B01_Assessment!$A$71&amp;" — "&amp;B01_Assessment!$B$71&amp;" ["&amp;B01_Assessment!$D$71&amp;"]"&amp;IF(B01_Assessment!$G$71&lt;&gt;""," Impact: "&amp;B01_Assessment!$G$71,"")&amp;IF(B01_Assessment!$J$71&lt;&gt;""," — "&amp;B01_Assessment!$J$71,""),"")&amp;IF(B01_Assessment!$A$72&lt;&gt;"",IF(COUNTA(B01_Assessment!$A$70:$A$71)&gt;0,CHAR(10),"")&amp;"• "&amp;B01_Assessment!$A$72&amp;" — "&amp;B01_Assessment!$B$72&amp;" ["&amp;B01_Assessment!$D$72&amp;"]"&amp;IF(B01_Assessment!$G$72&lt;&gt;""," Impact: "&amp;B01_Assessment!$G$72,"")&amp;IF(B01_Assessment!$J$72&lt;&gt;""," — "&amp;B01_Assessment!$J$72,""),"")&amp;IF(B01_Assessment!$A$73&lt;&gt;"",IF(COUNTA(B01_Assessment!$A$70:$A$72)&gt;0,CHAR(10),"")&amp;"• "&amp;B01_Assessment!$A$73&amp;" — "&amp;B01_Assessment!$B$73&amp;" ["&amp;B01_Assessment!$D$73&amp;"]"&amp;IF(B01_Assessment!$G$73&lt;&gt;""," Impact: "&amp;B01_Assessment!$G$73,"")&amp;IF(B01_Assessment!$J$73&lt;&gt;""," — "&amp;B01_Assessment!$J$73,""),"")&amp;IF(B01_Assessment!$A$74&lt;&gt;"",IF(COUNTA(B01_Assessment!$A$70:$A$73)&gt;0,CHAR(10),"")&amp;"• "&amp;B01_Assessment!$A$74&amp;" — "&amp;B01_Assessment!$B$74&amp;" ["&amp;B01_Assessment!$D$74&amp;"]"&amp;IF(B01_Assessment!$G$74&lt;&gt;""," Impact: "&amp;B01_Assessment!$G$74,"")&amp;IF(B01_Assessment!$J$74&lt;&gt;""," — "&amp;B01_Assessment!$J$74,""),"")&amp;IF(B01_Assessment!$A$75&lt;&gt;"",IF(COUNTA(B01_Assessment!$A$70:$A$74)&gt;0,CHAR(10),"")&amp;"• "&amp;B01_Assessment!$A$75&amp;" — "&amp;B01_Assessment!$B$75&amp;" ["&amp;B01_Assessment!$D$75&amp;"]"&amp;IF(B01_Assessment!$G$75&lt;&gt;""," Impact: "&amp;B01_Assessment!$G$75,"")&amp;IF(B01_Assessment!$J$75&lt;&gt;""," — "&amp;B01_Assessment!$J$75,""),"")&amp;IF(B01_Assessment!$A$76&lt;&gt;"",IF(COUNTA(B01_Assessment!$A$70:$A$75)&gt;0,CHAR(10),"")&amp;"• "&amp;B01_Assessment!$A$76&amp;" — "&amp;B01_Assessment!$B$76&amp;" ["&amp;B01_Assessment!$D$76&amp;"]"&amp;IF(B01_Assessment!$G$76&lt;&gt;""," Impact: "&amp;B01_Assessment!$G$76,"")&amp;IF(B01_Assessment!$J$76&lt;&gt;""," — "&amp;B01_Assessment!$J$76,""),"")&amp;IF(B01_Assessment!$A$77&lt;&gt;"",IF(COUNTA(B01_Assessment!$A$70:$A$76)&gt;0,CHAR(10),"")&amp;"• "&amp;B01_Assessment!$A$77&amp;" — "&amp;B01_Assessment!$B$77&amp;" ["&amp;B01_Assessment!$D$77&amp;"]"&amp;IF(B01_Assessment!$G$77&lt;&gt;""," Impact: "&amp;B01_Assessment!$G$77,"")&amp;IF(B01_Assessment!$J$77&lt;&gt;""," — "&amp;B01_Assessment!$J$77,""),""))</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K2" s="335" t="str">
        <f>IFERROR(B01_Assessment!$H$4,"")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14999999999998" customHeight="1">
      <c r="A3" s="546" t="str">
        <f>_Command_Source!A3</f>
        <v>02</v>
      </c>
      <c r="B3" s="546" t="str">
        <f>_Command_Source!C3</f>
        <v>B02</v>
      </c>
      <c r="C3" s="546" t="str">
        <f>_Command_Source!B3</f>
        <v>B02_Assessment</v>
      </c>
      <c r="D3" s="335" t="str">
        <f>IF(COUNTA(B02_Assessment!$J$25:$J$28)=0,"• No fire / life safety items captured for this building.",IF(B02_Assessment!$J$25&lt;&gt;"","• "&amp;B02_Assessment!$J$25&amp;IF(COUNTA(B02_Assessment!$J$26:$J$28)&gt;0,CHAR(10),""),"")&amp;IF(B02_Assessment!$J$26&lt;&gt;"","• "&amp;B02_Assessment!$J$26&amp;IF(COUNTA(B02_Assessment!$J$27:$J$28)&gt;0,CHAR(10),""),"")&amp;IF(B02_Assessment!$J$27&lt;&gt;"","• "&amp;B02_Assessment!$J$27&amp;IF(COUNTA(B02_Assessment!$J$28:$J$28)&gt;0,CHAR(10),""),"")&amp;IF(B02_Assessment!$J$28&lt;&gt;"","• "&amp;B02_Assessment!$J$28,""))</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3" s="335" t="str">
        <f>IF(COUNTA(B02_Assessment!$J$32:$J$35)=0,"• No hvac / cooling items captured for this building.",IF(B02_Assessment!$J$32&lt;&gt;"","• "&amp;B02_Assessment!$J$32&amp;IF(COUNTA(B02_Assessment!$J$33:$J$35)&gt;0,CHAR(10),""),"")&amp;IF(B02_Assessment!$J$33&lt;&gt;"","• "&amp;B02_Assessment!$J$33&amp;IF(COUNTA(B02_Assessment!$J$34:$J$35)&gt;0,CHAR(10),""),"")&amp;IF(B02_Assessment!$J$34&lt;&gt;"","• "&amp;B02_Assessment!$J$34&amp;IF(COUNTA(B02_Assessment!$J$35:$J$35)&gt;0,CHAR(10),""),"")&amp;IF(B02_Assessment!$J$35&lt;&gt;"","• "&amp;B02_Assessment!$J$35,""))</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3" s="335" t="str">
        <f>IF(COUNTA(B02_Assessment!$J$39:$J$42)=0,"• No electrical / ups items captured for this building.",IF(B02_Assessment!$J$39&lt;&gt;"","• "&amp;B02_Assessment!$J$39&amp;IF(COUNTA(B02_Assessment!$J$40:$J$42)&gt;0,CHAR(10),""),"")&amp;IF(B02_Assessment!$J$40&lt;&gt;"","• "&amp;B02_Assessment!$J$40&amp;IF(COUNTA(B02_Assessment!$J$41:$J$42)&gt;0,CHAR(10),""),"")&amp;IF(B02_Assessment!$J$41&lt;&gt;"","• "&amp;B02_Assessment!$J$41&amp;IF(COUNTA(B02_Assessment!$J$42:$J$42)&gt;0,CHAR(10),""),"")&amp;IF(B02_Assessment!$J$42&lt;&gt;"","• "&amp;B02_Assessment!$J$42,""))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3" s="335" t="str">
        <f>IF(COUNTA(B02_Assessment!$J$46:$J$49)=0,"• No telecom / fiber items captured for this building.",IF(B02_Assessment!$J$46&lt;&gt;"","• "&amp;B02_Assessment!$J$46&amp;IF(COUNTA(B02_Assessment!$J$47:$J$49)&gt;0,CHAR(10),""),"")&amp;IF(B02_Assessment!$J$47&lt;&gt;"","• "&amp;B02_Assessment!$J$47&amp;IF(COUNTA(B02_Assessment!$J$48:$J$49)&gt;0,CHAR(10),""),"")&amp;IF(B02_Assessment!$J$48&lt;&gt;"","• "&amp;B02_Assessment!$J$48&amp;IF(COUNTA(B02_Assessment!$J$49:$J$49)&gt;0,CHAR(10),""),"")&amp;IF(B02_Assessment!$J$49&lt;&gt;"","• "&amp;B02_Assessment!$J$49,""))</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3" s="335" t="str">
        <f>IF(COUNTA(B02_Assessment!$J$53:$J$56)=0,"• No security / pacs / cctv items captured for this building.",IF(B02_Assessment!$J$53&lt;&gt;"","• "&amp;B02_Assessment!$J$53&amp;IF(COUNTA(B02_Assessment!$J$54:$J$56)&gt;0,CHAR(10),""),"")&amp;IF(B02_Assessment!$J$54&lt;&gt;"","• "&amp;B02_Assessment!$J$54&amp;IF(COUNTA(B02_Assessment!$J$55:$J$56)&gt;0,CHAR(10),""),"")&amp;IF(B02_Assessment!$J$55&lt;&gt;"","• "&amp;B02_Assessment!$J$55&amp;IF(COUNTA(B02_Assessment!$J$56:$J$56)&gt;0,CHAR(10),""),"")&amp;IF(B02_Assessment!$J$56&lt;&gt;"","• "&amp;B02_Assessment!$J$56,""))</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I3" s="335" t="str">
        <f>IF(COUNTA(B02_Assessment!$A$60:$A$67)=0,"• No owner risks items captured for this building.",IF(B02_Assessment!$A$60&lt;&gt;"","• "&amp;B02_Assessment!$A$60&amp;" — "&amp;B02_Assessment!$C$60&amp;" ["&amp;B02_Assessment!$I$60&amp;"]"&amp;IF(B02_Assessment!$J$60&lt;&gt;""," — "&amp;B02_Assessment!$J$60,""),"")&amp;IF(B02_Assessment!$A$61&lt;&gt;"",IF(COUNTA(B02_Assessment!$A$60:$A$60)&gt;0,CHAR(10),"")&amp;"• "&amp;B02_Assessment!$A$61&amp;" — "&amp;B02_Assessment!$C$61&amp;" ["&amp;B02_Assessment!$I$61&amp;"]"&amp;IF(B02_Assessment!$J$61&lt;&gt;""," — "&amp;B02_Assessment!$J$61,""),"")&amp;IF(B02_Assessment!$A$62&lt;&gt;"",IF(COUNTA(B02_Assessment!$A$60:$A$61)&gt;0,CHAR(10),"")&amp;"• "&amp;B02_Assessment!$A$62&amp;" — "&amp;B02_Assessment!$C$62&amp;" ["&amp;B02_Assessment!$I$62&amp;"]"&amp;IF(B02_Assessment!$J$62&lt;&gt;""," — "&amp;B02_Assessment!$J$62,""),"")&amp;IF(B02_Assessment!$A$63&lt;&gt;"",IF(COUNTA(B02_Assessment!$A$60:$A$62)&gt;0,CHAR(10),"")&amp;"• "&amp;B02_Assessment!$A$63&amp;" — "&amp;B02_Assessment!$C$63&amp;" ["&amp;B02_Assessment!$I$63&amp;"]"&amp;IF(B02_Assessment!$J$63&lt;&gt;""," — "&amp;B02_Assessment!$J$63,""),"")&amp;IF(B02_Assessment!$A$64&lt;&gt;"",IF(COUNTA(B02_Assessment!$A$60:$A$63)&gt;0,CHAR(10),"")&amp;"• "&amp;B02_Assessment!$A$64&amp;" — "&amp;B02_Assessment!$C$64&amp;" ["&amp;B02_Assessment!$I$64&amp;"]"&amp;IF(B02_Assessment!$J$64&lt;&gt;""," — "&amp;B02_Assessment!$J$64,""),"")&amp;IF(B02_Assessment!$A$65&lt;&gt;"",IF(COUNTA(B02_Assessment!$A$60:$A$64)&gt;0,CHAR(10),"")&amp;"• "&amp;B02_Assessment!$A$65&amp;" — "&amp;B02_Assessment!$C$65&amp;" ["&amp;B02_Assessment!$I$65&amp;"]"&amp;IF(B02_Assessment!$J$65&lt;&gt;""," — "&amp;B02_Assessment!$J$65,""),"")&amp;IF(B02_Assessment!$A$66&lt;&gt;"",IF(COUNTA(B02_Assessment!$A$60:$A$65)&gt;0,CHAR(10),"")&amp;"• "&amp;B02_Assessment!$A$66&amp;" — "&amp;B02_Assessment!$C$66&amp;" ["&amp;B02_Assessment!$I$66&amp;"]"&amp;IF(B02_Assessment!$J$66&lt;&gt;""," — "&amp;B02_Assessment!$J$66,""),"")&amp;IF(B02_Assessment!$A$67&lt;&gt;"",IF(COUNTA(B02_Assessment!$A$60:$A$66)&gt;0,CHAR(10),"")&amp;"• "&amp;B02_Assessment!$A$67&amp;" — "&amp;B02_Assessment!$C$67&amp;" ["&amp;B02_Assessment!$I$67&amp;"]"&amp;IF(B02_Assessment!$J$67&lt;&gt;""," — "&amp;B02_Assessment!$J$67,""),""))</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J3" s="335" t="str">
        <f>IF(COUNTA(B02_Assessment!$A$71:$A$78)=0,"• No open questions items captured for this building.",IF(B02_Assessment!$A$71&lt;&gt;"","• "&amp;B02_Assessment!$A$71&amp;" — "&amp;B02_Assessment!$B$71&amp;" ["&amp;B02_Assessment!$D$71&amp;"]"&amp;IF(B02_Assessment!$G$71&lt;&gt;""," Impact: "&amp;B02_Assessment!$G$71,"")&amp;IF(B02_Assessment!$J$71&lt;&gt;""," — "&amp;B02_Assessment!$J$71,""),"")&amp;IF(B02_Assessment!$A$72&lt;&gt;"",IF(COUNTA(B02_Assessment!$A$71:$A$71)&gt;0,CHAR(10),"")&amp;"• "&amp;B02_Assessment!$A$72&amp;" — "&amp;B02_Assessment!$B$72&amp;" ["&amp;B02_Assessment!$D$72&amp;"]"&amp;IF(B02_Assessment!$G$72&lt;&gt;""," Impact: "&amp;B02_Assessment!$G$72,"")&amp;IF(B02_Assessment!$J$72&lt;&gt;""," — "&amp;B02_Assessment!$J$72,""),"")&amp;IF(B02_Assessment!$A$73&lt;&gt;"",IF(COUNTA(B02_Assessment!$A$71:$A$72)&gt;0,CHAR(10),"")&amp;"• "&amp;B02_Assessment!$A$73&amp;" — "&amp;B02_Assessment!$B$73&amp;" ["&amp;B02_Assessment!$D$73&amp;"]"&amp;IF(B02_Assessment!$G$73&lt;&gt;""," Impact: "&amp;B02_Assessment!$G$73,"")&amp;IF(B02_Assessment!$J$73&lt;&gt;""," — "&amp;B02_Assessment!$J$73,""),"")&amp;IF(B02_Assessment!$A$74&lt;&gt;"",IF(COUNTA(B02_Assessment!$A$71:$A$73)&gt;0,CHAR(10),"")&amp;"• "&amp;B02_Assessment!$A$74&amp;" — "&amp;B02_Assessment!$B$74&amp;" ["&amp;B02_Assessment!$D$74&amp;"]"&amp;IF(B02_Assessment!$G$74&lt;&gt;""," Impact: "&amp;B02_Assessment!$G$74,"")&amp;IF(B02_Assessment!$J$74&lt;&gt;""," — "&amp;B02_Assessment!$J$74,""),"")&amp;IF(B02_Assessment!$A$75&lt;&gt;"",IF(COUNTA(B02_Assessment!$A$71:$A$74)&gt;0,CHAR(10),"")&amp;"• "&amp;B02_Assessment!$A$75&amp;" — "&amp;B02_Assessment!$B$75&amp;" ["&amp;B02_Assessment!$D$75&amp;"]"&amp;IF(B02_Assessment!$G$75&lt;&gt;""," Impact: "&amp;B02_Assessment!$G$75,"")&amp;IF(B02_Assessment!$J$75&lt;&gt;""," — "&amp;B02_Assessment!$J$75,""),"")&amp;IF(B02_Assessment!$A$76&lt;&gt;"",IF(COUNTA(B02_Assessment!$A$71:$A$75)&gt;0,CHAR(10),"")&amp;"• "&amp;B02_Assessment!$A$76&amp;" — "&amp;B02_Assessment!$B$76&amp;" ["&amp;B02_Assessment!$D$76&amp;"]"&amp;IF(B02_Assessment!$G$76&lt;&gt;""," Impact: "&amp;B02_Assessment!$G$76,"")&amp;IF(B02_Assessment!$J$76&lt;&gt;""," — "&amp;B02_Assessment!$J$76,""),"")&amp;IF(B02_Assessment!$A$77&lt;&gt;"",IF(COUNTA(B02_Assessment!$A$71:$A$76)&gt;0,CHAR(10),"")&amp;"• "&amp;B02_Assessment!$A$77&amp;" — "&amp;B02_Assessment!$B$77&amp;" ["&amp;B02_Assessment!$D$77&amp;"]"&amp;IF(B02_Assessment!$G$77&lt;&gt;""," Impact: "&amp;B02_Assessment!$G$77,"")&amp;IF(B02_Assessment!$J$77&lt;&gt;""," — "&amp;B02_Assessment!$J$77,""),"")&amp;IF(B02_Assessment!$A$78&lt;&gt;"",IF(COUNTA(B02_Assessment!$A$71:$A$77)&gt;0,CHAR(10),"")&amp;"• "&amp;B02_Assessment!$A$78&amp;" — "&amp;B02_Assessment!$B$78&amp;" ["&amp;B02_Assessment!$D$78&amp;"]"&amp;IF(B02_Assessment!$G$78&lt;&gt;""," Impact: "&amp;B02_Assessment!$G$78,"")&amp;IF(B02_Assessment!$J$78&lt;&gt;""," — "&amp;B02_Assessment!$J$78,""),""))</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K3" s="335" t="str">
        <f>IFERROR(B02_Assessment!$H$4,"")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14999999999998" customHeight="1">
      <c r="A4" s="546" t="str">
        <f>_Command_Source!A4</f>
        <v>03</v>
      </c>
      <c r="B4" s="546" t="str">
        <f>_Command_Source!C4</f>
        <v>B03</v>
      </c>
      <c r="C4" s="546" t="str">
        <f>_Command_Source!B4</f>
        <v>B03_Assessment</v>
      </c>
      <c r="D4" s="335" t="str">
        <f>IF(COUNTA(B03_Assessment!$J$24:$J$27)=0,"• No fire / life safety items captured for this building.",IF(B03_Assessment!$J$24&lt;&gt;"","• "&amp;B03_Assessment!$J$24&amp;IF(COUNTA(B03_Assessment!$J$25:$J$27)&gt;0,CHAR(10),""),"")&amp;IF(B03_Assessment!$J$25&lt;&gt;"","• "&amp;B03_Assessment!$J$25&amp;IF(COUNTA(B03_Assessment!$J$26:$J$27)&gt;0,CHAR(10),""),"")&amp;IF(B03_Assessment!$J$26&lt;&gt;"","• "&amp;B03_Assessment!$J$26&amp;IF(COUNTA(B03_Assessment!$J$27:$J$27)&gt;0,CHAR(10),""),"")&amp;IF(B03_Assessment!$J$27&lt;&gt;"","• "&amp;B03_Assessment!$J$27,""))</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4" s="335" t="str">
        <f>IF(COUNTA(B03_Assessment!$J$31:$J$34)=0,"• No hvac / cooling items captured for this building.",IF(B03_Assessment!$J$31&lt;&gt;"","• "&amp;B03_Assessment!$J$31&amp;IF(COUNTA(B03_Assessment!$J$32:$J$34)&gt;0,CHAR(10),""),"")&amp;IF(B03_Assessment!$J$32&lt;&gt;"","• "&amp;B03_Assessment!$J$32&amp;IF(COUNTA(B03_Assessment!$J$33:$J$34)&gt;0,CHAR(10),""),"")&amp;IF(B03_Assessment!$J$33&lt;&gt;"","• "&amp;B03_Assessment!$J$33&amp;IF(COUNTA(B03_Assessment!$J$34:$J$34)&gt;0,CHAR(10),""),"")&amp;IF(B03_Assessment!$J$34&lt;&gt;"","• "&amp;B03_Assessment!$J$34,""))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4" s="335" t="str">
        <f>IF(COUNTA(B03_Assessment!$J$38:$J$41)=0,"• No electrical / ups items captured for this building.",IF(B03_Assessment!$J$38&lt;&gt;"","• "&amp;B03_Assessment!$J$38&amp;IF(COUNTA(B03_Assessment!$J$39:$J$41)&gt;0,CHAR(10),""),"")&amp;IF(B03_Assessment!$J$39&lt;&gt;"","• "&amp;B03_Assessment!$J$39&amp;IF(COUNTA(B03_Assessment!$J$40:$J$41)&gt;0,CHAR(10),""),"")&amp;IF(B03_Assessment!$J$40&lt;&gt;"","• "&amp;B03_Assessment!$J$40&amp;IF(COUNTA(B03_Assessment!$J$41:$J$41)&gt;0,CHAR(10),""),"")&amp;IF(B03_Assessment!$J$41&lt;&gt;"","• "&amp;B03_Assessment!$J$41,""))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4" s="335" t="str">
        <f>IF(COUNTA(B03_Assessment!$J$45:$J$48)=0,"• No telecom / fiber items captured for this building.",IF(B03_Assessment!$J$45&lt;&gt;"","• "&amp;B03_Assessment!$J$45&amp;IF(COUNTA(B03_Assessment!$J$46:$J$48)&gt;0,CHAR(10),""),"")&amp;IF(B03_Assessment!$J$46&lt;&gt;"","• "&amp;B03_Assessment!$J$46&amp;IF(COUNTA(B03_Assessment!$J$47:$J$48)&gt;0,CHAR(10),""),"")&amp;IF(B03_Assessment!$J$47&lt;&gt;"","• "&amp;B03_Assessment!$J$47&amp;IF(COUNTA(B03_Assessment!$J$48:$J$48)&gt;0,CHAR(10),""),"")&amp;IF(B03_Assessment!$J$48&lt;&gt;"","• "&amp;B03_Assessment!$J$48,""))</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4" s="335" t="str">
        <f>IF(COUNTA(B03_Assessment!$J$52:$J$55)=0,"• No security / pacs / cctv items captured for this building.",IF(B03_Assessment!$J$52&lt;&gt;"","• "&amp;B03_Assessment!$J$52&amp;IF(COUNTA(B03_Assessment!$J$53:$J$55)&gt;0,CHAR(10),""),"")&amp;IF(B03_Assessment!$J$53&lt;&gt;"","• "&amp;B03_Assessment!$J$53&amp;IF(COUNTA(B03_Assessment!$J$54:$J$55)&gt;0,CHAR(10),""),"")&amp;IF(B03_Assessment!$J$54&lt;&gt;"","• "&amp;B03_Assessment!$J$54&amp;IF(COUNTA(B03_Assessment!$J$55:$J$55)&gt;0,CHAR(10),""),"")&amp;IF(B03_Assessment!$J$55&lt;&gt;"","• "&amp;B03_Assessment!$J$55,""))</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I4" s="335" t="str">
        <f>IF(COUNTA(B03_Assessment!$A$59:$A$66)=0,"• No owner risks items captured for this building.",IF(B03_Assessment!$A$59&lt;&gt;"","• "&amp;B03_Assessment!$A$59&amp;" — "&amp;B03_Assessment!$C$59&amp;" ["&amp;B03_Assessment!$I$59&amp;"]"&amp;IF(B03_Assessment!$J$59&lt;&gt;""," — "&amp;B03_Assessment!$J$59,""),"")&amp;IF(B03_Assessment!$A$60&lt;&gt;"",IF(COUNTA(B03_Assessment!$A$59:$A$59)&gt;0,CHAR(10),"")&amp;"• "&amp;B03_Assessment!$A$60&amp;" — "&amp;B03_Assessment!$C$60&amp;" ["&amp;B03_Assessment!$I$60&amp;"]"&amp;IF(B03_Assessment!$J$60&lt;&gt;""," — "&amp;B03_Assessment!$J$60,""),"")&amp;IF(B03_Assessment!$A$61&lt;&gt;"",IF(COUNTA(B03_Assessment!$A$59:$A$60)&gt;0,CHAR(10),"")&amp;"• "&amp;B03_Assessment!$A$61&amp;" — "&amp;B03_Assessment!$C$61&amp;" ["&amp;B03_Assessment!$I$61&amp;"]"&amp;IF(B03_Assessment!$J$61&lt;&gt;""," — "&amp;B03_Assessment!$J$61,""),"")&amp;IF(B03_Assessment!$A$62&lt;&gt;"",IF(COUNTA(B03_Assessment!$A$59:$A$61)&gt;0,CHAR(10),"")&amp;"• "&amp;B03_Assessment!$A$62&amp;" — "&amp;B03_Assessment!$C$62&amp;" ["&amp;B03_Assessment!$I$62&amp;"]"&amp;IF(B03_Assessment!$J$62&lt;&gt;""," — "&amp;B03_Assessment!$J$62,""),"")&amp;IF(B03_Assessment!$A$63&lt;&gt;"",IF(COUNTA(B03_Assessment!$A$59:$A$62)&gt;0,CHAR(10),"")&amp;"• "&amp;B03_Assessment!$A$63&amp;" — "&amp;B03_Assessment!$C$63&amp;" ["&amp;B03_Assessment!$I$63&amp;"]"&amp;IF(B03_Assessment!$J$63&lt;&gt;""," — "&amp;B03_Assessment!$J$63,""),"")&amp;IF(B03_Assessment!$A$64&lt;&gt;"",IF(COUNTA(B03_Assessment!$A$59:$A$63)&gt;0,CHAR(10),"")&amp;"• "&amp;B03_Assessment!$A$64&amp;" — "&amp;B03_Assessment!$C$64&amp;" ["&amp;B03_Assessment!$I$64&amp;"]"&amp;IF(B03_Assessment!$J$64&lt;&gt;""," — "&amp;B03_Assessment!$J$64,""),"")&amp;IF(B03_Assessment!$A$65&lt;&gt;"",IF(COUNTA(B03_Assessment!$A$59:$A$64)&gt;0,CHAR(10),"")&amp;"• "&amp;B03_Assessment!$A$65&amp;" — "&amp;B03_Assessment!$C$65&amp;" ["&amp;B03_Assessment!$I$65&amp;"]"&amp;IF(B03_Assessment!$J$65&lt;&gt;""," — "&amp;B03_Assessment!$J$65,""),"")&amp;IF(B03_Assessment!$A$66&lt;&gt;"",IF(COUNTA(B03_Assessment!$A$59:$A$65)&gt;0,CHAR(10),"")&amp;"• "&amp;B03_Assessment!$A$66&amp;" — "&amp;B03_Assessment!$C$66&amp;" ["&amp;B03_Assessment!$I$66&amp;"]"&amp;IF(B03_Assessment!$J$66&lt;&gt;""," — "&amp;B03_Assessment!$J$66,""),""))</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J4" s="335" t="str">
        <f>IF(COUNTA(B03_Assessment!$A$70:$A$77)=0,"• No open questions items captured for this building.",IF(B03_Assessment!$A$70&lt;&gt;"","• "&amp;B03_Assessment!$A$70&amp;" — "&amp;B03_Assessment!$B$70&amp;" ["&amp;B03_Assessment!$D$70&amp;"]"&amp;IF(B03_Assessment!$G$70&lt;&gt;""," Impact: "&amp;B03_Assessment!$G$70,"")&amp;IF(B03_Assessment!$J$70&lt;&gt;""," — "&amp;B03_Assessment!$J$70,""),"")&amp;IF(B03_Assessment!$A$71&lt;&gt;"",IF(COUNTA(B03_Assessment!$A$70:$A$70)&gt;0,CHAR(10),"")&amp;"• "&amp;B03_Assessment!$A$71&amp;" — "&amp;B03_Assessment!$B$71&amp;" ["&amp;B03_Assessment!$D$71&amp;"]"&amp;IF(B03_Assessment!$G$71&lt;&gt;""," Impact: "&amp;B03_Assessment!$G$71,"")&amp;IF(B03_Assessment!$J$71&lt;&gt;""," — "&amp;B03_Assessment!$J$71,""),"")&amp;IF(B03_Assessment!$A$72&lt;&gt;"",IF(COUNTA(B03_Assessment!$A$70:$A$71)&gt;0,CHAR(10),"")&amp;"• "&amp;B03_Assessment!$A$72&amp;" — "&amp;B03_Assessment!$B$72&amp;" ["&amp;B03_Assessment!$D$72&amp;"]"&amp;IF(B03_Assessment!$G$72&lt;&gt;""," Impact: "&amp;B03_Assessment!$G$72,"")&amp;IF(B03_Assessment!$J$72&lt;&gt;""," — "&amp;B03_Assessment!$J$72,""),"")&amp;IF(B03_Assessment!$A$73&lt;&gt;"",IF(COUNTA(B03_Assessment!$A$70:$A$72)&gt;0,CHAR(10),"")&amp;"• "&amp;B03_Assessment!$A$73&amp;" — "&amp;B03_Assessment!$B$73&amp;" ["&amp;B03_Assessment!$D$73&amp;"]"&amp;IF(B03_Assessment!$G$73&lt;&gt;""," Impact: "&amp;B03_Assessment!$G$73,"")&amp;IF(B03_Assessment!$J$73&lt;&gt;""," — "&amp;B03_Assessment!$J$73,""),"")&amp;IF(B03_Assessment!$A$74&lt;&gt;"",IF(COUNTA(B03_Assessment!$A$70:$A$73)&gt;0,CHAR(10),"")&amp;"• "&amp;B03_Assessment!$A$74&amp;" — "&amp;B03_Assessment!$B$74&amp;" ["&amp;B03_Assessment!$D$74&amp;"]"&amp;IF(B03_Assessment!$G$74&lt;&gt;""," Impact: "&amp;B03_Assessment!$G$74,"")&amp;IF(B03_Assessment!$J$74&lt;&gt;""," — "&amp;B03_Assessment!$J$74,""),"")&amp;IF(B03_Assessment!$A$75&lt;&gt;"",IF(COUNTA(B03_Assessment!$A$70:$A$74)&gt;0,CHAR(10),"")&amp;"• "&amp;B03_Assessment!$A$75&amp;" — "&amp;B03_Assessment!$B$75&amp;" ["&amp;B03_Assessment!$D$75&amp;"]"&amp;IF(B03_Assessment!$G$75&lt;&gt;""," Impact: "&amp;B03_Assessment!$G$75,"")&amp;IF(B03_Assessment!$J$75&lt;&gt;""," — "&amp;B03_Assessment!$J$75,""),"")&amp;IF(B03_Assessment!$A$76&lt;&gt;"",IF(COUNTA(B03_Assessment!$A$70:$A$75)&gt;0,CHAR(10),"")&amp;"• "&amp;B03_Assessment!$A$76&amp;" — "&amp;B03_Assessment!$B$76&amp;" ["&amp;B03_Assessment!$D$76&amp;"]"&amp;IF(B03_Assessment!$G$76&lt;&gt;""," Impact: "&amp;B03_Assessment!$G$76,"")&amp;IF(B03_Assessment!$J$76&lt;&gt;""," — "&amp;B03_Assessment!$J$76,""),"")&amp;IF(B03_Assessment!$A$77&lt;&gt;"",IF(COUNTA(B03_Assessment!$A$70:$A$76)&gt;0,CHAR(10),"")&amp;"• "&amp;B03_Assessment!$A$77&amp;" — "&amp;B03_Assessment!$B$77&amp;" ["&amp;B03_Assessment!$D$77&amp;"]"&amp;IF(B03_Assessment!$G$77&lt;&gt;""," Impact: "&amp;B03_Assessment!$G$77,"")&amp;IF(B03_Assessment!$J$77&lt;&gt;""," — "&amp;B03_Assessment!$J$77,""),""))</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K4" s="335" t="str">
        <f>IFERROR(B03_Assessment!$H$4,"")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14999999999998" customHeight="1">
      <c r="A5" s="546" t="str">
        <f>_Command_Source!A5</f>
        <v>04</v>
      </c>
      <c r="B5" s="546" t="str">
        <f>_Command_Source!C5</f>
        <v>B04</v>
      </c>
      <c r="C5" s="546" t="str">
        <f>_Command_Source!B5</f>
        <v>B04_Assessment</v>
      </c>
      <c r="D5" s="335" t="str">
        <f>IF(COUNTA(B04_Assessment!$J$22:$J$24)=0,"• No fire / life safety items captured for this building.",IF(B04_Assessment!$J$22&lt;&gt;"","• "&amp;B04_Assessment!$J$22&amp;IF(COUNTA(B04_Assessment!$J$23:$J$24)&gt;0,CHAR(10),""),"")&amp;IF(B04_Assessment!$J$23&lt;&gt;"","• "&amp;B04_Assessment!$J$23&amp;IF(COUNTA(B04_Assessment!$J$24:$J$24)&gt;0,CHAR(10),""),"")&amp;IF(B04_Assessment!$J$24&lt;&gt;"","• "&amp;B04_Assessment!$J$24,""))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5" s="335" t="str">
        <f>IF(COUNTA(B04_Assessment!$J$28:$J$30)=0,"• No hvac / cooling items captured for this building.",IF(B04_Assessment!$J$28&lt;&gt;"","• "&amp;B04_Assessment!$J$28&amp;IF(COUNTA(B04_Assessment!$J$29:$J$30)&gt;0,CHAR(10),""),"")&amp;IF(B04_Assessment!$J$29&lt;&gt;"","• "&amp;B04_Assessment!$J$29&amp;IF(COUNTA(B04_Assessment!$J$30:$J$30)&gt;0,CHAR(10),""),"")&amp;IF(B04_Assessment!$J$30&lt;&gt;"","• "&amp;B04_Assessment!$J$30,""))</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5" s="335" t="str">
        <f>IF(COUNTA(B04_Assessment!$J$34:$J$36)=0,"• No electrical / ups items captured for this building.",IF(B04_Assessment!$J$34&lt;&gt;"","• "&amp;B04_Assessment!$J$34&amp;IF(COUNTA(B04_Assessment!$J$35:$J$36)&gt;0,CHAR(10),""),"")&amp;IF(B04_Assessment!$J$35&lt;&gt;"","• "&amp;B04_Assessment!$J$35&amp;IF(COUNTA(B04_Assessment!$J$36:$J$36)&gt;0,CHAR(10),""),"")&amp;IF(B04_Assessment!$J$36&lt;&gt;"","• "&amp;B04_Assessment!$J$36,""))</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5" s="335" t="str">
        <f>IF(COUNTA(B04_Assessment!$J$40:$J$42)=0,"• No telecom / fiber items captured for this building.",IF(B04_Assessment!$J$40&lt;&gt;"","• "&amp;B04_Assessment!$J$40&amp;IF(COUNTA(B04_Assessment!$J$41:$J$42)&gt;0,CHAR(10),""),"")&amp;IF(B04_Assessment!$J$41&lt;&gt;"","• "&amp;B04_Assessment!$J$41&amp;IF(COUNTA(B04_Assessment!$J$42:$J$42)&gt;0,CHAR(10),""),"")&amp;IF(B04_Assessment!$J$42&lt;&gt;"","• "&amp;B04_Assessment!$J$42,""))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5" s="335" t="str">
        <f>IF(COUNTA(B04_Assessment!$J$46:$J$48)=0,"• No security / pacs / cctv items captured for this building.",IF(B04_Assessment!$J$46&lt;&gt;"","• "&amp;B04_Assessment!$J$46&amp;IF(COUNTA(B04_Assessment!$J$47:$J$48)&gt;0,CHAR(10),""),"")&amp;IF(B04_Assessment!$J$47&lt;&gt;"","• "&amp;B04_Assessment!$J$47&amp;IF(COUNTA(B04_Assessment!$J$48:$J$48)&gt;0,CHAR(10),""),"")&amp;IF(B04_Assessment!$J$48&lt;&gt;"","• "&amp;B04_Assessment!$J$48,""))</f>
        <v>• Verify access-controlled TR door, camera, and VMS/PACS integration.
• Architectural notes require door/access control coordination; verify card reader/electric strike rough-in.
• Verify room security details and device integration with VA systems.</v>
      </c>
      <c r="I5" s="335" t="str">
        <f>IF(COUNTA(B04_Assessment!$A$52:$A$59)=0,"• No owner risks items captured for this building.",IF(B04_Assessment!$A$52&lt;&gt;"","• "&amp;B04_Assessment!$A$52&amp;" — "&amp;B04_Assessment!$C$52&amp;" ["&amp;B04_Assessment!$I$52&amp;"]"&amp;IF(B04_Assessment!$J$52&lt;&gt;""," — "&amp;B04_Assessment!$J$52,""),"")&amp;IF(B04_Assessment!$A$53&lt;&gt;"",IF(COUNTA(B04_Assessment!$A$52:$A$52)&gt;0,CHAR(10),"")&amp;"• "&amp;B04_Assessment!$A$53&amp;" — "&amp;B04_Assessment!$C$53&amp;" ["&amp;B04_Assessment!$I$53&amp;"]"&amp;IF(B04_Assessment!$J$53&lt;&gt;""," — "&amp;B04_Assessment!$J$53,""),"")&amp;IF(B04_Assessment!$A$54&lt;&gt;"",IF(COUNTA(B04_Assessment!$A$52:$A$53)&gt;0,CHAR(10),"")&amp;"• "&amp;B04_Assessment!$A$54&amp;" — "&amp;B04_Assessment!$C$54&amp;" ["&amp;B04_Assessment!$I$54&amp;"]"&amp;IF(B04_Assessment!$J$54&lt;&gt;""," — "&amp;B04_Assessment!$J$54,""),"")&amp;IF(B04_Assessment!$A$55&lt;&gt;"",IF(COUNTA(B04_Assessment!$A$52:$A$54)&gt;0,CHAR(10),"")&amp;"• "&amp;B04_Assessment!$A$55&amp;" — "&amp;B04_Assessment!$C$55&amp;" ["&amp;B04_Assessment!$I$55&amp;"]"&amp;IF(B04_Assessment!$J$55&lt;&gt;""," — "&amp;B04_Assessment!$J$55,""),"")&amp;IF(B04_Assessment!$A$56&lt;&gt;"",IF(COUNTA(B04_Assessment!$A$52:$A$55)&gt;0,CHAR(10),"")&amp;"• "&amp;B04_Assessment!$A$56&amp;" — "&amp;B04_Assessment!$C$56&amp;" ["&amp;B04_Assessment!$I$56&amp;"]"&amp;IF(B04_Assessment!$J$56&lt;&gt;""," — "&amp;B04_Assessment!$J$56,""),"")&amp;IF(B04_Assessment!$A$57&lt;&gt;"",IF(COUNTA(B04_Assessment!$A$52:$A$56)&gt;0,CHAR(10),"")&amp;"• "&amp;B04_Assessment!$A$57&amp;" — "&amp;B04_Assessment!$C$57&amp;" ["&amp;B04_Assessment!$I$57&amp;"]"&amp;IF(B04_Assessment!$J$57&lt;&gt;""," — "&amp;B04_Assessment!$J$57,""),"")&amp;IF(B04_Assessment!$A$58&lt;&gt;"",IF(COUNTA(B04_Assessment!$A$52:$A$57)&gt;0,CHAR(10),"")&amp;"• "&amp;B04_Assessment!$A$58&amp;" — "&amp;B04_Assessment!$C$58&amp;" ["&amp;B04_Assessment!$I$58&amp;"]"&amp;IF(B04_Assessment!$J$58&lt;&gt;""," — "&amp;B04_Assessment!$J$58,""),"")&amp;IF(B04_Assessment!$A$59&lt;&gt;"",IF(COUNTA(B04_Assessment!$A$52:$A$58)&gt;0,CHAR(10),"")&amp;"• "&amp;B04_Assessment!$A$59&amp;" — "&amp;B04_Assessment!$C$59&amp;" ["&amp;B04_Assessment!$I$59&amp;"]"&amp;IF(B04_Assessment!$J$59&lt;&gt;""," — "&amp;B04_Assessment!$J$59,""),""))</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J5" s="335" t="str">
        <f>IF(COUNTA(B04_Assessment!$A$63:$A$70)=0,"• No open questions items captured for this building.",IF(B04_Assessment!$A$63&lt;&gt;"","• "&amp;B04_Assessment!$A$63&amp;" — "&amp;B04_Assessment!$B$63&amp;" ["&amp;B04_Assessment!$D$63&amp;"]"&amp;IF(B04_Assessment!$G$63&lt;&gt;""," Impact: "&amp;B04_Assessment!$G$63,"")&amp;IF(B04_Assessment!$J$63&lt;&gt;""," — "&amp;B04_Assessment!$J$63,""),"")&amp;IF(B04_Assessment!$A$64&lt;&gt;"",IF(COUNTA(B04_Assessment!$A$63:$A$63)&gt;0,CHAR(10),"")&amp;"• "&amp;B04_Assessment!$A$64&amp;" — "&amp;B04_Assessment!$B$64&amp;" ["&amp;B04_Assessment!$D$64&amp;"]"&amp;IF(B04_Assessment!$G$64&lt;&gt;""," Impact: "&amp;B04_Assessment!$G$64,"")&amp;IF(B04_Assessment!$J$64&lt;&gt;""," — "&amp;B04_Assessment!$J$64,""),"")&amp;IF(B04_Assessment!$A$65&lt;&gt;"",IF(COUNTA(B04_Assessment!$A$63:$A$64)&gt;0,CHAR(10),"")&amp;"• "&amp;B04_Assessment!$A$65&amp;" — "&amp;B04_Assessment!$B$65&amp;" ["&amp;B04_Assessment!$D$65&amp;"]"&amp;IF(B04_Assessment!$G$65&lt;&gt;""," Impact: "&amp;B04_Assessment!$G$65,"")&amp;IF(B04_Assessment!$J$65&lt;&gt;""," — "&amp;B04_Assessment!$J$65,""),"")&amp;IF(B04_Assessment!$A$66&lt;&gt;"",IF(COUNTA(B04_Assessment!$A$63:$A$65)&gt;0,CHAR(10),"")&amp;"• "&amp;B04_Assessment!$A$66&amp;" — "&amp;B04_Assessment!$B$66&amp;" ["&amp;B04_Assessment!$D$66&amp;"]"&amp;IF(B04_Assessment!$G$66&lt;&gt;""," Impact: "&amp;B04_Assessment!$G$66,"")&amp;IF(B04_Assessment!$J$66&lt;&gt;""," — "&amp;B04_Assessment!$J$66,""),"")&amp;IF(B04_Assessment!$A$67&lt;&gt;"",IF(COUNTA(B04_Assessment!$A$63:$A$66)&gt;0,CHAR(10),"")&amp;"• "&amp;B04_Assessment!$A$67&amp;" — "&amp;B04_Assessment!$B$67&amp;" ["&amp;B04_Assessment!$D$67&amp;"]"&amp;IF(B04_Assessment!$G$67&lt;&gt;""," Impact: "&amp;B04_Assessment!$G$67,"")&amp;IF(B04_Assessment!$J$67&lt;&gt;""," — "&amp;B04_Assessment!$J$67,""),"")&amp;IF(B04_Assessment!$A$68&lt;&gt;"",IF(COUNTA(B04_Assessment!$A$63:$A$67)&gt;0,CHAR(10),"")&amp;"• "&amp;B04_Assessment!$A$68&amp;" — "&amp;B04_Assessment!$B$68&amp;" ["&amp;B04_Assessment!$D$68&amp;"]"&amp;IF(B04_Assessment!$G$68&lt;&gt;""," Impact: "&amp;B04_Assessment!$G$68,"")&amp;IF(B04_Assessment!$J$68&lt;&gt;""," — "&amp;B04_Assessment!$J$68,""),"")&amp;IF(B04_Assessment!$A$69&lt;&gt;"",IF(COUNTA(B04_Assessment!$A$63:$A$68)&gt;0,CHAR(10),"")&amp;"• "&amp;B04_Assessment!$A$69&amp;" — "&amp;B04_Assessment!$B$69&amp;" ["&amp;B04_Assessment!$D$69&amp;"]"&amp;IF(B04_Assessment!$G$69&lt;&gt;""," Impact: "&amp;B04_Assessment!$G$69,"")&amp;IF(B04_Assessment!$J$69&lt;&gt;""," — "&amp;B04_Assessment!$J$69,""),"")&amp;IF(B04_Assessment!$A$70&lt;&gt;"",IF(COUNTA(B04_Assessment!$A$63:$A$69)&gt;0,CHAR(10),"")&amp;"• "&amp;B04_Assessment!$A$70&amp;" — "&amp;B04_Assessment!$B$70&amp;" ["&amp;B04_Assessment!$D$70&amp;"]"&amp;IF(B04_Assessment!$G$70&lt;&gt;""," Impact: "&amp;B04_Assessment!$G$70,"")&amp;IF(B04_Assessment!$J$70&lt;&gt;""," — "&amp;B04_Assessment!$J$70,""),""))</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K5" s="335" t="str">
        <f>IFERROR(B04_Assessment!$H$4,"")</f>
        <v>B04 has multiple TRs across basement/first/second levels; field verification, abatement coordination, cooling power, firestopping, and cutover phasing remain open.</v>
      </c>
    </row>
    <row r="6" spans="1:11" ht="262.14999999999998" customHeight="1">
      <c r="A6" s="546" t="str">
        <f>_Command_Source!A6</f>
        <v>05</v>
      </c>
      <c r="B6" s="546" t="str">
        <f>_Command_Source!C6</f>
        <v>B05</v>
      </c>
      <c r="C6" s="546" t="str">
        <f>_Command_Source!B6</f>
        <v>B05_Assessment</v>
      </c>
      <c r="D6" s="335" t="str">
        <f>IF(COUNTA(B05_Assessment!$J$20:$J$21)=0,"• No fire / life safety items captured for this building.",IF(B05_Assessment!$J$20&lt;&gt;"","• "&amp;B05_Assessment!$J$20&amp;IF(COUNTA(B05_Assessment!$J$21:$J$21)&gt;0,CHAR(10),""),"")&amp;IF(B05_Assessment!$J$21&lt;&gt;"","• "&amp;B05_Assessment!$J$21,""))</f>
        <v>• Cover sheet note states mechanical and fire protection scope excluded; still verify firestopping and existing fire alarm/life safety impacts.
• Existing conditions only; verify protection-in-place and no unsealed penetrations after cabling.</v>
      </c>
      <c r="E6" s="335" t="str">
        <f>IF(COUNTA(B05_Assessment!$J$25:$J$26)=0,"• No hvac / cooling items captured for this building.",IF(B05_Assessment!$J$25&lt;&gt;"","• "&amp;B05_Assessment!$J$25&amp;IF(COUNTA(B05_Assessment!$J$26:$J$26)&gt;0,CHAR(10),""),"")&amp;IF(B05_Assessment!$J$26&lt;&gt;"","• "&amp;B05_Assessment!$J$26,""))</f>
        <v>• Mechanical scope is excluded for Building 05; verify TE heat load is acceptable in existing space and does not require added cooling.
• Existing wall/wall-mount TE area; verify existing environmental conditions during field survey.</v>
      </c>
      <c r="F6" s="335" t="str">
        <f>IF(COUNTA(B05_Assessment!$J$30:$J$31)=0,"• No electrical / ups items captured for this building.",IF(B05_Assessment!$J$30&lt;&gt;"","• "&amp;B05_Assessment!$J$30&amp;IF(COUNTA(B05_Assessment!$J$31:$J$31)&gt;0,CHAR(10),""),"")&amp;IF(B05_Assessment!$J$31&lt;&gt;"","• "&amp;B05_Assessment!$J$31,""))</f>
        <v>• 05T-604 shows APC UPS, two PDU L-530 input / NEMA 5-20 output units, 1200V outlet UPS, and 1200V outlet PDU; verify actual electrical schedule/panel/circuit source.
• Existing elevation shows floor UPS and legacy wall-mounted TE equipment; protect active equipment until cutover.</v>
      </c>
      <c r="G6" s="335" t="str">
        <f>IF(COUNTA(B05_Assessment!$J$35:$J$36)=0,"• No telecom / fiber items captured for this building.",IF(B05_Assessment!$J$35&lt;&gt;"","• "&amp;B05_Assessment!$J$35&amp;IF(COUNTA(B05_Assessment!$J$36:$J$36)&gt;0,CHAR(10),""),"")&amp;IF(B05_Assessment!$J$36&lt;&gt;"","• "&amp;B05_Assessment!$J$36,""))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6" s="335" t="str">
        <f>IF(COUNTA(B05_Assessment!$J$40:$J$41)=0,"• No security / pacs / cctv items captured for this building.",IF(B05_Assessment!$J$40&lt;&gt;"","• "&amp;B05_Assessment!$J$40&amp;IF(COUNTA(B05_Assessment!$J$41:$J$41)&gt;0,CHAR(10),""),"")&amp;IF(B05_Assessment!$J$41&lt;&gt;"","• "&amp;B05_Assessment!$J$41,""))</f>
        <v>• Project general scope includes CCTV and PACS for telecom spaces; verify whether TE location receives camera/access control or is served by existing room controls.
• Verify existing security protection and whether access-control work is needed for existing TE area.</v>
      </c>
      <c r="I6" s="335" t="str">
        <f>IF(COUNTA(B05_Assessment!$A$45:$A$50)=0,"• No owner risks items captured for this building.",IF(B05_Assessment!$A$45&lt;&gt;"","• "&amp;B05_Assessment!$A$45&amp;" — "&amp;B05_Assessment!$C$45&amp;" ["&amp;B05_Assessment!$I$45&amp;"]"&amp;IF(B05_Assessment!$J$45&lt;&gt;""," — "&amp;B05_Assessment!$J$45,""),"")&amp;IF(B05_Assessment!$A$46&lt;&gt;"",IF(COUNTA(B05_Assessment!$A$45:$A$45)&gt;0,CHAR(10),"")&amp;"• "&amp;B05_Assessment!$A$46&amp;" — "&amp;B05_Assessment!$C$46&amp;" ["&amp;B05_Assessment!$I$46&amp;"]"&amp;IF(B05_Assessment!$J$46&lt;&gt;""," — "&amp;B05_Assessment!$J$46,""),"")&amp;IF(B05_Assessment!$A$47&lt;&gt;"",IF(COUNTA(B05_Assessment!$A$45:$A$46)&gt;0,CHAR(10),"")&amp;"• "&amp;B05_Assessment!$A$47&amp;" — "&amp;B05_Assessment!$C$47&amp;" ["&amp;B05_Assessment!$I$47&amp;"]"&amp;IF(B05_Assessment!$J$47&lt;&gt;""," — "&amp;B05_Assessment!$J$47,""),"")&amp;IF(B05_Assessment!$A$48&lt;&gt;"",IF(COUNTA(B05_Assessment!$A$45:$A$47)&gt;0,CHAR(10),"")&amp;"• "&amp;B05_Assessment!$A$48&amp;" — "&amp;B05_Assessment!$C$48&amp;" ["&amp;B05_Assessment!$I$48&amp;"]"&amp;IF(B05_Assessment!$J$48&lt;&gt;""," — "&amp;B05_Assessment!$J$48,""),"")&amp;IF(B05_Assessment!$A$49&lt;&gt;"",IF(COUNTA(B05_Assessment!$A$45:$A$48)&gt;0,CHAR(10),"")&amp;"• "&amp;B05_Assessment!$A$49&amp;" — "&amp;B05_Assessment!$C$49&amp;" ["&amp;B05_Assessment!$I$49&amp;"]"&amp;IF(B05_Assessment!$J$49&lt;&gt;""," — "&amp;B05_Assessment!$J$49,""),"")&amp;IF(B05_Assessment!$A$50&lt;&gt;"",IF(COUNTA(B05_Assessment!$A$45:$A$49)&gt;0,CHAR(10),"")&amp;"• "&amp;B05_Assessment!$A$50&amp;" — "&amp;B05_Assessment!$C$50&amp;" ["&amp;B05_Assessment!$I$50&amp;"]"&amp;IF(B05_Assessment!$J$50&lt;&gt;""," — "&amp;B05_Assessment!$J$50,""),""))</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J6" s="335" t="str">
        <f>IF(COUNTA(B05_Assessment!$A$54:$A$60)=0,"• No open questions items captured for this building.",IF(B05_Assessment!$A$54&lt;&gt;"","• "&amp;B05_Assessment!$A$54&amp;" — "&amp;B05_Assessment!$B$54&amp;" ["&amp;B05_Assessment!$D$54&amp;"]"&amp;IF(B05_Assessment!$G$54&lt;&gt;""," Impact: "&amp;B05_Assessment!$G$54,"")&amp;IF(B05_Assessment!$J$54&lt;&gt;""," — "&amp;B05_Assessment!$J$54,""),"")&amp;IF(B05_Assessment!$A$55&lt;&gt;"",IF(COUNTA(B05_Assessment!$A$54:$A$54)&gt;0,CHAR(10),"")&amp;"• "&amp;B05_Assessment!$A$55&amp;" — "&amp;B05_Assessment!$B$55&amp;" ["&amp;B05_Assessment!$D$55&amp;"]"&amp;IF(B05_Assessment!$G$55&lt;&gt;""," Impact: "&amp;B05_Assessment!$G$55,"")&amp;IF(B05_Assessment!$J$55&lt;&gt;""," — "&amp;B05_Assessment!$J$55,""),"")&amp;IF(B05_Assessment!$A$56&lt;&gt;"",IF(COUNTA(B05_Assessment!$A$54:$A$55)&gt;0,CHAR(10),"")&amp;"• "&amp;B05_Assessment!$A$56&amp;" — "&amp;B05_Assessment!$B$56&amp;" ["&amp;B05_Assessment!$D$56&amp;"]"&amp;IF(B05_Assessment!$G$56&lt;&gt;""," Impact: "&amp;B05_Assessment!$G$56,"")&amp;IF(B05_Assessment!$J$56&lt;&gt;""," — "&amp;B05_Assessment!$J$56,""),"")&amp;IF(B05_Assessment!$A$57&lt;&gt;"",IF(COUNTA(B05_Assessment!$A$54:$A$56)&gt;0,CHAR(10),"")&amp;"• "&amp;B05_Assessment!$A$57&amp;" — "&amp;B05_Assessment!$B$57&amp;" ["&amp;B05_Assessment!$D$57&amp;"]"&amp;IF(B05_Assessment!$G$57&lt;&gt;""," Impact: "&amp;B05_Assessment!$G$57,"")&amp;IF(B05_Assessment!$J$57&lt;&gt;""," — "&amp;B05_Assessment!$J$57,""),"")&amp;IF(B05_Assessment!$A$58&lt;&gt;"",IF(COUNTA(B05_Assessment!$A$54:$A$57)&gt;0,CHAR(10),"")&amp;"• "&amp;B05_Assessment!$A$58&amp;" — "&amp;B05_Assessment!$B$58&amp;" ["&amp;B05_Assessment!$D$58&amp;"]"&amp;IF(B05_Assessment!$G$58&lt;&gt;""," Impact: "&amp;B05_Assessment!$G$58,"")&amp;IF(B05_Assessment!$J$58&lt;&gt;""," — "&amp;B05_Assessment!$J$58,""),"")&amp;IF(B05_Assessment!$A$59&lt;&gt;"",IF(COUNTA(B05_Assessment!$A$54:$A$58)&gt;0,CHAR(10),"")&amp;"• "&amp;B05_Assessment!$A$59&amp;" — "&amp;B05_Assessment!$B$59&amp;" ["&amp;B05_Assessment!$D$59&amp;"]"&amp;IF(B05_Assessment!$G$59&lt;&gt;""," Impact: "&amp;B05_Assessment!$G$59,"")&amp;IF(B05_Assessment!$J$59&lt;&gt;""," — "&amp;B05_Assessment!$J$59,""),"")&amp;IF(B05_Assessment!$A$60&lt;&gt;"",IF(COUNTA(B05_Assessment!$A$54:$A$59)&gt;0,CHAR(10),"")&amp;"• "&amp;B05_Assessment!$A$60&amp;" — "&amp;B05_Assessment!$B$60&amp;" ["&amp;B05_Assessment!$D$60&amp;"]"&amp;IF(B05_Assessment!$G$60&lt;&gt;""," Impact: "&amp;B05_Assessment!$G$60,"")&amp;IF(B05_Assessment!$J$60&lt;&gt;""," — "&amp;B05_Assessment!$J$60,""),""))</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K6" s="335" t="str">
        <f>IFERROR(B05_Assessment!$H$4,"")</f>
        <v>Building 05 receives a Telecom Enclosure only; mechanical and fire protection scope is excluded, so TE power, telecom cutover, existing room conditions, and fire/life-safety interfaces must be verified.</v>
      </c>
    </row>
    <row r="7" spans="1:11" ht="262.14999999999998" customHeight="1">
      <c r="A7" s="546" t="str">
        <f>_Command_Source!A7</f>
        <v>06</v>
      </c>
      <c r="B7" s="546" t="str">
        <f>_Command_Source!C7</f>
        <v>B06</v>
      </c>
      <c r="C7" s="546" t="str">
        <f>_Command_Source!B7</f>
        <v>B06_Assessment</v>
      </c>
      <c r="D7" s="335" t="str">
        <f>IF(COUNTA(B06_Assessment!$J$22:$J$24)=0,"• No fire / life safety items captured for this building.",IF(B06_Assessment!$J$22&lt;&gt;"","• "&amp;B06_Assessment!$J$22&amp;IF(COUNTA(B06_Assessment!$J$23:$J$24)&gt;0,CHAR(10),""),"")&amp;IF(B06_Assessment!$J$23&lt;&gt;"","• "&amp;B06_Assessment!$J$23&amp;IF(COUNTA(B06_Assessment!$J$24:$J$24)&gt;0,CHAR(10),""),"")&amp;IF(B06_Assessment!$J$24&lt;&gt;"","• "&amp;B06_Assessment!$J$24,""))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 s="335" t="str">
        <f>IF(COUNTA(B06_Assessment!$J$28:$J$30)=0,"• No hvac / cooling items captured for this building.",IF(B06_Assessment!$J$28&lt;&gt;"","• "&amp;B06_Assessment!$J$28&amp;IF(COUNTA(B06_Assessment!$J$29:$J$30)&gt;0,CHAR(10),""),"")&amp;IF(B06_Assessment!$J$29&lt;&gt;"","• "&amp;B06_Assessment!$J$29&amp;IF(COUNTA(B06_Assessment!$J$30:$J$30)&gt;0,CHAR(10),""),"")&amp;IF(B06_Assessment!$J$30&lt;&gt;"","• "&amp;B06_Assessment!$J$30,""))</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 s="335" t="str">
        <f>IF(COUNTA(B06_Assessment!$J$34:$J$36)=0,"• No electrical / ups items captured for this building.",IF(B06_Assessment!$J$34&lt;&gt;"","• "&amp;B06_Assessment!$J$34&amp;IF(COUNTA(B06_Assessment!$J$35:$J$36)&gt;0,CHAR(10),""),"")&amp;IF(B06_Assessment!$J$35&lt;&gt;"","• "&amp;B06_Assessment!$J$35&amp;IF(COUNTA(B06_Assessment!$J$36:$J$36)&gt;0,CHAR(10),""),"")&amp;IF(B06_Assessment!$J$36&lt;&gt;"","• "&amp;B06_Assessment!$J$36,""))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 s="335" t="str">
        <f>IF(COUNTA(B06_Assessment!$J$40:$J$42)=0,"• No telecom / fiber items captured for this building.",IF(B06_Assessment!$J$40&lt;&gt;"","• "&amp;B06_Assessment!$J$40&amp;IF(COUNTA(B06_Assessment!$J$41:$J$42)&gt;0,CHAR(10),""),"")&amp;IF(B06_Assessment!$J$41&lt;&gt;"","• "&amp;B06_Assessment!$J$41&amp;IF(COUNTA(B06_Assessment!$J$42:$J$42)&gt;0,CHAR(10),""),"")&amp;IF(B06_Assessment!$J$42&lt;&gt;"","• "&amp;B06_Assessment!$J$42,""))</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 s="335" t="str">
        <f>IF(COUNTA(B06_Assessment!$J$46:$J$48)=0,"• No security / pacs / cctv items captured for this building.",IF(B06_Assessment!$J$46&lt;&gt;"","• "&amp;B06_Assessment!$J$46&amp;IF(COUNTA(B06_Assessment!$J$47:$J$48)&gt;0,CHAR(10),""),"")&amp;IF(B06_Assessment!$J$47&lt;&gt;"","• "&amp;B06_Assessment!$J$47&amp;IF(COUNTA(B06_Assessment!$J$48:$J$48)&gt;0,CHAR(10),""),"")&amp;IF(B06_Assessment!$J$48&lt;&gt;"","• "&amp;B06_Assessment!$J$48,""))</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I7" s="335" t="str">
        <f>IF(COUNTA(B06_Assessment!$A$52:$A$59)=0,"• No owner risks items captured for this building.",IF(B06_Assessment!$A$52&lt;&gt;"","• "&amp;B06_Assessment!$A$52&amp;" — "&amp;B06_Assessment!$C$52&amp;" ["&amp;B06_Assessment!$I$52&amp;"]"&amp;IF(B06_Assessment!$J$52&lt;&gt;""," — "&amp;B06_Assessment!$J$52,""),"")&amp;IF(B06_Assessment!$A$53&lt;&gt;"",IF(COUNTA(B06_Assessment!$A$52:$A$52)&gt;0,CHAR(10),"")&amp;"• "&amp;B06_Assessment!$A$53&amp;" — "&amp;B06_Assessment!$C$53&amp;" ["&amp;B06_Assessment!$I$53&amp;"]"&amp;IF(B06_Assessment!$J$53&lt;&gt;""," — "&amp;B06_Assessment!$J$53,""),"")&amp;IF(B06_Assessment!$A$54&lt;&gt;"",IF(COUNTA(B06_Assessment!$A$52:$A$53)&gt;0,CHAR(10),"")&amp;"• "&amp;B06_Assessment!$A$54&amp;" — "&amp;B06_Assessment!$C$54&amp;" ["&amp;B06_Assessment!$I$54&amp;"]"&amp;IF(B06_Assessment!$J$54&lt;&gt;""," — "&amp;B06_Assessment!$J$54,""),"")&amp;IF(B06_Assessment!$A$55&lt;&gt;"",IF(COUNTA(B06_Assessment!$A$52:$A$54)&gt;0,CHAR(10),"")&amp;"• "&amp;B06_Assessment!$A$55&amp;" — "&amp;B06_Assessment!$C$55&amp;" ["&amp;B06_Assessment!$I$55&amp;"]"&amp;IF(B06_Assessment!$J$55&lt;&gt;""," — "&amp;B06_Assessment!$J$55,""),"")&amp;IF(B06_Assessment!$A$56&lt;&gt;"",IF(COUNTA(B06_Assessment!$A$52:$A$55)&gt;0,CHAR(10),"")&amp;"• "&amp;B06_Assessment!$A$56&amp;" — "&amp;B06_Assessment!$C$56&amp;" ["&amp;B06_Assessment!$I$56&amp;"]"&amp;IF(B06_Assessment!$J$56&lt;&gt;""," — "&amp;B06_Assessment!$J$56,""),"")&amp;IF(B06_Assessment!$A$57&lt;&gt;"",IF(COUNTA(B06_Assessment!$A$52:$A$56)&gt;0,CHAR(10),"")&amp;"• "&amp;B06_Assessment!$A$57&amp;" — "&amp;B06_Assessment!$C$57&amp;" ["&amp;B06_Assessment!$I$57&amp;"]"&amp;IF(B06_Assessment!$J$57&lt;&gt;""," — "&amp;B06_Assessment!$J$57,""),"")&amp;IF(B06_Assessment!$A$58&lt;&gt;"",IF(COUNTA(B06_Assessment!$A$52:$A$57)&gt;0,CHAR(10),"")&amp;"• "&amp;B06_Assessment!$A$58&amp;" — "&amp;B06_Assessment!$C$58&amp;" ["&amp;B06_Assessment!$I$58&amp;"]"&amp;IF(B06_Assessment!$J$58&lt;&gt;""," — "&amp;B06_Assessment!$J$58,""),"")&amp;IF(B06_Assessment!$A$59&lt;&gt;"",IF(COUNTA(B06_Assessment!$A$52:$A$58)&gt;0,CHAR(10),"")&amp;"• "&amp;B06_Assessment!$A$59&amp;" — "&amp;B06_Assessment!$C$59&amp;" ["&amp;B06_Assessment!$I$59&amp;"]"&amp;IF(B06_Assessment!$J$59&lt;&gt;""," — "&amp;B06_Assessment!$J$59,""),""))</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J7" s="335" t="str">
        <f>IF(COUNTA(B06_Assessment!$A$63:$A$70)=0,"• No open questions items captured for this building.",IF(B06_Assessment!$A$63&lt;&gt;"","• "&amp;B06_Assessment!$A$63&amp;" — "&amp;B06_Assessment!$B$63&amp;" ["&amp;B06_Assessment!$D$63&amp;"]"&amp;IF(B06_Assessment!$G$63&lt;&gt;""," Impact: "&amp;B06_Assessment!$G$63,"")&amp;IF(B06_Assessment!$J$63&lt;&gt;""," — "&amp;B06_Assessment!$J$63,""),"")&amp;IF(B06_Assessment!$A$64&lt;&gt;"",IF(COUNTA(B06_Assessment!$A$63:$A$63)&gt;0,CHAR(10),"")&amp;"• "&amp;B06_Assessment!$A$64&amp;" — "&amp;B06_Assessment!$B$64&amp;" ["&amp;B06_Assessment!$D$64&amp;"]"&amp;IF(B06_Assessment!$G$64&lt;&gt;""," Impact: "&amp;B06_Assessment!$G$64,"")&amp;IF(B06_Assessment!$J$64&lt;&gt;""," — "&amp;B06_Assessment!$J$64,""),"")&amp;IF(B06_Assessment!$A$65&lt;&gt;"",IF(COUNTA(B06_Assessment!$A$63:$A$64)&gt;0,CHAR(10),"")&amp;"• "&amp;B06_Assessment!$A$65&amp;" — "&amp;B06_Assessment!$B$65&amp;" ["&amp;B06_Assessment!$D$65&amp;"]"&amp;IF(B06_Assessment!$G$65&lt;&gt;""," Impact: "&amp;B06_Assessment!$G$65,"")&amp;IF(B06_Assessment!$J$65&lt;&gt;""," — "&amp;B06_Assessment!$J$65,""),"")&amp;IF(B06_Assessment!$A$66&lt;&gt;"",IF(COUNTA(B06_Assessment!$A$63:$A$65)&gt;0,CHAR(10),"")&amp;"• "&amp;B06_Assessment!$A$66&amp;" — "&amp;B06_Assessment!$B$66&amp;" ["&amp;B06_Assessment!$D$66&amp;"]"&amp;IF(B06_Assessment!$G$66&lt;&gt;""," Impact: "&amp;B06_Assessment!$G$66,"")&amp;IF(B06_Assessment!$J$66&lt;&gt;""," — "&amp;B06_Assessment!$J$66,""),"")&amp;IF(B06_Assessment!$A$67&lt;&gt;"",IF(COUNTA(B06_Assessment!$A$63:$A$66)&gt;0,CHAR(10),"")&amp;"• "&amp;B06_Assessment!$A$67&amp;" — "&amp;B06_Assessment!$B$67&amp;" ["&amp;B06_Assessment!$D$67&amp;"]"&amp;IF(B06_Assessment!$G$67&lt;&gt;""," Impact: "&amp;B06_Assessment!$G$67,"")&amp;IF(B06_Assessment!$J$67&lt;&gt;""," — "&amp;B06_Assessment!$J$67,""),"")&amp;IF(B06_Assessment!$A$68&lt;&gt;"",IF(COUNTA(B06_Assessment!$A$63:$A$67)&gt;0,CHAR(10),"")&amp;"• "&amp;B06_Assessment!$A$68&amp;" — "&amp;B06_Assessment!$B$68&amp;" ["&amp;B06_Assessment!$D$68&amp;"]"&amp;IF(B06_Assessment!$G$68&lt;&gt;""," Impact: "&amp;B06_Assessment!$G$68,"")&amp;IF(B06_Assessment!$J$68&lt;&gt;""," — "&amp;B06_Assessment!$J$68,""),"")&amp;IF(B06_Assessment!$A$69&lt;&gt;"",IF(COUNTA(B06_Assessment!$A$63:$A$68)&gt;0,CHAR(10),"")&amp;"• "&amp;B06_Assessment!$A$69&amp;" — "&amp;B06_Assessment!$B$69&amp;" ["&amp;B06_Assessment!$D$69&amp;"]"&amp;IF(B06_Assessment!$G$69&lt;&gt;""," Impact: "&amp;B06_Assessment!$G$69,"")&amp;IF(B06_Assessment!$J$69&lt;&gt;""," — "&amp;B06_Assessment!$J$69,""),"")&amp;IF(B06_Assessment!$A$70&lt;&gt;"",IF(COUNTA(B06_Assessment!$A$63:$A$69)&gt;0,CHAR(10),"")&amp;"• "&amp;B06_Assessment!$A$70&amp;" — "&amp;B06_Assessment!$B$70&amp;" ["&amp;B06_Assessment!$D$70&amp;"]"&amp;IF(B06_Assessment!$G$70&lt;&gt;""," Impact: "&amp;B06_Assessment!$G$70,"")&amp;IF(B06_Assessment!$J$70&lt;&gt;""," — "&amp;B06_Assessment!$J$70,""),""))</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K7" s="335" t="str">
        <f>IFERROR(B06_Assessment!$H$4,"")</f>
        <v>Building 06 has active existing telecom equipment plus new TR work in Rooms 178 and 233; field verification, cutover phasing, cooling, firestopping, and emergency power remain open.</v>
      </c>
    </row>
    <row r="8" spans="1:11" ht="262.14999999999998" customHeight="1">
      <c r="A8" s="546" t="str">
        <f>_Command_Source!A8</f>
        <v>07</v>
      </c>
      <c r="B8" s="546" t="str">
        <f>_Command_Source!C8</f>
        <v>B07</v>
      </c>
      <c r="C8" s="546" t="str">
        <f>_Command_Source!B8</f>
        <v>B07_Assessment</v>
      </c>
      <c r="D8" s="335" t="str">
        <f>IF(COUNTA(B07_Assessment!$J$20:$J$21)=0,"• No fire / life safety items captured for this building.",IF(B07_Assessment!$J$20&lt;&gt;"","• "&amp;B07_Assessment!$J$20&amp;IF(COUNTA(B07_Assessment!$J$21:$J$21)&gt;0,CHAR(10),""),"")&amp;IF(B07_Assessment!$J$21&lt;&gt;"","• "&amp;B07_Assessment!$J$21,""))</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8" s="335" t="str">
        <f>IF(COUNTA(B07_Assessment!$J$25:$J$26)=0,"• No hvac / cooling items captured for this building.",IF(B07_Assessment!$J$25&lt;&gt;"","• "&amp;B07_Assessment!$J$25&amp;IF(COUNTA(B07_Assessment!$J$26:$J$26)&gt;0,CHAR(10),""),"")&amp;IF(B07_Assessment!$J$26&lt;&gt;"","• "&amp;B07_Assessment!$J$26,""))</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8" s="335" t="str">
        <f>IF(COUNTA(B07_Assessment!$J$30:$J$31)=0,"• No electrical / ups items captured for this building.",IF(B07_Assessment!$J$30&lt;&gt;"","• "&amp;B07_Assessment!$J$30&amp;IF(COUNTA(B07_Assessment!$J$31:$J$31)&gt;0,CHAR(10),""),"")&amp;IF(B07_Assessment!$J$31&lt;&gt;"","• "&amp;B07_Assessment!$J$31,""))</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8" s="335" t="str">
        <f>IF(COUNTA(B07_Assessment!$J$35:$J$36)=0,"• No telecom / fiber items captured for this building.",IF(B07_Assessment!$J$35&lt;&gt;"","• "&amp;B07_Assessment!$J$35&amp;IF(COUNTA(B07_Assessment!$J$36:$J$36)&gt;0,CHAR(10),""),"")&amp;IF(B07_Assessment!$J$36&lt;&gt;"","• "&amp;B07_Assessment!$J$36,""))</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8" s="335" t="str">
        <f>IF(COUNTA(B07_Assessment!$J$40:$J$41)=0,"• No security / pacs / cctv items captured for this building.",IF(B07_Assessment!$J$40&lt;&gt;"","• "&amp;B07_Assessment!$J$40&amp;IF(COUNTA(B07_Assessment!$J$41:$J$41)&gt;0,CHAR(10),""),"")&amp;IF(B07_Assessment!$J$41&lt;&gt;"","• "&amp;B07_Assessment!$J$41,""))</f>
        <v>• Verify access control, door hardware and CCTV/PACS integration for basement TR.
• Architectural notes require access control hardware modifications at new rated door; verify card reader, electric strike, door position switch, motion sensor and camera.</v>
      </c>
      <c r="I8" s="335" t="str">
        <f>IF(COUNTA(B07_Assessment!$A$45:$A$52)=0,"• No owner risks items captured for this building.",IF(B07_Assessment!$A$45&lt;&gt;"","• "&amp;B07_Assessment!$A$45&amp;" — "&amp;B07_Assessment!$C$45&amp;" ["&amp;B07_Assessment!$I$45&amp;"]"&amp;IF(B07_Assessment!$J$45&lt;&gt;""," — "&amp;B07_Assessment!$J$45,""),"")&amp;IF(B07_Assessment!$A$46&lt;&gt;"",IF(COUNTA(B07_Assessment!$A$45:$A$45)&gt;0,CHAR(10),"")&amp;"• "&amp;B07_Assessment!$A$46&amp;" — "&amp;B07_Assessment!$C$46&amp;" ["&amp;B07_Assessment!$I$46&amp;"]"&amp;IF(B07_Assessment!$J$46&lt;&gt;""," — "&amp;B07_Assessment!$J$46,""),"")&amp;IF(B07_Assessment!$A$47&lt;&gt;"",IF(COUNTA(B07_Assessment!$A$45:$A$46)&gt;0,CHAR(10),"")&amp;"• "&amp;B07_Assessment!$A$47&amp;" — "&amp;B07_Assessment!$C$47&amp;" ["&amp;B07_Assessment!$I$47&amp;"]"&amp;IF(B07_Assessment!$J$47&lt;&gt;""," — "&amp;B07_Assessment!$J$47,""),"")&amp;IF(B07_Assessment!$A$48&lt;&gt;"",IF(COUNTA(B07_Assessment!$A$45:$A$47)&gt;0,CHAR(10),"")&amp;"• "&amp;B07_Assessment!$A$48&amp;" — "&amp;B07_Assessment!$C$48&amp;" ["&amp;B07_Assessment!$I$48&amp;"]"&amp;IF(B07_Assessment!$J$48&lt;&gt;""," — "&amp;B07_Assessment!$J$48,""),"")&amp;IF(B07_Assessment!$A$49&lt;&gt;"",IF(COUNTA(B07_Assessment!$A$45:$A$48)&gt;0,CHAR(10),"")&amp;"• "&amp;B07_Assessment!$A$49&amp;" — "&amp;B07_Assessment!$C$49&amp;" ["&amp;B07_Assessment!$I$49&amp;"]"&amp;IF(B07_Assessment!$J$49&lt;&gt;""," — "&amp;B07_Assessment!$J$49,""),"")&amp;IF(B07_Assessment!$A$50&lt;&gt;"",IF(COUNTA(B07_Assessment!$A$45:$A$49)&gt;0,CHAR(10),"")&amp;"• "&amp;B07_Assessment!$A$50&amp;" — "&amp;B07_Assessment!$C$50&amp;" ["&amp;B07_Assessment!$I$50&amp;"]"&amp;IF(B07_Assessment!$J$50&lt;&gt;""," — "&amp;B07_Assessment!$J$50,""),"")&amp;IF(B07_Assessment!$A$51&lt;&gt;"",IF(COUNTA(B07_Assessment!$A$45:$A$50)&gt;0,CHAR(10),"")&amp;"• "&amp;B07_Assessment!$A$51&amp;" — "&amp;B07_Assessment!$C$51&amp;" ["&amp;B07_Assessment!$I$51&amp;"]"&amp;IF(B07_Assessment!$J$51&lt;&gt;""," — "&amp;B07_Assessment!$J$51,""),"")&amp;IF(B07_Assessment!$A$52&lt;&gt;"",IF(COUNTA(B07_Assessment!$A$45:$A$51)&gt;0,CHAR(10),"")&amp;"• "&amp;B07_Assessment!$A$52&amp;" — "&amp;B07_Assessment!$C$52&amp;" ["&amp;B07_Assessment!$I$52&amp;"]"&amp;IF(B07_Assessment!$J$52&lt;&gt;""," — "&amp;B07_Assessment!$J$52,""),""))</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J8" s="335" t="str">
        <f>IF(COUNTA(B07_Assessment!$A$56:$A$63)=0,"• No open questions items captured for this building.",IF(B07_Assessment!$A$56&lt;&gt;"","• "&amp;B07_Assessment!$A$56&amp;" — "&amp;B07_Assessment!$B$56&amp;" ["&amp;B07_Assessment!$D$56&amp;"]"&amp;IF(B07_Assessment!$G$56&lt;&gt;""," Impact: "&amp;B07_Assessment!$G$56,"")&amp;IF(B07_Assessment!$J$56&lt;&gt;""," — "&amp;B07_Assessment!$J$56,""),"")&amp;IF(B07_Assessment!$A$57&lt;&gt;"",IF(COUNTA(B07_Assessment!$A$56:$A$56)&gt;0,CHAR(10),"")&amp;"• "&amp;B07_Assessment!$A$57&amp;" — "&amp;B07_Assessment!$B$57&amp;" ["&amp;B07_Assessment!$D$57&amp;"]"&amp;IF(B07_Assessment!$G$57&lt;&gt;""," Impact: "&amp;B07_Assessment!$G$57,"")&amp;IF(B07_Assessment!$J$57&lt;&gt;""," — "&amp;B07_Assessment!$J$57,""),"")&amp;IF(B07_Assessment!$A$58&lt;&gt;"",IF(COUNTA(B07_Assessment!$A$56:$A$57)&gt;0,CHAR(10),"")&amp;"• "&amp;B07_Assessment!$A$58&amp;" — "&amp;B07_Assessment!$B$58&amp;" ["&amp;B07_Assessment!$D$58&amp;"]"&amp;IF(B07_Assessment!$G$58&lt;&gt;""," Impact: "&amp;B07_Assessment!$G$58,"")&amp;IF(B07_Assessment!$J$58&lt;&gt;""," — "&amp;B07_Assessment!$J$58,""),"")&amp;IF(B07_Assessment!$A$59&lt;&gt;"",IF(COUNTA(B07_Assessment!$A$56:$A$58)&gt;0,CHAR(10),"")&amp;"• "&amp;B07_Assessment!$A$59&amp;" — "&amp;B07_Assessment!$B$59&amp;" ["&amp;B07_Assessment!$D$59&amp;"]"&amp;IF(B07_Assessment!$G$59&lt;&gt;""," Impact: "&amp;B07_Assessment!$G$59,"")&amp;IF(B07_Assessment!$J$59&lt;&gt;""," — "&amp;B07_Assessment!$J$59,""),"")&amp;IF(B07_Assessment!$A$60&lt;&gt;"",IF(COUNTA(B07_Assessment!$A$56:$A$59)&gt;0,CHAR(10),"")&amp;"• "&amp;B07_Assessment!$A$60&amp;" — "&amp;B07_Assessment!$B$60&amp;" ["&amp;B07_Assessment!$D$60&amp;"]"&amp;IF(B07_Assessment!$G$60&lt;&gt;""," Impact: "&amp;B07_Assessment!$G$60,"")&amp;IF(B07_Assessment!$J$60&lt;&gt;""," — "&amp;B07_Assessment!$J$60,""),"")&amp;IF(B07_Assessment!$A$61&lt;&gt;"",IF(COUNTA(B07_Assessment!$A$56:$A$60)&gt;0,CHAR(10),"")&amp;"• "&amp;B07_Assessment!$A$61&amp;" — "&amp;B07_Assessment!$B$61&amp;" ["&amp;B07_Assessment!$D$61&amp;"]"&amp;IF(B07_Assessment!$G$61&lt;&gt;""," Impact: "&amp;B07_Assessment!$G$61,"")&amp;IF(B07_Assessment!$J$61&lt;&gt;""," — "&amp;B07_Assessment!$J$61,""),"")&amp;IF(B07_Assessment!$A$62&lt;&gt;"",IF(COUNTA(B07_Assessment!$A$56:$A$61)&gt;0,CHAR(10),"")&amp;"• "&amp;B07_Assessment!$A$62&amp;" — "&amp;B07_Assessment!$B$62&amp;" ["&amp;B07_Assessment!$D$62&amp;"]"&amp;IF(B07_Assessment!$G$62&lt;&gt;""," Impact: "&amp;B07_Assessment!$G$62,"")&amp;IF(B07_Assessment!$J$62&lt;&gt;""," — "&amp;B07_Assessment!$J$62,""),"")&amp;IF(B07_Assessment!$A$63&lt;&gt;"",IF(COUNTA(B07_Assessment!$A$56:$A$62)&gt;0,CHAR(10),"")&amp;"• "&amp;B07_Assessment!$A$63&amp;" — "&amp;B07_Assessment!$B$63&amp;" ["&amp;B07_Assessment!$D$63&amp;"]"&amp;IF(B07_Assessment!$G$63&lt;&gt;""," Impact: "&amp;B07_Assessment!$G$63,"")&amp;IF(B07_Assessment!$J$63&lt;&gt;""," — "&amp;B07_Assessment!$J$63,""),""))</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K8" s="335" t="str">
        <f>IFERROR(B07_Assessment!$H$4,"")</f>
        <v>Building 07 includes basement TR B-18 and second-level TR 228A; field verification, active-service cutover, cooling, firestopping, rated construction, and power source confirmation remain open.</v>
      </c>
    </row>
    <row r="9" spans="1:11" ht="262.14999999999998" customHeight="1">
      <c r="A9" s="546" t="str">
        <f>_Command_Source!A9</f>
        <v>08</v>
      </c>
      <c r="B9" s="546" t="str">
        <f>_Command_Source!C9</f>
        <v>B08</v>
      </c>
      <c r="C9" s="546" t="str">
        <f>_Command_Source!B9</f>
        <v>B08_Assessment</v>
      </c>
      <c r="D9" s="335" t="str">
        <f>IF(COUNTA(B08_Assessment!$J$22:$J$24)=0,"• No fire / life safety items captured for this building.",IF(B08_Assessment!$J$22&lt;&gt;"","• "&amp;B08_Assessment!$J$22&amp;IF(COUNTA(B08_Assessment!$J$23:$J$24)&gt;0,CHAR(10),""),"")&amp;IF(B08_Assessment!$J$23&lt;&gt;"","• "&amp;B08_Assessment!$J$23&amp;IF(COUNTA(B08_Assessment!$J$24:$J$24)&gt;0,CHAR(10),""),"")&amp;IF(B08_Assessment!$J$24&lt;&gt;"","• "&amp;B08_Assessment!$J$24,""))</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9" s="335" t="str">
        <f>IF(COUNTA(B08_Assessment!$J$28:$J$30)=0,"• No hvac / cooling items captured for this building.",IF(B08_Assessment!$J$28&lt;&gt;"","• "&amp;B08_Assessment!$J$28&amp;IF(COUNTA(B08_Assessment!$J$29:$J$30)&gt;0,CHAR(10),""),"")&amp;IF(B08_Assessment!$J$29&lt;&gt;"","• "&amp;B08_Assessment!$J$29&amp;IF(COUNTA(B08_Assessment!$J$30:$J$30)&gt;0,CHAR(10),""),"")&amp;IF(B08_Assessment!$J$30&lt;&gt;"","• "&amp;B08_Assessment!$J$30,""))</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9" s="335" t="str">
        <f>IF(COUNTA(B08_Assessment!$J$34:$J$36)=0,"• No electrical / ups items captured for this building.",IF(B08_Assessment!$J$34&lt;&gt;"","• "&amp;B08_Assessment!$J$34&amp;IF(COUNTA(B08_Assessment!$J$35:$J$36)&gt;0,CHAR(10),""),"")&amp;IF(B08_Assessment!$J$35&lt;&gt;"","• "&amp;B08_Assessment!$J$35&amp;IF(COUNTA(B08_Assessment!$J$36:$J$36)&gt;0,CHAR(10),""),"")&amp;IF(B08_Assessment!$J$36&lt;&gt;"","• "&amp;B08_Assessment!$J$36,""))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9" s="335" t="str">
        <f>IF(COUNTA(B08_Assessment!$J$40:$J$42)=0,"• No telecom / fiber items captured for this building.",IF(B08_Assessment!$J$40&lt;&gt;"","• "&amp;B08_Assessment!$J$40&amp;IF(COUNTA(B08_Assessment!$J$41:$J$42)&gt;0,CHAR(10),""),"")&amp;IF(B08_Assessment!$J$41&lt;&gt;"","• "&amp;B08_Assessment!$J$41&amp;IF(COUNTA(B08_Assessment!$J$42:$J$42)&gt;0,CHAR(10),""),"")&amp;IF(B08_Assessment!$J$42&lt;&gt;"","• "&amp;B08_Assessment!$J$42,""))</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9" s="335" t="str">
        <f>IF(COUNTA(B08_Assessment!$J$46:$J$48)=0,"• No security / pacs / cctv items captured for this building.",IF(B08_Assessment!$J$46&lt;&gt;"","• "&amp;B08_Assessment!$J$46&amp;IF(COUNTA(B08_Assessment!$J$47:$J$48)&gt;0,CHAR(10),""),"")&amp;IF(B08_Assessment!$J$47&lt;&gt;"","• "&amp;B08_Assessment!$J$47&amp;IF(COUNTA(B08_Assessment!$J$48:$J$48)&gt;0,CHAR(10),""),"")&amp;IF(B08_Assessment!$J$48&lt;&gt;"","• "&amp;B08_Assessment!$J$48,""))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I9" s="335" t="str">
        <f>IF(COUNTA(B08_Assessment!$A$52:$A$59)=0,"• No owner risks items captured for this building.",IF(B08_Assessment!$A$52&lt;&gt;"","• "&amp;B08_Assessment!$A$52&amp;" — "&amp;B08_Assessment!$C$52&amp;" ["&amp;B08_Assessment!$I$52&amp;"]"&amp;IF(B08_Assessment!$J$52&lt;&gt;""," — "&amp;B08_Assessment!$J$52,""),"")&amp;IF(B08_Assessment!$A$53&lt;&gt;"",IF(COUNTA(B08_Assessment!$A$52:$A$52)&gt;0,CHAR(10),"")&amp;"• "&amp;B08_Assessment!$A$53&amp;" — "&amp;B08_Assessment!$C$53&amp;" ["&amp;B08_Assessment!$I$53&amp;"]"&amp;IF(B08_Assessment!$J$53&lt;&gt;""," — "&amp;B08_Assessment!$J$53,""),"")&amp;IF(B08_Assessment!$A$54&lt;&gt;"",IF(COUNTA(B08_Assessment!$A$52:$A$53)&gt;0,CHAR(10),"")&amp;"• "&amp;B08_Assessment!$A$54&amp;" — "&amp;B08_Assessment!$C$54&amp;" ["&amp;B08_Assessment!$I$54&amp;"]"&amp;IF(B08_Assessment!$J$54&lt;&gt;""," — "&amp;B08_Assessment!$J$54,""),"")&amp;IF(B08_Assessment!$A$55&lt;&gt;"",IF(COUNTA(B08_Assessment!$A$52:$A$54)&gt;0,CHAR(10),"")&amp;"• "&amp;B08_Assessment!$A$55&amp;" — "&amp;B08_Assessment!$C$55&amp;" ["&amp;B08_Assessment!$I$55&amp;"]"&amp;IF(B08_Assessment!$J$55&lt;&gt;""," — "&amp;B08_Assessment!$J$55,""),"")&amp;IF(B08_Assessment!$A$56&lt;&gt;"",IF(COUNTA(B08_Assessment!$A$52:$A$55)&gt;0,CHAR(10),"")&amp;"• "&amp;B08_Assessment!$A$56&amp;" — "&amp;B08_Assessment!$C$56&amp;" ["&amp;B08_Assessment!$I$56&amp;"]"&amp;IF(B08_Assessment!$J$56&lt;&gt;""," — "&amp;B08_Assessment!$J$56,""),"")&amp;IF(B08_Assessment!$A$57&lt;&gt;"",IF(COUNTA(B08_Assessment!$A$52:$A$56)&gt;0,CHAR(10),"")&amp;"• "&amp;B08_Assessment!$A$57&amp;" — "&amp;B08_Assessment!$C$57&amp;" ["&amp;B08_Assessment!$I$57&amp;"]"&amp;IF(B08_Assessment!$J$57&lt;&gt;""," — "&amp;B08_Assessment!$J$57,""),"")&amp;IF(B08_Assessment!$A$58&lt;&gt;"",IF(COUNTA(B08_Assessment!$A$52:$A$57)&gt;0,CHAR(10),"")&amp;"• "&amp;B08_Assessment!$A$58&amp;" — "&amp;B08_Assessment!$C$58&amp;" ["&amp;B08_Assessment!$I$58&amp;"]"&amp;IF(B08_Assessment!$J$58&lt;&gt;""," — "&amp;B08_Assessment!$J$58,""),"")&amp;IF(B08_Assessment!$A$59&lt;&gt;"",IF(COUNTA(B08_Assessment!$A$52:$A$58)&gt;0,CHAR(10),"")&amp;"• "&amp;B08_Assessment!$A$59&amp;" — "&amp;B08_Assessment!$C$59&amp;" ["&amp;B08_Assessment!$I$59&amp;"]"&amp;IF(B08_Assessment!$J$59&lt;&gt;""," — "&amp;B08_Assessment!$J$59,""),""))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J9" s="335" t="str">
        <f>IF(COUNTA(B08_Assessment!$A$63:$A$70)=0,"• No open questions items captured for this building.",IF(B08_Assessment!$A$63&lt;&gt;"","• "&amp;B08_Assessment!$A$63&amp;" — "&amp;B08_Assessment!$B$63&amp;" ["&amp;B08_Assessment!$D$63&amp;"]"&amp;IF(B08_Assessment!$G$63&lt;&gt;""," Impact: "&amp;B08_Assessment!$G$63,"")&amp;IF(B08_Assessment!$J$63&lt;&gt;""," — "&amp;B08_Assessment!$J$63,""),"")&amp;IF(B08_Assessment!$A$64&lt;&gt;"",IF(COUNTA(B08_Assessment!$A$63:$A$63)&gt;0,CHAR(10),"")&amp;"• "&amp;B08_Assessment!$A$64&amp;" — "&amp;B08_Assessment!$B$64&amp;" ["&amp;B08_Assessment!$D$64&amp;"]"&amp;IF(B08_Assessment!$G$64&lt;&gt;""," Impact: "&amp;B08_Assessment!$G$64,"")&amp;IF(B08_Assessment!$J$64&lt;&gt;""," — "&amp;B08_Assessment!$J$64,""),"")&amp;IF(B08_Assessment!$A$65&lt;&gt;"",IF(COUNTA(B08_Assessment!$A$63:$A$64)&gt;0,CHAR(10),"")&amp;"• "&amp;B08_Assessment!$A$65&amp;" — "&amp;B08_Assessment!$B$65&amp;" ["&amp;B08_Assessment!$D$65&amp;"]"&amp;IF(B08_Assessment!$G$65&lt;&gt;""," Impact: "&amp;B08_Assessment!$G$65,"")&amp;IF(B08_Assessment!$J$65&lt;&gt;""," — "&amp;B08_Assessment!$J$65,""),"")&amp;IF(B08_Assessment!$A$66&lt;&gt;"",IF(COUNTA(B08_Assessment!$A$63:$A$65)&gt;0,CHAR(10),"")&amp;"• "&amp;B08_Assessment!$A$66&amp;" — "&amp;B08_Assessment!$B$66&amp;" ["&amp;B08_Assessment!$D$66&amp;"]"&amp;IF(B08_Assessment!$G$66&lt;&gt;""," Impact: "&amp;B08_Assessment!$G$66,"")&amp;IF(B08_Assessment!$J$66&lt;&gt;""," — "&amp;B08_Assessment!$J$66,""),"")&amp;IF(B08_Assessment!$A$67&lt;&gt;"",IF(COUNTA(B08_Assessment!$A$63:$A$66)&gt;0,CHAR(10),"")&amp;"• "&amp;B08_Assessment!$A$67&amp;" — "&amp;B08_Assessment!$B$67&amp;" ["&amp;B08_Assessment!$D$67&amp;"]"&amp;IF(B08_Assessment!$G$67&lt;&gt;""," Impact: "&amp;B08_Assessment!$G$67,"")&amp;IF(B08_Assessment!$J$67&lt;&gt;""," — "&amp;B08_Assessment!$J$67,""),"")&amp;IF(B08_Assessment!$A$68&lt;&gt;"",IF(COUNTA(B08_Assessment!$A$63:$A$67)&gt;0,CHAR(10),"")&amp;"• "&amp;B08_Assessment!$A$68&amp;" — "&amp;B08_Assessment!$B$68&amp;" ["&amp;B08_Assessment!$D$68&amp;"]"&amp;IF(B08_Assessment!$G$68&lt;&gt;""," Impact: "&amp;B08_Assessment!$G$68,"")&amp;IF(B08_Assessment!$J$68&lt;&gt;""," — "&amp;B08_Assessment!$J$68,""),"")&amp;IF(B08_Assessment!$A$69&lt;&gt;"",IF(COUNTA(B08_Assessment!$A$63:$A$68)&gt;0,CHAR(10),"")&amp;"• "&amp;B08_Assessment!$A$69&amp;" — "&amp;B08_Assessment!$B$69&amp;" ["&amp;B08_Assessment!$D$69&amp;"]"&amp;IF(B08_Assessment!$G$69&lt;&gt;""," Impact: "&amp;B08_Assessment!$G$69,"")&amp;IF(B08_Assessment!$J$69&lt;&gt;""," — "&amp;B08_Assessment!$J$69,""),"")&amp;IF(B08_Assessment!$A$70&lt;&gt;"",IF(COUNTA(B08_Assessment!$A$63:$A$69)&gt;0,CHAR(10),"")&amp;"• "&amp;B08_Assessment!$A$70&amp;" — "&amp;B08_Assessment!$B$70&amp;" ["&amp;B08_Assessment!$D$70&amp;"]"&amp;IF(B08_Assessment!$G$70&lt;&gt;""," Impact: "&amp;B08_Assessment!$G$70,"")&amp;IF(B08_Assessment!$J$70&lt;&gt;""," — "&amp;B08_Assessment!$J$70,""),""))</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K9" s="335" t="str">
        <f>IFERROR(B08_Assessment!$H$4,"")</f>
        <v>Building 08 includes existing basement telecom equipment at B-15, basement TE/cabling scope at B12B, and new second-level TR 2065A; field verification, abatement, rated construction, cooling/power, firestopping, and cutover phasing remain open.</v>
      </c>
    </row>
    <row r="10" spans="1:11" ht="262.14999999999998" customHeight="1">
      <c r="A10" s="546" t="str">
        <f>_Command_Source!A10</f>
        <v>09</v>
      </c>
      <c r="B10" s="546" t="str">
        <f>_Command_Source!C10</f>
        <v>B09</v>
      </c>
      <c r="C10" s="546" t="str">
        <f>_Command_Source!B10</f>
        <v>B09_Assessment</v>
      </c>
      <c r="D10" s="335" t="str">
        <f>IF(COUNTA(B09_Assessment!$J$22:$J$24)=0,"• No fire / life safety items captured for this building.",IF(B09_Assessment!$J$22&lt;&gt;"","• "&amp;B09_Assessment!$J$22&amp;IF(COUNTA(B09_Assessment!$J$23:$J$24)&gt;0,CHAR(10),""),"")&amp;IF(B09_Assessment!$J$23&lt;&gt;"","• "&amp;B09_Assessment!$J$23&amp;IF(COUNTA(B09_Assessment!$J$24:$J$24)&gt;0,CHAR(10),""),"")&amp;IF(B09_Assessment!$J$24&lt;&gt;"","• "&amp;B09_Assessment!$J$24,""))</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0" s="335" t="str">
        <f>IF(COUNTA(B09_Assessment!$J$28:$J$30)=0,"• No hvac / cooling items captured for this building.",IF(B09_Assessment!$J$28&lt;&gt;"","• "&amp;B09_Assessment!$J$28&amp;IF(COUNTA(B09_Assessment!$J$29:$J$30)&gt;0,CHAR(10),""),"")&amp;IF(B09_Assessment!$J$29&lt;&gt;"","• "&amp;B09_Assessment!$J$29&amp;IF(COUNTA(B09_Assessment!$J$30:$J$30)&gt;0,CHAR(10),""),"")&amp;IF(B09_Assessment!$J$30&lt;&gt;"","• "&amp;B09_Assessment!$J$30,""))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0" s="335" t="str">
        <f>IF(COUNTA(B09_Assessment!$J$34:$J$36)=0,"• No electrical / ups items captured for this building.",IF(B09_Assessment!$J$34&lt;&gt;"","• "&amp;B09_Assessment!$J$34&amp;IF(COUNTA(B09_Assessment!$J$35:$J$36)&gt;0,CHAR(10),""),"")&amp;IF(B09_Assessment!$J$35&lt;&gt;"","• "&amp;B09_Assessment!$J$35&amp;IF(COUNTA(B09_Assessment!$J$36:$J$36)&gt;0,CHAR(10),""),"")&amp;IF(B09_Assessment!$J$36&lt;&gt;"","• "&amp;B09_Assessment!$J$36,""))</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0" s="335" t="str">
        <f>IF(COUNTA(B09_Assessment!$J$40:$J$42)=0,"• No telecom / fiber items captured for this building.",IF(B09_Assessment!$J$40&lt;&gt;"","• "&amp;B09_Assessment!$J$40&amp;IF(COUNTA(B09_Assessment!$J$41:$J$42)&gt;0,CHAR(10),""),"")&amp;IF(B09_Assessment!$J$41&lt;&gt;"","• "&amp;B09_Assessment!$J$41&amp;IF(COUNTA(B09_Assessment!$J$42:$J$42)&gt;0,CHAR(10),""),"")&amp;IF(B09_Assessment!$J$42&lt;&gt;"","• "&amp;B09_Assessment!$J$42,""))</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0" s="335" t="str">
        <f>IF(COUNTA(B09_Assessment!$J$46:$J$48)=0,"• No security / pacs / cctv items captured for this building.",IF(B09_Assessment!$J$46&lt;&gt;"","• "&amp;B09_Assessment!$J$46&amp;IF(COUNTA(B09_Assessment!$J$47:$J$48)&gt;0,CHAR(10),""),"")&amp;IF(B09_Assessment!$J$47&lt;&gt;"","• "&amp;B09_Assessment!$J$47&amp;IF(COUNTA(B09_Assessment!$J$48:$J$48)&gt;0,CHAR(10),""),"")&amp;IF(B09_Assessment!$J$48&lt;&gt;"","• "&amp;B09_Assessment!$J$48,""))</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I10" s="335" t="str">
        <f>IF(COUNTA(B09_Assessment!$A$52:$A$59)=0,"• No owner risks items captured for this building.",IF(B09_Assessment!$A$52&lt;&gt;"","• "&amp;B09_Assessment!$A$52&amp;" — "&amp;B09_Assessment!$C$52&amp;" ["&amp;B09_Assessment!$I$52&amp;"]"&amp;IF(B09_Assessment!$J$52&lt;&gt;""," — "&amp;B09_Assessment!$J$52,""),"")&amp;IF(B09_Assessment!$A$53&lt;&gt;"",IF(COUNTA(B09_Assessment!$A$52:$A$52)&gt;0,CHAR(10),"")&amp;"• "&amp;B09_Assessment!$A$53&amp;" — "&amp;B09_Assessment!$C$53&amp;" ["&amp;B09_Assessment!$I$53&amp;"]"&amp;IF(B09_Assessment!$J$53&lt;&gt;""," — "&amp;B09_Assessment!$J$53,""),"")&amp;IF(B09_Assessment!$A$54&lt;&gt;"",IF(COUNTA(B09_Assessment!$A$52:$A$53)&gt;0,CHAR(10),"")&amp;"• "&amp;B09_Assessment!$A$54&amp;" — "&amp;B09_Assessment!$C$54&amp;" ["&amp;B09_Assessment!$I$54&amp;"]"&amp;IF(B09_Assessment!$J$54&lt;&gt;""," — "&amp;B09_Assessment!$J$54,""),"")&amp;IF(B09_Assessment!$A$55&lt;&gt;"",IF(COUNTA(B09_Assessment!$A$52:$A$54)&gt;0,CHAR(10),"")&amp;"• "&amp;B09_Assessment!$A$55&amp;" — "&amp;B09_Assessment!$C$55&amp;" ["&amp;B09_Assessment!$I$55&amp;"]"&amp;IF(B09_Assessment!$J$55&lt;&gt;""," — "&amp;B09_Assessment!$J$55,""),"")&amp;IF(B09_Assessment!$A$56&lt;&gt;"",IF(COUNTA(B09_Assessment!$A$52:$A$55)&gt;0,CHAR(10),"")&amp;"• "&amp;B09_Assessment!$A$56&amp;" — "&amp;B09_Assessment!$C$56&amp;" ["&amp;B09_Assessment!$I$56&amp;"]"&amp;IF(B09_Assessment!$J$56&lt;&gt;""," — "&amp;B09_Assessment!$J$56,""),"")&amp;IF(B09_Assessment!$A$57&lt;&gt;"",IF(COUNTA(B09_Assessment!$A$52:$A$56)&gt;0,CHAR(10),"")&amp;"• "&amp;B09_Assessment!$A$57&amp;" — "&amp;B09_Assessment!$C$57&amp;" ["&amp;B09_Assessment!$I$57&amp;"]"&amp;IF(B09_Assessment!$J$57&lt;&gt;""," — "&amp;B09_Assessment!$J$57,""),"")&amp;IF(B09_Assessment!$A$58&lt;&gt;"",IF(COUNTA(B09_Assessment!$A$52:$A$57)&gt;0,CHAR(10),"")&amp;"• "&amp;B09_Assessment!$A$58&amp;" — "&amp;B09_Assessment!$C$58&amp;" ["&amp;B09_Assessment!$I$58&amp;"]"&amp;IF(B09_Assessment!$J$58&lt;&gt;""," — "&amp;B09_Assessment!$J$58,""),"")&amp;IF(B09_Assessment!$A$59&lt;&gt;"",IF(COUNTA(B09_Assessment!$A$52:$A$58)&gt;0,CHAR(10),"")&amp;"• "&amp;B09_Assessment!$A$59&amp;" — "&amp;B09_Assessment!$C$59&amp;" ["&amp;B09_Assessment!$I$59&amp;"]"&amp;IF(B09_Assessment!$J$59&lt;&gt;""," — "&amp;B09_Assessment!$J$59,""),""))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J10" s="335" t="str">
        <f>IF(COUNTA(B09_Assessment!$A$63:$A$70)=0,"• No open questions items captured for this building.",IF(B09_Assessment!$A$63&lt;&gt;"","• "&amp;B09_Assessment!$A$63&amp;" — "&amp;B09_Assessment!$B$63&amp;" ["&amp;B09_Assessment!$D$63&amp;"]"&amp;IF(B09_Assessment!$G$63&lt;&gt;""," Impact: "&amp;B09_Assessment!$G$63,"")&amp;IF(B09_Assessment!$J$63&lt;&gt;""," — "&amp;B09_Assessment!$J$63,""),"")&amp;IF(B09_Assessment!$A$64&lt;&gt;"",IF(COUNTA(B09_Assessment!$A$63:$A$63)&gt;0,CHAR(10),"")&amp;"• "&amp;B09_Assessment!$A$64&amp;" — "&amp;B09_Assessment!$B$64&amp;" ["&amp;B09_Assessment!$D$64&amp;"]"&amp;IF(B09_Assessment!$G$64&lt;&gt;""," Impact: "&amp;B09_Assessment!$G$64,"")&amp;IF(B09_Assessment!$J$64&lt;&gt;""," — "&amp;B09_Assessment!$J$64,""),"")&amp;IF(B09_Assessment!$A$65&lt;&gt;"",IF(COUNTA(B09_Assessment!$A$63:$A$64)&gt;0,CHAR(10),"")&amp;"• "&amp;B09_Assessment!$A$65&amp;" — "&amp;B09_Assessment!$B$65&amp;" ["&amp;B09_Assessment!$D$65&amp;"]"&amp;IF(B09_Assessment!$G$65&lt;&gt;""," Impact: "&amp;B09_Assessment!$G$65,"")&amp;IF(B09_Assessment!$J$65&lt;&gt;""," — "&amp;B09_Assessment!$J$65,""),"")&amp;IF(B09_Assessment!$A$66&lt;&gt;"",IF(COUNTA(B09_Assessment!$A$63:$A$65)&gt;0,CHAR(10),"")&amp;"• "&amp;B09_Assessment!$A$66&amp;" — "&amp;B09_Assessment!$B$66&amp;" ["&amp;B09_Assessment!$D$66&amp;"]"&amp;IF(B09_Assessment!$G$66&lt;&gt;""," Impact: "&amp;B09_Assessment!$G$66,"")&amp;IF(B09_Assessment!$J$66&lt;&gt;""," — "&amp;B09_Assessment!$J$66,""),"")&amp;IF(B09_Assessment!$A$67&lt;&gt;"",IF(COUNTA(B09_Assessment!$A$63:$A$66)&gt;0,CHAR(10),"")&amp;"• "&amp;B09_Assessment!$A$67&amp;" — "&amp;B09_Assessment!$B$67&amp;" ["&amp;B09_Assessment!$D$67&amp;"]"&amp;IF(B09_Assessment!$G$67&lt;&gt;""," Impact: "&amp;B09_Assessment!$G$67,"")&amp;IF(B09_Assessment!$J$67&lt;&gt;""," — "&amp;B09_Assessment!$J$67,""),"")&amp;IF(B09_Assessment!$A$68&lt;&gt;"",IF(COUNTA(B09_Assessment!$A$63:$A$67)&gt;0,CHAR(10),"")&amp;"• "&amp;B09_Assessment!$A$68&amp;" — "&amp;B09_Assessment!$B$68&amp;" ["&amp;B09_Assessment!$D$68&amp;"]"&amp;IF(B09_Assessment!$G$68&lt;&gt;""," Impact: "&amp;B09_Assessment!$G$68,"")&amp;IF(B09_Assessment!$J$68&lt;&gt;""," — "&amp;B09_Assessment!$J$68,""),"")&amp;IF(B09_Assessment!$A$69&lt;&gt;"",IF(COUNTA(B09_Assessment!$A$63:$A$68)&gt;0,CHAR(10),"")&amp;"• "&amp;B09_Assessment!$A$69&amp;" — "&amp;B09_Assessment!$B$69&amp;" ["&amp;B09_Assessment!$D$69&amp;"]"&amp;IF(B09_Assessment!$G$69&lt;&gt;""," Impact: "&amp;B09_Assessment!$G$69,"")&amp;IF(B09_Assessment!$J$69&lt;&gt;""," — "&amp;B09_Assessment!$J$69,""),"")&amp;IF(B09_Assessment!$A$70&lt;&gt;"",IF(COUNTA(B09_Assessment!$A$63:$A$69)&gt;0,CHAR(10),"")&amp;"• "&amp;B09_Assessment!$A$70&amp;" — "&amp;B09_Assessment!$B$70&amp;" ["&amp;B09_Assessment!$D$70&amp;"]"&amp;IF(B09_Assessment!$G$70&lt;&gt;""," Impact: "&amp;B09_Assessment!$G$70,"")&amp;IF(B09_Assessment!$J$70&lt;&gt;""," — "&amp;B09_Assessment!$J$70,""),""))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K10" s="335" t="str">
        <f>IFERROR(B09_Assessment!$H$4,"")</f>
        <v>Building 09 includes three telecom spaces across basement, first, and second levels; field verification, hazardous material coordination, active service cutover, cooling, power/panel source, firestopping, and rated wall/door work remain open.</v>
      </c>
    </row>
    <row r="11" spans="1:11" ht="262.14999999999998" customHeight="1">
      <c r="A11" s="546" t="str">
        <f>_Command_Source!A11</f>
        <v>10</v>
      </c>
      <c r="B11" s="546" t="str">
        <f>_Command_Source!C11</f>
        <v>B10</v>
      </c>
      <c r="C11" s="546" t="str">
        <f>_Command_Source!B11</f>
        <v>B10_Assessment</v>
      </c>
      <c r="D11" s="335" t="str">
        <f>IF(COUNTA(B10_Assessment!$J$22:$J$24)=0,"• No fire / life safety items captured for this building.",IF(B10_Assessment!$J$22&lt;&gt;"","• "&amp;B10_Assessment!$J$22&amp;IF(COUNTA(B10_Assessment!$J$23:$J$24)&gt;0,CHAR(10),""),"")&amp;IF(B10_Assessment!$J$23&lt;&gt;"","• "&amp;B10_Assessment!$J$23&amp;IF(COUNTA(B10_Assessment!$J$24:$J$24)&gt;0,CHAR(10),""),"")&amp;IF(B10_Assessment!$J$24&lt;&gt;"","• "&amp;B10_Assessment!$J$24,""))</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1" s="335" t="str">
        <f>IF(COUNTA(B10_Assessment!$J$28:$J$30)=0,"• No hvac / cooling items captured for this building.",IF(B10_Assessment!$J$28&lt;&gt;"","• "&amp;B10_Assessment!$J$28&amp;IF(COUNTA(B10_Assessment!$J$29:$J$30)&gt;0,CHAR(10),""),"")&amp;IF(B10_Assessment!$J$29&lt;&gt;"","• "&amp;B10_Assessment!$J$29&amp;IF(COUNTA(B10_Assessment!$J$30:$J$30)&gt;0,CHAR(10),""),"")&amp;IF(B10_Assessment!$J$30&lt;&gt;"","• "&amp;B10_Assessment!$J$30,""))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1" s="335" t="str">
        <f>IF(COUNTA(B10_Assessment!$J$34:$J$36)=0,"• No electrical / ups items captured for this building.",IF(B10_Assessment!$J$34&lt;&gt;"","• "&amp;B10_Assessment!$J$34&amp;IF(COUNTA(B10_Assessment!$J$35:$J$36)&gt;0,CHAR(10),""),"")&amp;IF(B10_Assessment!$J$35&lt;&gt;"","• "&amp;B10_Assessment!$J$35&amp;IF(COUNTA(B10_Assessment!$J$36:$J$36)&gt;0,CHAR(10),""),"")&amp;IF(B10_Assessment!$J$36&lt;&gt;"","• "&amp;B10_Assessment!$J$36,""))</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1" s="335" t="str">
        <f>IF(COUNTA(B10_Assessment!$J$40:$J$42)=0,"• No telecom / fiber items captured for this building.",IF(B10_Assessment!$J$40&lt;&gt;"","• "&amp;B10_Assessment!$J$40&amp;IF(COUNTA(B10_Assessment!$J$41:$J$42)&gt;0,CHAR(10),""),"")&amp;IF(B10_Assessment!$J$41&lt;&gt;"","• "&amp;B10_Assessment!$J$41&amp;IF(COUNTA(B10_Assessment!$J$42:$J$42)&gt;0,CHAR(10),""),"")&amp;IF(B10_Assessment!$J$42&lt;&gt;"","• "&amp;B10_Assessment!$J$42,""))</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1" s="335" t="str">
        <f>IF(COUNTA(B10_Assessment!$J$46:$J$48)=0,"• No security / pacs / cctv items captured for this building.",IF(B10_Assessment!$J$46&lt;&gt;"","• "&amp;B10_Assessment!$J$46&amp;IF(COUNTA(B10_Assessment!$J$47:$J$48)&gt;0,CHAR(10),""),"")&amp;IF(B10_Assessment!$J$47&lt;&gt;"","• "&amp;B10_Assessment!$J$47&amp;IF(COUNTA(B10_Assessment!$J$48:$J$48)&gt;0,CHAR(10),""),"")&amp;IF(B10_Assessment!$J$48&lt;&gt;"","• "&amp;B10_Assessment!$J$48,""))</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I11" s="335" t="str">
        <f>IF(COUNTA(B10_Assessment!$A$52:$A$59)=0,"• No owner risks items captured for this building.",IF(B10_Assessment!$A$52&lt;&gt;"","• "&amp;B10_Assessment!$A$52&amp;" — "&amp;B10_Assessment!$C$52&amp;" ["&amp;B10_Assessment!$I$52&amp;"]"&amp;IF(B10_Assessment!$J$52&lt;&gt;""," — "&amp;B10_Assessment!$J$52,""),"")&amp;IF(B10_Assessment!$A$53&lt;&gt;"",IF(COUNTA(B10_Assessment!$A$52:$A$52)&gt;0,CHAR(10),"")&amp;"• "&amp;B10_Assessment!$A$53&amp;" — "&amp;B10_Assessment!$C$53&amp;" ["&amp;B10_Assessment!$I$53&amp;"]"&amp;IF(B10_Assessment!$J$53&lt;&gt;""," — "&amp;B10_Assessment!$J$53,""),"")&amp;IF(B10_Assessment!$A$54&lt;&gt;"",IF(COUNTA(B10_Assessment!$A$52:$A$53)&gt;0,CHAR(10),"")&amp;"• "&amp;B10_Assessment!$A$54&amp;" — "&amp;B10_Assessment!$C$54&amp;" ["&amp;B10_Assessment!$I$54&amp;"]"&amp;IF(B10_Assessment!$J$54&lt;&gt;""," — "&amp;B10_Assessment!$J$54,""),"")&amp;IF(B10_Assessment!$A$55&lt;&gt;"",IF(COUNTA(B10_Assessment!$A$52:$A$54)&gt;0,CHAR(10),"")&amp;"• "&amp;B10_Assessment!$A$55&amp;" — "&amp;B10_Assessment!$C$55&amp;" ["&amp;B10_Assessment!$I$55&amp;"]"&amp;IF(B10_Assessment!$J$55&lt;&gt;""," — "&amp;B10_Assessment!$J$55,""),"")&amp;IF(B10_Assessment!$A$56&lt;&gt;"",IF(COUNTA(B10_Assessment!$A$52:$A$55)&gt;0,CHAR(10),"")&amp;"• "&amp;B10_Assessment!$A$56&amp;" — "&amp;B10_Assessment!$C$56&amp;" ["&amp;B10_Assessment!$I$56&amp;"]"&amp;IF(B10_Assessment!$J$56&lt;&gt;""," — "&amp;B10_Assessment!$J$56,""),"")&amp;IF(B10_Assessment!$A$57&lt;&gt;"",IF(COUNTA(B10_Assessment!$A$52:$A$56)&gt;0,CHAR(10),"")&amp;"• "&amp;B10_Assessment!$A$57&amp;" — "&amp;B10_Assessment!$C$57&amp;" ["&amp;B10_Assessment!$I$57&amp;"]"&amp;IF(B10_Assessment!$J$57&lt;&gt;""," — "&amp;B10_Assessment!$J$57,""),"")&amp;IF(B10_Assessment!$A$58&lt;&gt;"",IF(COUNTA(B10_Assessment!$A$52:$A$57)&gt;0,CHAR(10),"")&amp;"• "&amp;B10_Assessment!$A$58&amp;" — "&amp;B10_Assessment!$C$58&amp;" ["&amp;B10_Assessment!$I$58&amp;"]"&amp;IF(B10_Assessment!$J$58&lt;&gt;""," — "&amp;B10_Assessment!$J$58,""),"")&amp;IF(B10_Assessment!$A$59&lt;&gt;"",IF(COUNTA(B10_Assessment!$A$52:$A$58)&gt;0,CHAR(10),"")&amp;"• "&amp;B10_Assessment!$A$59&amp;" — "&amp;B10_Assessment!$C$59&amp;" ["&amp;B10_Assessment!$I$59&amp;"]"&amp;IF(B10_Assessment!$J$59&lt;&gt;""," — "&amp;B10_Assessment!$J$59,""),""))</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J11" s="335" t="str">
        <f>IF(COUNTA(B10_Assessment!$A$63:$A$70)=0,"• No open questions items captured for this building.",IF(B10_Assessment!$A$63&lt;&gt;"","• "&amp;B10_Assessment!$A$63&amp;" — "&amp;B10_Assessment!$B$63&amp;" ["&amp;B10_Assessment!$D$63&amp;"]"&amp;IF(B10_Assessment!$G$63&lt;&gt;""," Impact: "&amp;B10_Assessment!$G$63,"")&amp;IF(B10_Assessment!$J$63&lt;&gt;""," — "&amp;B10_Assessment!$J$63,""),"")&amp;IF(B10_Assessment!$A$64&lt;&gt;"",IF(COUNTA(B10_Assessment!$A$63:$A$63)&gt;0,CHAR(10),"")&amp;"• "&amp;B10_Assessment!$A$64&amp;" — "&amp;B10_Assessment!$B$64&amp;" ["&amp;B10_Assessment!$D$64&amp;"]"&amp;IF(B10_Assessment!$G$64&lt;&gt;""," Impact: "&amp;B10_Assessment!$G$64,"")&amp;IF(B10_Assessment!$J$64&lt;&gt;""," — "&amp;B10_Assessment!$J$64,""),"")&amp;IF(B10_Assessment!$A$65&lt;&gt;"",IF(COUNTA(B10_Assessment!$A$63:$A$64)&gt;0,CHAR(10),"")&amp;"• "&amp;B10_Assessment!$A$65&amp;" — "&amp;B10_Assessment!$B$65&amp;" ["&amp;B10_Assessment!$D$65&amp;"]"&amp;IF(B10_Assessment!$G$65&lt;&gt;""," Impact: "&amp;B10_Assessment!$G$65,"")&amp;IF(B10_Assessment!$J$65&lt;&gt;""," — "&amp;B10_Assessment!$J$65,""),"")&amp;IF(B10_Assessment!$A$66&lt;&gt;"",IF(COUNTA(B10_Assessment!$A$63:$A$65)&gt;0,CHAR(10),"")&amp;"• "&amp;B10_Assessment!$A$66&amp;" — "&amp;B10_Assessment!$B$66&amp;" ["&amp;B10_Assessment!$D$66&amp;"]"&amp;IF(B10_Assessment!$G$66&lt;&gt;""," Impact: "&amp;B10_Assessment!$G$66,"")&amp;IF(B10_Assessment!$J$66&lt;&gt;""," — "&amp;B10_Assessment!$J$66,""),"")&amp;IF(B10_Assessment!$A$67&lt;&gt;"",IF(COUNTA(B10_Assessment!$A$63:$A$66)&gt;0,CHAR(10),"")&amp;"• "&amp;B10_Assessment!$A$67&amp;" — "&amp;B10_Assessment!$B$67&amp;" ["&amp;B10_Assessment!$D$67&amp;"]"&amp;IF(B10_Assessment!$G$67&lt;&gt;""," Impact: "&amp;B10_Assessment!$G$67,"")&amp;IF(B10_Assessment!$J$67&lt;&gt;""," — "&amp;B10_Assessment!$J$67,""),"")&amp;IF(B10_Assessment!$A$68&lt;&gt;"",IF(COUNTA(B10_Assessment!$A$63:$A$67)&gt;0,CHAR(10),"")&amp;"• "&amp;B10_Assessment!$A$68&amp;" — "&amp;B10_Assessment!$B$68&amp;" ["&amp;B10_Assessment!$D$68&amp;"]"&amp;IF(B10_Assessment!$G$68&lt;&gt;""," Impact: "&amp;B10_Assessment!$G$68,"")&amp;IF(B10_Assessment!$J$68&lt;&gt;""," — "&amp;B10_Assessment!$J$68,""),"")&amp;IF(B10_Assessment!$A$69&lt;&gt;"",IF(COUNTA(B10_Assessment!$A$63:$A$68)&gt;0,CHAR(10),"")&amp;"• "&amp;B10_Assessment!$A$69&amp;" — "&amp;B10_Assessment!$B$69&amp;" ["&amp;B10_Assessment!$D$69&amp;"]"&amp;IF(B10_Assessment!$G$69&lt;&gt;""," Impact: "&amp;B10_Assessment!$G$69,"")&amp;IF(B10_Assessment!$J$69&lt;&gt;""," — "&amp;B10_Assessment!$J$69,""),"")&amp;IF(B10_Assessment!$A$70&lt;&gt;"",IF(COUNTA(B10_Assessment!$A$63:$A$69)&gt;0,CHAR(10),"")&amp;"• "&amp;B10_Assessment!$A$70&amp;" — "&amp;B10_Assessment!$B$70&amp;" ["&amp;B10_Assessment!$D$70&amp;"]"&amp;IF(B10_Assessment!$G$70&lt;&gt;""," Impact: "&amp;B10_Assessment!$G$70,"")&amp;IF(B10_Assessment!$J$70&lt;&gt;""," — "&amp;B10_Assessment!$J$70,""),""))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K11" s="335" t="str">
        <f>IFERROR(B10_Assessment!$H$4,"")</f>
        <v>Building 10 scope centers on attic Telecom Room 200A with related basement electrical source rooms B24/B25, attic hazardous material abatement, dedicated cooling, new telecom panels, rack/UPS/PDU equipment, firestopping, and cutover coordination.</v>
      </c>
    </row>
    <row r="12" spans="1:11" ht="262.14999999999998" customHeight="1">
      <c r="A12" s="546" t="str">
        <f>_Command_Source!A12</f>
        <v>12</v>
      </c>
      <c r="B12" s="546" t="str">
        <f>_Command_Source!C12</f>
        <v>B12</v>
      </c>
      <c r="C12" s="546" t="str">
        <f>_Command_Source!B12</f>
        <v>B12_Assessment</v>
      </c>
      <c r="D12" s="335" t="str">
        <f>IF(COUNTA(B12_Assessment!$J$20:$J$21)=0,"• No fire / life safety items captured for this building.",IF(B12_Assessment!$J$20&lt;&gt;"","• "&amp;B12_Assessment!$J$20&amp;IF(COUNTA(B12_Assessment!$J$21:$J$21)&gt;0,CHAR(10),""),"")&amp;IF(B12_Assessment!$J$21&lt;&gt;"","• "&amp;B12_Assessment!$J$21,""))</f>
        <v>• No fire protection drawing package beyond general notes; verify penetrations/firestopping for fiber pull-through route.
• No new TR/FEC shown; verify no rated assemblies are compromised by fiber pathway work.</v>
      </c>
      <c r="E12" s="335" t="str">
        <f>IF(COUNTA(B12_Assessment!$J$25:$J$26)=0,"• No hvac / cooling items captured for this building.",IF(B12_Assessment!$J$25&lt;&gt;"","• "&amp;B12_Assessment!$J$25&amp;IF(COUNTA(B12_Assessment!$J$26:$J$26)&gt;0,CHAR(10),""),"")&amp;IF(B12_Assessment!$J$26&lt;&gt;"","• "&amp;B12_Assessment!$J$26,""))</f>
        <v>• No HVAC drawing package for Building 12; fiber-only scope does not indicate new cooling equipment.
• Field verify existing environmental conditions only if existing service point/equipment is accessed.</v>
      </c>
      <c r="F12" s="335" t="str">
        <f>IF(COUNTA(B12_Assessment!$J$30:$J$31)=0,"• No electrical / ups items captured for this building.",IF(B12_Assessment!$J$30&lt;&gt;"","• "&amp;B12_Assessment!$J$30&amp;IF(COUNTA(B12_Assessment!$J$31:$J$31)&gt;0,CHAR(10),""),"")&amp;IF(B12_Assessment!$J$31&lt;&gt;"","• "&amp;B12_Assessment!$J$31,""))</f>
        <v>• No electrical drawing package for Building 12; no new panel/UPS/PDU/rack receptacle scope shown.
• Confirm whether any existing equipment is touched. Scope appears limited to fiber pull-through and testing/labeling.</v>
      </c>
      <c r="G12" s="335" t="str">
        <f>IF(COUNTA(B12_Assessment!$J$35:$J$36)=0,"• No telecom / fiber items captured for this building.",IF(B12_Assessment!$J$35&lt;&gt;"","• "&amp;B12_Assessment!$J$35&amp;IF(COUNTA(B12_Assessment!$J$36:$J$36)&gt;0,CHAR(10),""),"")&amp;IF(B12_Assessment!$J$36&lt;&gt;"","• "&amp;B12_Assessment!$J$36,""))</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2" s="335" t="str">
        <f>IF(COUNTA(B12_Assessment!$J$40:$J$41)=0,"• No security / pacs / cctv items captured for this building.",IF(B12_Assessment!$J$40&lt;&gt;"","• "&amp;B12_Assessment!$J$40&amp;IF(COUNTA(B12_Assessment!$J$41:$J$41)&gt;0,CHAR(10),""),"")&amp;IF(B12_Assessment!$J$41&lt;&gt;"","• "&amp;B12_Assessment!$J$41,""))</f>
        <v>• No new TR door or PACS/CCTV package shown for Building 12; verify security access only for work areas and existing equipment rooms.
• Confirm access requirements to existing closet/demarc while protecting active operations.</v>
      </c>
      <c r="I12" s="335" t="str">
        <f>IF(COUNTA(B12_Assessment!$A$45:$A$50)=0,"• No owner risks items captured for this building.",IF(B12_Assessment!$A$45&lt;&gt;"","• "&amp;B12_Assessment!$A$45&amp;" — "&amp;B12_Assessment!$C$45&amp;" ["&amp;B12_Assessment!$I$45&amp;"]"&amp;IF(B12_Assessment!$J$45&lt;&gt;""," — "&amp;B12_Assessment!$J$45,""),"")&amp;IF(B12_Assessment!$A$46&lt;&gt;"",IF(COUNTA(B12_Assessment!$A$45:$A$45)&gt;0,CHAR(10),"")&amp;"• "&amp;B12_Assessment!$A$46&amp;" — "&amp;B12_Assessment!$C$46&amp;" ["&amp;B12_Assessment!$I$46&amp;"]"&amp;IF(B12_Assessment!$J$46&lt;&gt;""," — "&amp;B12_Assessment!$J$46,""),"")&amp;IF(B12_Assessment!$A$47&lt;&gt;"",IF(COUNTA(B12_Assessment!$A$45:$A$46)&gt;0,CHAR(10),"")&amp;"• "&amp;B12_Assessment!$A$47&amp;" — "&amp;B12_Assessment!$C$47&amp;" ["&amp;B12_Assessment!$I$47&amp;"]"&amp;IF(B12_Assessment!$J$47&lt;&gt;""," — "&amp;B12_Assessment!$J$47,""),"")&amp;IF(B12_Assessment!$A$48&lt;&gt;"",IF(COUNTA(B12_Assessment!$A$45:$A$47)&gt;0,CHAR(10),"")&amp;"• "&amp;B12_Assessment!$A$48&amp;" — "&amp;B12_Assessment!$C$48&amp;" ["&amp;B12_Assessment!$I$48&amp;"]"&amp;IF(B12_Assessment!$J$48&lt;&gt;""," — "&amp;B12_Assessment!$J$48,""),"")&amp;IF(B12_Assessment!$A$49&lt;&gt;"",IF(COUNTA(B12_Assessment!$A$45:$A$48)&gt;0,CHAR(10),"")&amp;"• "&amp;B12_Assessment!$A$49&amp;" — "&amp;B12_Assessment!$C$49&amp;" ["&amp;B12_Assessment!$I$49&amp;"]"&amp;IF(B12_Assessment!$J$49&lt;&gt;""," — "&amp;B12_Assessment!$J$49,""),"")&amp;IF(B12_Assessment!$A$50&lt;&gt;"",IF(COUNTA(B12_Assessment!$A$45:$A$49)&gt;0,CHAR(10),"")&amp;"• "&amp;B12_Assessment!$A$50&amp;" — "&amp;B12_Assessment!$C$50&amp;" ["&amp;B12_Assessment!$I$50&amp;"]"&amp;IF(B12_Assessment!$J$50&lt;&gt;""," — "&amp;B12_Assessment!$J$50,""),""))</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J12" s="335" t="str">
        <f>IF(COUNTA(B12_Assessment!$A$54:$A$60)=0,"• No open questions items captured for this building.",IF(B12_Assessment!$A$54&lt;&gt;"","• "&amp;B12_Assessment!$A$54&amp;" — "&amp;B12_Assessment!$B$54&amp;" ["&amp;B12_Assessment!$D$54&amp;"]"&amp;IF(B12_Assessment!$G$54&lt;&gt;""," Impact: "&amp;B12_Assessment!$G$54,"")&amp;IF(B12_Assessment!$J$54&lt;&gt;""," — "&amp;B12_Assessment!$J$54,""),"")&amp;IF(B12_Assessment!$A$55&lt;&gt;"",IF(COUNTA(B12_Assessment!$A$54:$A$54)&gt;0,CHAR(10),"")&amp;"• "&amp;B12_Assessment!$A$55&amp;" — "&amp;B12_Assessment!$B$55&amp;" ["&amp;B12_Assessment!$D$55&amp;"]"&amp;IF(B12_Assessment!$G$55&lt;&gt;""," Impact: "&amp;B12_Assessment!$G$55,"")&amp;IF(B12_Assessment!$J$55&lt;&gt;""," — "&amp;B12_Assessment!$J$55,""),"")&amp;IF(B12_Assessment!$A$56&lt;&gt;"",IF(COUNTA(B12_Assessment!$A$54:$A$55)&gt;0,CHAR(10),"")&amp;"• "&amp;B12_Assessment!$A$56&amp;" — "&amp;B12_Assessment!$B$56&amp;" ["&amp;B12_Assessment!$D$56&amp;"]"&amp;IF(B12_Assessment!$G$56&lt;&gt;""," Impact: "&amp;B12_Assessment!$G$56,"")&amp;IF(B12_Assessment!$J$56&lt;&gt;""," — "&amp;B12_Assessment!$J$56,""),"")&amp;IF(B12_Assessment!$A$57&lt;&gt;"",IF(COUNTA(B12_Assessment!$A$54:$A$56)&gt;0,CHAR(10),"")&amp;"• "&amp;B12_Assessment!$A$57&amp;" — "&amp;B12_Assessment!$B$57&amp;" ["&amp;B12_Assessment!$D$57&amp;"]"&amp;IF(B12_Assessment!$G$57&lt;&gt;""," Impact: "&amp;B12_Assessment!$G$57,"")&amp;IF(B12_Assessment!$J$57&lt;&gt;""," — "&amp;B12_Assessment!$J$57,""),"")&amp;IF(B12_Assessment!$A$58&lt;&gt;"",IF(COUNTA(B12_Assessment!$A$54:$A$57)&gt;0,CHAR(10),"")&amp;"• "&amp;B12_Assessment!$A$58&amp;" — "&amp;B12_Assessment!$B$58&amp;" ["&amp;B12_Assessment!$D$58&amp;"]"&amp;IF(B12_Assessment!$G$58&lt;&gt;""," Impact: "&amp;B12_Assessment!$G$58,"")&amp;IF(B12_Assessment!$J$58&lt;&gt;""," — "&amp;B12_Assessment!$J$58,""),"")&amp;IF(B12_Assessment!$A$59&lt;&gt;"",IF(COUNTA(B12_Assessment!$A$54:$A$58)&gt;0,CHAR(10),"")&amp;"• "&amp;B12_Assessment!$A$59&amp;" — "&amp;B12_Assessment!$B$59&amp;" ["&amp;B12_Assessment!$D$59&amp;"]"&amp;IF(B12_Assessment!$G$59&lt;&gt;""," Impact: "&amp;B12_Assessment!$G$59,"")&amp;IF(B12_Assessment!$J$59&lt;&gt;""," — "&amp;B12_Assessment!$J$59,""),"")&amp;IF(B12_Assessment!$A$60&lt;&gt;"",IF(COUNTA(B12_Assessment!$A$54:$A$59)&gt;0,CHAR(10),"")&amp;"• "&amp;B12_Assessment!$A$60&amp;" — "&amp;B12_Assessment!$B$60&amp;" ["&amp;B12_Assessment!$D$60&amp;"]"&amp;IF(B12_Assessment!$G$60&lt;&gt;""," Impact: "&amp;B12_Assessment!$G$60,"")&amp;IF(B12_Assessment!$J$60&lt;&gt;""," — "&amp;B12_Assessment!$J$60,""),""))</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K12" s="335" t="str">
        <f>IFERROR(B12_Assessment!$H$4,"")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14999999999998" customHeight="1">
      <c r="A13" s="546" t="str">
        <f>_Command_Source!A13</f>
        <v>13</v>
      </c>
      <c r="B13" s="546" t="str">
        <f>_Command_Source!C13</f>
        <v>B13</v>
      </c>
      <c r="C13" s="546" t="str">
        <f>_Command_Source!B13</f>
        <v>B13_Assessment</v>
      </c>
      <c r="D13" s="335" t="str">
        <f>IF(COUNTA(B13_Assessment!$J$20:$J$21)=0,"• No fire / life safety items captured for this building.",IF(B13_Assessment!$J$20&lt;&gt;"","• "&amp;B13_Assessment!$J$20&amp;IF(COUNTA(B13_Assessment!$J$21:$J$21)&gt;0,CHAR(10),""),"")&amp;IF(B13_Assessment!$J$21&lt;&gt;"","• "&amp;B13_Assessment!$J$21,""))</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3" s="335" t="str">
        <f>IF(COUNTA(B13_Assessment!$J$25:$J$26)=0,"• No hvac / cooling items captured for this building.",IF(B13_Assessment!$J$25&lt;&gt;"","• "&amp;B13_Assessment!$J$25&amp;IF(COUNTA(B13_Assessment!$J$26:$J$26)&gt;0,CHAR(10),""),"")&amp;IF(B13_Assessment!$J$26&lt;&gt;"","• "&amp;B13_Assessment!$J$26,""))</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3" s="335" t="str">
        <f>IF(COUNTA(B13_Assessment!$J$30:$J$31)=0,"• No electrical / ups items captured for this building.",IF(B13_Assessment!$J$30&lt;&gt;"","• "&amp;B13_Assessment!$J$30&amp;IF(COUNTA(B13_Assessment!$J$31:$J$31)&gt;0,CHAR(10),""),"")&amp;IF(B13_Assessment!$J$31&lt;&gt;"","• "&amp;B13_Assessment!$J$31,""))</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3" s="335" t="str">
        <f>IF(COUNTA(B13_Assessment!$J$35:$J$36)=0,"• No telecom / fiber items captured for this building.",IF(B13_Assessment!$J$35&lt;&gt;"","• "&amp;B13_Assessment!$J$35&amp;IF(COUNTA(B13_Assessment!$J$36:$J$36)&gt;0,CHAR(10),""),"")&amp;IF(B13_Assessment!$J$36&lt;&gt;"","• "&amp;B13_Assessment!$J$36,""))</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3" s="335" t="str">
        <f>IF(COUNTA(B13_Assessment!$J$40:$J$41)=0,"• No security / pacs / cctv items captured for this building.",IF(B13_Assessment!$J$40&lt;&gt;"","• "&amp;B13_Assessment!$J$40&amp;IF(COUNTA(B13_Assessment!$J$41:$J$41)&gt;0,CHAR(10),""),"")&amp;IF(B13_Assessment!$J$41&lt;&gt;"","• "&amp;B13_Assessment!$J$41,""))</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I13" s="335" t="str">
        <f>IF(COUNTA(B13_Assessment!$A$45:$A$52)=0,"• No owner risks items captured for this building.",IF(B13_Assessment!$A$45&lt;&gt;"","• "&amp;B13_Assessment!$A$45&amp;" — "&amp;B13_Assessment!$C$45&amp;" ["&amp;B13_Assessment!$I$45&amp;"]"&amp;IF(B13_Assessment!$J$45&lt;&gt;""," — "&amp;B13_Assessment!$J$45,""),"")&amp;IF(B13_Assessment!$A$46&lt;&gt;"",IF(COUNTA(B13_Assessment!$A$45:$A$45)&gt;0,CHAR(10),"")&amp;"• "&amp;B13_Assessment!$A$46&amp;" — "&amp;B13_Assessment!$C$46&amp;" ["&amp;B13_Assessment!$I$46&amp;"]"&amp;IF(B13_Assessment!$J$46&lt;&gt;""," — "&amp;B13_Assessment!$J$46,""),"")&amp;IF(B13_Assessment!$A$47&lt;&gt;"",IF(COUNTA(B13_Assessment!$A$45:$A$46)&gt;0,CHAR(10),"")&amp;"• "&amp;B13_Assessment!$A$47&amp;" — "&amp;B13_Assessment!$C$47&amp;" ["&amp;B13_Assessment!$I$47&amp;"]"&amp;IF(B13_Assessment!$J$47&lt;&gt;""," — "&amp;B13_Assessment!$J$47,""),"")&amp;IF(B13_Assessment!$A$48&lt;&gt;"",IF(COUNTA(B13_Assessment!$A$45:$A$47)&gt;0,CHAR(10),"")&amp;"• "&amp;B13_Assessment!$A$48&amp;" — "&amp;B13_Assessment!$C$48&amp;" ["&amp;B13_Assessment!$I$48&amp;"]"&amp;IF(B13_Assessment!$J$48&lt;&gt;""," — "&amp;B13_Assessment!$J$48,""),"")&amp;IF(B13_Assessment!$A$49&lt;&gt;"",IF(COUNTA(B13_Assessment!$A$45:$A$48)&gt;0,CHAR(10),"")&amp;"• "&amp;B13_Assessment!$A$49&amp;" — "&amp;B13_Assessment!$C$49&amp;" ["&amp;B13_Assessment!$I$49&amp;"]"&amp;IF(B13_Assessment!$J$49&lt;&gt;""," — "&amp;B13_Assessment!$J$49,""),"")&amp;IF(B13_Assessment!$A$50&lt;&gt;"",IF(COUNTA(B13_Assessment!$A$45:$A$49)&gt;0,CHAR(10),"")&amp;"• "&amp;B13_Assessment!$A$50&amp;" — "&amp;B13_Assessment!$C$50&amp;" ["&amp;B13_Assessment!$I$50&amp;"]"&amp;IF(B13_Assessment!$J$50&lt;&gt;""," — "&amp;B13_Assessment!$J$50,""),"")&amp;IF(B13_Assessment!$A$51&lt;&gt;"",IF(COUNTA(B13_Assessment!$A$45:$A$50)&gt;0,CHAR(10),"")&amp;"• "&amp;B13_Assessment!$A$51&amp;" — "&amp;B13_Assessment!$C$51&amp;" ["&amp;B13_Assessment!$I$51&amp;"]"&amp;IF(B13_Assessment!$J$51&lt;&gt;""," — "&amp;B13_Assessment!$J$51,""),"")&amp;IF(B13_Assessment!$A$52&lt;&gt;"",IF(COUNTA(B13_Assessment!$A$45:$A$51)&gt;0,CHAR(10),"")&amp;"• "&amp;B13_Assessment!$A$52&amp;" — "&amp;B13_Assessment!$C$52&amp;" ["&amp;B13_Assessment!$I$52&amp;"]"&amp;IF(B13_Assessment!$J$52&lt;&gt;""," — "&amp;B13_Assessment!$J$52,""),""))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J13" s="335" t="str">
        <f>IF(COUNTA(B13_Assessment!$A$56:$A$63)=0,"• No open questions items captured for this building.",IF(B13_Assessment!$A$56&lt;&gt;"","• "&amp;B13_Assessment!$A$56&amp;" — "&amp;B13_Assessment!$B$56&amp;" ["&amp;B13_Assessment!$D$56&amp;"]"&amp;IF(B13_Assessment!$G$56&lt;&gt;""," Impact: "&amp;B13_Assessment!$G$56,"")&amp;IF(B13_Assessment!$J$56&lt;&gt;""," — "&amp;B13_Assessment!$J$56,""),"")&amp;IF(B13_Assessment!$A$57&lt;&gt;"",IF(COUNTA(B13_Assessment!$A$56:$A$56)&gt;0,CHAR(10),"")&amp;"• "&amp;B13_Assessment!$A$57&amp;" — "&amp;B13_Assessment!$B$57&amp;" ["&amp;B13_Assessment!$D$57&amp;"]"&amp;IF(B13_Assessment!$G$57&lt;&gt;""," Impact: "&amp;B13_Assessment!$G$57,"")&amp;IF(B13_Assessment!$J$57&lt;&gt;""," — "&amp;B13_Assessment!$J$57,""),"")&amp;IF(B13_Assessment!$A$58&lt;&gt;"",IF(COUNTA(B13_Assessment!$A$56:$A$57)&gt;0,CHAR(10),"")&amp;"• "&amp;B13_Assessment!$A$58&amp;" — "&amp;B13_Assessment!$B$58&amp;" ["&amp;B13_Assessment!$D$58&amp;"]"&amp;IF(B13_Assessment!$G$58&lt;&gt;""," Impact: "&amp;B13_Assessment!$G$58,"")&amp;IF(B13_Assessment!$J$58&lt;&gt;""," — "&amp;B13_Assessment!$J$58,""),"")&amp;IF(B13_Assessment!$A$59&lt;&gt;"",IF(COUNTA(B13_Assessment!$A$56:$A$58)&gt;0,CHAR(10),"")&amp;"• "&amp;B13_Assessment!$A$59&amp;" — "&amp;B13_Assessment!$B$59&amp;" ["&amp;B13_Assessment!$D$59&amp;"]"&amp;IF(B13_Assessment!$G$59&lt;&gt;""," Impact: "&amp;B13_Assessment!$G$59,"")&amp;IF(B13_Assessment!$J$59&lt;&gt;""," — "&amp;B13_Assessment!$J$59,""),"")&amp;IF(B13_Assessment!$A$60&lt;&gt;"",IF(COUNTA(B13_Assessment!$A$56:$A$59)&gt;0,CHAR(10),"")&amp;"• "&amp;B13_Assessment!$A$60&amp;" — "&amp;B13_Assessment!$B$60&amp;" ["&amp;B13_Assessment!$D$60&amp;"]"&amp;IF(B13_Assessment!$G$60&lt;&gt;""," Impact: "&amp;B13_Assessment!$G$60,"")&amp;IF(B13_Assessment!$J$60&lt;&gt;""," — "&amp;B13_Assessment!$J$60,""),"")&amp;IF(B13_Assessment!$A$61&lt;&gt;"",IF(COUNTA(B13_Assessment!$A$56:$A$60)&gt;0,CHAR(10),"")&amp;"• "&amp;B13_Assessment!$A$61&amp;" — "&amp;B13_Assessment!$B$61&amp;" ["&amp;B13_Assessment!$D$61&amp;"]"&amp;IF(B13_Assessment!$G$61&lt;&gt;""," Impact: "&amp;B13_Assessment!$G$61,"")&amp;IF(B13_Assessment!$J$61&lt;&gt;""," — "&amp;B13_Assessment!$J$61,""),"")&amp;IF(B13_Assessment!$A$62&lt;&gt;"",IF(COUNTA(B13_Assessment!$A$56:$A$61)&gt;0,CHAR(10),"")&amp;"• "&amp;B13_Assessment!$A$62&amp;" — "&amp;B13_Assessment!$B$62&amp;" ["&amp;B13_Assessment!$D$62&amp;"]"&amp;IF(B13_Assessment!$G$62&lt;&gt;""," Impact: "&amp;B13_Assessment!$G$62,"")&amp;IF(B13_Assessment!$J$62&lt;&gt;""," — "&amp;B13_Assessment!$J$62,""),"")&amp;IF(B13_Assessment!$A$63&lt;&gt;"",IF(COUNTA(B13_Assessment!$A$56:$A$62)&gt;0,CHAR(10),"")&amp;"• "&amp;B13_Assessment!$A$63&amp;" — "&amp;B13_Assessment!$B$63&amp;" ["&amp;B13_Assessment!$D$63&amp;"]"&amp;IF(B13_Assessment!$G$63&lt;&gt;""," Impact: "&amp;B13_Assessment!$G$63,"")&amp;IF(B13_Assessment!$J$63&lt;&gt;""," — "&amp;B13_Assessment!$J$63,""),""))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K13" s="335" t="str">
        <f>IFERROR(B13_Assessment!$H$4,"")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14999999999998" customHeight="1">
      <c r="A14" s="546" t="str">
        <f>_Command_Source!A14</f>
        <v>14</v>
      </c>
      <c r="B14" s="546" t="str">
        <f>_Command_Source!C14</f>
        <v>B14</v>
      </c>
      <c r="C14" s="546" t="str">
        <f>_Command_Source!B14</f>
        <v>B14_Assessment</v>
      </c>
      <c r="D14" s="335" t="str">
        <f>IF(COUNTA(B14_Assessment!$J$22:$J$24)=0,"• No fire / life safety items captured for this building.",IF(B14_Assessment!$J$22&lt;&gt;"","• "&amp;B14_Assessment!$J$22&amp;IF(COUNTA(B14_Assessment!$J$23:$J$24)&gt;0,CHAR(10),""),"")&amp;IF(B14_Assessment!$J$23&lt;&gt;"","• "&amp;B14_Assessment!$J$23&amp;IF(COUNTA(B14_Assessment!$J$24:$J$24)&gt;0,CHAR(10),""),"")&amp;IF(B14_Assessment!$J$24&lt;&gt;"","• "&amp;B14_Assessment!$J$24,""))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4" s="335" t="str">
        <f>IF(COUNTA(B14_Assessment!$J$28:$J$30)=0,"• No hvac / cooling items captured for this building.",IF(B14_Assessment!$J$28&lt;&gt;"","• "&amp;B14_Assessment!$J$28&amp;IF(COUNTA(B14_Assessment!$J$29:$J$30)&gt;0,CHAR(10),""),"")&amp;IF(B14_Assessment!$J$29&lt;&gt;"","• "&amp;B14_Assessment!$J$29&amp;IF(COUNTA(B14_Assessment!$J$30:$J$30)&gt;0,CHAR(10),""),"")&amp;IF(B14_Assessment!$J$30&lt;&gt;"","• "&amp;B14_Assessment!$J$30,""))</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4" s="335" t="str">
        <f>IF(COUNTA(B14_Assessment!$J$34:$J$36)=0,"• No electrical / ups items captured for this building.",IF(B14_Assessment!$J$34&lt;&gt;"","• "&amp;B14_Assessment!$J$34&amp;IF(COUNTA(B14_Assessment!$J$35:$J$36)&gt;0,CHAR(10),""),"")&amp;IF(B14_Assessment!$J$35&lt;&gt;"","• "&amp;B14_Assessment!$J$35&amp;IF(COUNTA(B14_Assessment!$J$36:$J$36)&gt;0,CHAR(10),""),"")&amp;IF(B14_Assessment!$J$36&lt;&gt;"","• "&amp;B14_Assessment!$J$36,""))</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4" s="335" t="str">
        <f>IF(COUNTA(B14_Assessment!$J$40:$J$42)=0,"• No telecom / fiber items captured for this building.",IF(B14_Assessment!$J$40&lt;&gt;"","• "&amp;B14_Assessment!$J$40&amp;IF(COUNTA(B14_Assessment!$J$41:$J$42)&gt;0,CHAR(10),""),"")&amp;IF(B14_Assessment!$J$41&lt;&gt;"","• "&amp;B14_Assessment!$J$41&amp;IF(COUNTA(B14_Assessment!$J$42:$J$42)&gt;0,CHAR(10),""),"")&amp;IF(B14_Assessment!$J$42&lt;&gt;"","• "&amp;B14_Assessment!$J$42,""))</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4" s="335" t="str">
        <f>IF(COUNTA(B14_Assessment!$J$46:$J$48)=0,"• No security / pacs / cctv items captured for this building.",IF(B14_Assessment!$J$46&lt;&gt;"","• "&amp;B14_Assessment!$J$46&amp;IF(COUNTA(B14_Assessment!$J$47:$J$48)&gt;0,CHAR(10),""),"")&amp;IF(B14_Assessment!$J$47&lt;&gt;"","• "&amp;B14_Assessment!$J$47&amp;IF(COUNTA(B14_Assessment!$J$48:$J$48)&gt;0,CHAR(10),""),"")&amp;IF(B14_Assessment!$J$48&lt;&gt;"","• "&amp;B14_Assessment!$J$48,""))</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I14" s="335" t="str">
        <f>IF(COUNTA(B14_Assessment!$A$52:$A$59)=0,"• No owner risks items captured for this building.",IF(B14_Assessment!$A$52&lt;&gt;"","• "&amp;B14_Assessment!$A$52&amp;" — "&amp;B14_Assessment!$C$52&amp;" ["&amp;B14_Assessment!$I$52&amp;"]"&amp;IF(B14_Assessment!$J$52&lt;&gt;""," — "&amp;B14_Assessment!$J$52,""),"")&amp;IF(B14_Assessment!$A$53&lt;&gt;"",IF(COUNTA(B14_Assessment!$A$52:$A$52)&gt;0,CHAR(10),"")&amp;"• "&amp;B14_Assessment!$A$53&amp;" — "&amp;B14_Assessment!$C$53&amp;" ["&amp;B14_Assessment!$I$53&amp;"]"&amp;IF(B14_Assessment!$J$53&lt;&gt;""," — "&amp;B14_Assessment!$J$53,""),"")&amp;IF(B14_Assessment!$A$54&lt;&gt;"",IF(COUNTA(B14_Assessment!$A$52:$A$53)&gt;0,CHAR(10),"")&amp;"• "&amp;B14_Assessment!$A$54&amp;" — "&amp;B14_Assessment!$C$54&amp;" ["&amp;B14_Assessment!$I$54&amp;"]"&amp;IF(B14_Assessment!$J$54&lt;&gt;""," — "&amp;B14_Assessment!$J$54,""),"")&amp;IF(B14_Assessment!$A$55&lt;&gt;"",IF(COUNTA(B14_Assessment!$A$52:$A$54)&gt;0,CHAR(10),"")&amp;"• "&amp;B14_Assessment!$A$55&amp;" — "&amp;B14_Assessment!$C$55&amp;" ["&amp;B14_Assessment!$I$55&amp;"]"&amp;IF(B14_Assessment!$J$55&lt;&gt;""," — "&amp;B14_Assessment!$J$55,""),"")&amp;IF(B14_Assessment!$A$56&lt;&gt;"",IF(COUNTA(B14_Assessment!$A$52:$A$55)&gt;0,CHAR(10),"")&amp;"• "&amp;B14_Assessment!$A$56&amp;" — "&amp;B14_Assessment!$C$56&amp;" ["&amp;B14_Assessment!$I$56&amp;"]"&amp;IF(B14_Assessment!$J$56&lt;&gt;""," — "&amp;B14_Assessment!$J$56,""),"")&amp;IF(B14_Assessment!$A$57&lt;&gt;"",IF(COUNTA(B14_Assessment!$A$52:$A$56)&gt;0,CHAR(10),"")&amp;"• "&amp;B14_Assessment!$A$57&amp;" — "&amp;B14_Assessment!$C$57&amp;" ["&amp;B14_Assessment!$I$57&amp;"]"&amp;IF(B14_Assessment!$J$57&lt;&gt;""," — "&amp;B14_Assessment!$J$57,""),"")&amp;IF(B14_Assessment!$A$58&lt;&gt;"",IF(COUNTA(B14_Assessment!$A$52:$A$57)&gt;0,CHAR(10),"")&amp;"• "&amp;B14_Assessment!$A$58&amp;" — "&amp;B14_Assessment!$C$58&amp;" ["&amp;B14_Assessment!$I$58&amp;"]"&amp;IF(B14_Assessment!$J$58&lt;&gt;""," — "&amp;B14_Assessment!$J$58,""),"")&amp;IF(B14_Assessment!$A$59&lt;&gt;"",IF(COUNTA(B14_Assessment!$A$52:$A$58)&gt;0,CHAR(10),"")&amp;"• "&amp;B14_Assessment!$A$59&amp;" — "&amp;B14_Assessment!$C$59&amp;" ["&amp;B14_Assessment!$I$59&amp;"]"&amp;IF(B14_Assessment!$J$59&lt;&gt;""," — "&amp;B14_Assessment!$J$59,""),""))</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J14" s="335" t="str">
        <f>IF(COUNTA(B14_Assessment!$A$63:$A$70)=0,"• No open questions items captured for this building.",IF(B14_Assessment!$A$63&lt;&gt;"","• "&amp;B14_Assessment!$A$63&amp;" — "&amp;B14_Assessment!$B$63&amp;" ["&amp;B14_Assessment!$D$63&amp;"]"&amp;IF(B14_Assessment!$G$63&lt;&gt;""," Impact: "&amp;B14_Assessment!$G$63,"")&amp;IF(B14_Assessment!$J$63&lt;&gt;""," — "&amp;B14_Assessment!$J$63,""),"")&amp;IF(B14_Assessment!$A$64&lt;&gt;"",IF(COUNTA(B14_Assessment!$A$63:$A$63)&gt;0,CHAR(10),"")&amp;"• "&amp;B14_Assessment!$A$64&amp;" — "&amp;B14_Assessment!$B$64&amp;" ["&amp;B14_Assessment!$D$64&amp;"]"&amp;IF(B14_Assessment!$G$64&lt;&gt;""," Impact: "&amp;B14_Assessment!$G$64,"")&amp;IF(B14_Assessment!$J$64&lt;&gt;""," — "&amp;B14_Assessment!$J$64,""),"")&amp;IF(B14_Assessment!$A$65&lt;&gt;"",IF(COUNTA(B14_Assessment!$A$63:$A$64)&gt;0,CHAR(10),"")&amp;"• "&amp;B14_Assessment!$A$65&amp;" — "&amp;B14_Assessment!$B$65&amp;" ["&amp;B14_Assessment!$D$65&amp;"]"&amp;IF(B14_Assessment!$G$65&lt;&gt;""," Impact: "&amp;B14_Assessment!$G$65,"")&amp;IF(B14_Assessment!$J$65&lt;&gt;""," — "&amp;B14_Assessment!$J$65,""),"")&amp;IF(B14_Assessment!$A$66&lt;&gt;"",IF(COUNTA(B14_Assessment!$A$63:$A$65)&gt;0,CHAR(10),"")&amp;"• "&amp;B14_Assessment!$A$66&amp;" — "&amp;B14_Assessment!$B$66&amp;" ["&amp;B14_Assessment!$D$66&amp;"]"&amp;IF(B14_Assessment!$G$66&lt;&gt;""," Impact: "&amp;B14_Assessment!$G$66,"")&amp;IF(B14_Assessment!$J$66&lt;&gt;""," — "&amp;B14_Assessment!$J$66,""),"")&amp;IF(B14_Assessment!$A$67&lt;&gt;"",IF(COUNTA(B14_Assessment!$A$63:$A$66)&gt;0,CHAR(10),"")&amp;"• "&amp;B14_Assessment!$A$67&amp;" — "&amp;B14_Assessment!$B$67&amp;" ["&amp;B14_Assessment!$D$67&amp;"]"&amp;IF(B14_Assessment!$G$67&lt;&gt;""," Impact: "&amp;B14_Assessment!$G$67,"")&amp;IF(B14_Assessment!$J$67&lt;&gt;""," — "&amp;B14_Assessment!$J$67,""),"")&amp;IF(B14_Assessment!$A$68&lt;&gt;"",IF(COUNTA(B14_Assessment!$A$63:$A$67)&gt;0,CHAR(10),"")&amp;"• "&amp;B14_Assessment!$A$68&amp;" — "&amp;B14_Assessment!$B$68&amp;" ["&amp;B14_Assessment!$D$68&amp;"]"&amp;IF(B14_Assessment!$G$68&lt;&gt;""," Impact: "&amp;B14_Assessment!$G$68,"")&amp;IF(B14_Assessment!$J$68&lt;&gt;""," — "&amp;B14_Assessment!$J$68,""),"")&amp;IF(B14_Assessment!$A$69&lt;&gt;"",IF(COUNTA(B14_Assessment!$A$63:$A$68)&gt;0,CHAR(10),"")&amp;"• "&amp;B14_Assessment!$A$69&amp;" — "&amp;B14_Assessment!$B$69&amp;" ["&amp;B14_Assessment!$D$69&amp;"]"&amp;IF(B14_Assessment!$G$69&lt;&gt;""," Impact: "&amp;B14_Assessment!$G$69,"")&amp;IF(B14_Assessment!$J$69&lt;&gt;""," — "&amp;B14_Assessment!$J$69,""),"")&amp;IF(B14_Assessment!$A$70&lt;&gt;"",IF(COUNTA(B14_Assessment!$A$63:$A$69)&gt;0,CHAR(10),"")&amp;"• "&amp;B14_Assessment!$A$70&amp;" — "&amp;B14_Assessment!$B$70&amp;" ["&amp;B14_Assessment!$D$70&amp;"]"&amp;IF(B14_Assessment!$G$70&lt;&gt;""," Impact: "&amp;B14_Assessment!$G$70,"")&amp;IF(B14_Assessment!$J$70&lt;&gt;""," — "&amp;B14_Assessment!$J$70,""),""))</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K14" s="335" t="str">
        <f>IFERROR(B14_Assessment!$H$4,"")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14999999999998" customHeight="1">
      <c r="A15" s="546" t="str">
        <f>_Command_Source!A15</f>
        <v>15</v>
      </c>
      <c r="B15" s="546" t="str">
        <f>_Command_Source!C15</f>
        <v>B15</v>
      </c>
      <c r="C15" s="546" t="str">
        <f>_Command_Source!B15</f>
        <v>B15_Assessment</v>
      </c>
      <c r="D15" s="335" t="str">
        <f>IF(COUNTA(B15_Assessment!$J$22:$J$24)=0,"• No fire / life safety items captured for this building.",IF(B15_Assessment!$J$22&lt;&gt;"","• "&amp;B15_Assessment!$J$22&amp;IF(COUNTA(B15_Assessment!$J$23:$J$24)&gt;0,CHAR(10),""),"")&amp;IF(B15_Assessment!$J$23&lt;&gt;"","• "&amp;B15_Assessment!$J$23&amp;IF(COUNTA(B15_Assessment!$J$24:$J$24)&gt;0,CHAR(10),""),"")&amp;IF(B15_Assessment!$J$24&lt;&gt;"","• "&amp;B15_Assessment!$J$24,""))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 s="335" t="str">
        <f>IF(COUNTA(B15_Assessment!$J$28:$J$30)=0,"• No hvac / cooling items captured for this building.",IF(B15_Assessment!$J$28&lt;&gt;"","• "&amp;B15_Assessment!$J$28&amp;IF(COUNTA(B15_Assessment!$J$29:$J$30)&gt;0,CHAR(10),""),"")&amp;IF(B15_Assessment!$J$29&lt;&gt;"","• "&amp;B15_Assessment!$J$29&amp;IF(COUNTA(B15_Assessment!$J$30:$J$30)&gt;0,CHAR(10),""),"")&amp;IF(B15_Assessment!$J$30&lt;&gt;"","• "&amp;B15_Assessment!$J$30,""))</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 s="335" t="str">
        <f>IF(COUNTA(B15_Assessment!$J$34:$J$36)=0,"• No electrical / ups items captured for this building.",IF(B15_Assessment!$J$34&lt;&gt;"","• "&amp;B15_Assessment!$J$34&amp;IF(COUNTA(B15_Assessment!$J$35:$J$36)&gt;0,CHAR(10),""),"")&amp;IF(B15_Assessment!$J$35&lt;&gt;"","• "&amp;B15_Assessment!$J$35&amp;IF(COUNTA(B15_Assessment!$J$36:$J$36)&gt;0,CHAR(10),""),"")&amp;IF(B15_Assessment!$J$36&lt;&gt;"","• "&amp;B15_Assessment!$J$36,""))</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 s="335" t="str">
        <f>IF(COUNTA(B15_Assessment!$J$40:$J$42)=0,"• No telecom / fiber items captured for this building.",IF(B15_Assessment!$J$40&lt;&gt;"","• "&amp;B15_Assessment!$J$40&amp;IF(COUNTA(B15_Assessment!$J$41:$J$42)&gt;0,CHAR(10),""),"")&amp;IF(B15_Assessment!$J$41&lt;&gt;"","• "&amp;B15_Assessment!$J$41&amp;IF(COUNTA(B15_Assessment!$J$42:$J$42)&gt;0,CHAR(10),""),"")&amp;IF(B15_Assessment!$J$42&lt;&gt;"","• "&amp;B15_Assessment!$J$42,""))</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 s="335" t="str">
        <f>IF(COUNTA(B15_Assessment!$J$46:$J$48)=0,"• No security / pacs / cctv items captured for this building.",IF(B15_Assessment!$J$46&lt;&gt;"","• "&amp;B15_Assessment!$J$46&amp;IF(COUNTA(B15_Assessment!$J$47:$J$48)&gt;0,CHAR(10),""),"")&amp;IF(B15_Assessment!$J$47&lt;&gt;"","• "&amp;B15_Assessment!$J$47&amp;IF(COUNTA(B15_Assessment!$J$48:$J$48)&gt;0,CHAR(10),""),"")&amp;IF(B15_Assessment!$J$48&lt;&gt;"","• "&amp;B15_Assessment!$J$48,""))</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I15" s="335" t="str">
        <f>IF(COUNTA(B15_Assessment!$A$52:$A$59)=0,"• No owner risks items captured for this building.",IF(B15_Assessment!$A$52&lt;&gt;"","• "&amp;B15_Assessment!$A$52&amp;" — "&amp;B15_Assessment!$C$52&amp;" ["&amp;B15_Assessment!$I$52&amp;"]"&amp;IF(B15_Assessment!$J$52&lt;&gt;""," — "&amp;B15_Assessment!$J$52,""),"")&amp;IF(B15_Assessment!$A$53&lt;&gt;"",IF(COUNTA(B15_Assessment!$A$52:$A$52)&gt;0,CHAR(10),"")&amp;"• "&amp;B15_Assessment!$A$53&amp;" — "&amp;B15_Assessment!$C$53&amp;" ["&amp;B15_Assessment!$I$53&amp;"]"&amp;IF(B15_Assessment!$J$53&lt;&gt;""," — "&amp;B15_Assessment!$J$53,""),"")&amp;IF(B15_Assessment!$A$54&lt;&gt;"",IF(COUNTA(B15_Assessment!$A$52:$A$53)&gt;0,CHAR(10),"")&amp;"• "&amp;B15_Assessment!$A$54&amp;" — "&amp;B15_Assessment!$C$54&amp;" ["&amp;B15_Assessment!$I$54&amp;"]"&amp;IF(B15_Assessment!$J$54&lt;&gt;""," — "&amp;B15_Assessment!$J$54,""),"")&amp;IF(B15_Assessment!$A$55&lt;&gt;"",IF(COUNTA(B15_Assessment!$A$52:$A$54)&gt;0,CHAR(10),"")&amp;"• "&amp;B15_Assessment!$A$55&amp;" — "&amp;B15_Assessment!$C$55&amp;" ["&amp;B15_Assessment!$I$55&amp;"]"&amp;IF(B15_Assessment!$J$55&lt;&gt;""," — "&amp;B15_Assessment!$J$55,""),"")&amp;IF(B15_Assessment!$A$56&lt;&gt;"",IF(COUNTA(B15_Assessment!$A$52:$A$55)&gt;0,CHAR(10),"")&amp;"• "&amp;B15_Assessment!$A$56&amp;" — "&amp;B15_Assessment!$C$56&amp;" ["&amp;B15_Assessment!$I$56&amp;"]"&amp;IF(B15_Assessment!$J$56&lt;&gt;""," — "&amp;B15_Assessment!$J$56,""),"")&amp;IF(B15_Assessment!$A$57&lt;&gt;"",IF(COUNTA(B15_Assessment!$A$52:$A$56)&gt;0,CHAR(10),"")&amp;"• "&amp;B15_Assessment!$A$57&amp;" — "&amp;B15_Assessment!$C$57&amp;" ["&amp;B15_Assessment!$I$57&amp;"]"&amp;IF(B15_Assessment!$J$57&lt;&gt;""," — "&amp;B15_Assessment!$J$57,""),"")&amp;IF(B15_Assessment!$A$58&lt;&gt;"",IF(COUNTA(B15_Assessment!$A$52:$A$57)&gt;0,CHAR(10),"")&amp;"• "&amp;B15_Assessment!$A$58&amp;" — "&amp;B15_Assessment!$C$58&amp;" ["&amp;B15_Assessment!$I$58&amp;"]"&amp;IF(B15_Assessment!$J$58&lt;&gt;""," — "&amp;B15_Assessment!$J$58,""),"")&amp;IF(B15_Assessment!$A$59&lt;&gt;"",IF(COUNTA(B15_Assessment!$A$52:$A$58)&gt;0,CHAR(10),"")&amp;"• "&amp;B15_Assessment!$A$59&amp;" — "&amp;B15_Assessment!$C$59&amp;" ["&amp;B15_Assessment!$I$59&amp;"]"&amp;IF(B15_Assessment!$J$59&lt;&gt;""," — "&amp;B15_Assessment!$J$59,""),""))</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J15" s="335" t="str">
        <f>IF(COUNTA(B15_Assessment!$A$63:$A$70)=0,"• No open questions items captured for this building.",IF(B15_Assessment!$A$63&lt;&gt;"","• "&amp;B15_Assessment!$A$63&amp;" — "&amp;B15_Assessment!$B$63&amp;" ["&amp;B15_Assessment!$D$63&amp;"]"&amp;IF(B15_Assessment!$G$63&lt;&gt;""," Impact: "&amp;B15_Assessment!$G$63,"")&amp;IF(B15_Assessment!$J$63&lt;&gt;""," — "&amp;B15_Assessment!$J$63,""),"")&amp;IF(B15_Assessment!$A$64&lt;&gt;"",IF(COUNTA(B15_Assessment!$A$63:$A$63)&gt;0,CHAR(10),"")&amp;"• "&amp;B15_Assessment!$A$64&amp;" — "&amp;B15_Assessment!$B$64&amp;" ["&amp;B15_Assessment!$D$64&amp;"]"&amp;IF(B15_Assessment!$G$64&lt;&gt;""," Impact: "&amp;B15_Assessment!$G$64,"")&amp;IF(B15_Assessment!$J$64&lt;&gt;""," — "&amp;B15_Assessment!$J$64,""),"")&amp;IF(B15_Assessment!$A$65&lt;&gt;"",IF(COUNTA(B15_Assessment!$A$63:$A$64)&gt;0,CHAR(10),"")&amp;"• "&amp;B15_Assessment!$A$65&amp;" — "&amp;B15_Assessment!$B$65&amp;" ["&amp;B15_Assessment!$D$65&amp;"]"&amp;IF(B15_Assessment!$G$65&lt;&gt;""," Impact: "&amp;B15_Assessment!$G$65,"")&amp;IF(B15_Assessment!$J$65&lt;&gt;""," — "&amp;B15_Assessment!$J$65,""),"")&amp;IF(B15_Assessment!$A$66&lt;&gt;"",IF(COUNTA(B15_Assessment!$A$63:$A$65)&gt;0,CHAR(10),"")&amp;"• "&amp;B15_Assessment!$A$66&amp;" — "&amp;B15_Assessment!$B$66&amp;" ["&amp;B15_Assessment!$D$66&amp;"]"&amp;IF(B15_Assessment!$G$66&lt;&gt;""," Impact: "&amp;B15_Assessment!$G$66,"")&amp;IF(B15_Assessment!$J$66&lt;&gt;""," — "&amp;B15_Assessment!$J$66,""),"")&amp;IF(B15_Assessment!$A$67&lt;&gt;"",IF(COUNTA(B15_Assessment!$A$63:$A$66)&gt;0,CHAR(10),"")&amp;"• "&amp;B15_Assessment!$A$67&amp;" — "&amp;B15_Assessment!$B$67&amp;" ["&amp;B15_Assessment!$D$67&amp;"]"&amp;IF(B15_Assessment!$G$67&lt;&gt;""," Impact: "&amp;B15_Assessment!$G$67,"")&amp;IF(B15_Assessment!$J$67&lt;&gt;""," — "&amp;B15_Assessment!$J$67,""),"")&amp;IF(B15_Assessment!$A$68&lt;&gt;"",IF(COUNTA(B15_Assessment!$A$63:$A$67)&gt;0,CHAR(10),"")&amp;"• "&amp;B15_Assessment!$A$68&amp;" — "&amp;B15_Assessment!$B$68&amp;" ["&amp;B15_Assessment!$D$68&amp;"]"&amp;IF(B15_Assessment!$G$68&lt;&gt;""," Impact: "&amp;B15_Assessment!$G$68,"")&amp;IF(B15_Assessment!$J$68&lt;&gt;""," — "&amp;B15_Assessment!$J$68,""),"")&amp;IF(B15_Assessment!$A$69&lt;&gt;"",IF(COUNTA(B15_Assessment!$A$63:$A$68)&gt;0,CHAR(10),"")&amp;"• "&amp;B15_Assessment!$A$69&amp;" — "&amp;B15_Assessment!$B$69&amp;" ["&amp;B15_Assessment!$D$69&amp;"]"&amp;IF(B15_Assessment!$G$69&lt;&gt;""," Impact: "&amp;B15_Assessment!$G$69,"")&amp;IF(B15_Assessment!$J$69&lt;&gt;""," — "&amp;B15_Assessment!$J$69,""),"")&amp;IF(B15_Assessment!$A$70&lt;&gt;"",IF(COUNTA(B15_Assessment!$A$63:$A$69)&gt;0,CHAR(10),"")&amp;"• "&amp;B15_Assessment!$A$70&amp;" — "&amp;B15_Assessment!$B$70&amp;" ["&amp;B15_Assessment!$D$70&amp;"]"&amp;IF(B15_Assessment!$G$70&lt;&gt;""," Impact: "&amp;B15_Assessment!$G$70,"")&amp;IF(B15_Assessment!$J$70&lt;&gt;""," — "&amp;B15_Assessment!$J$70,""),""))</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K15" s="335" t="str">
        <f>IFERROR(B15_Assessment!$H$4,"")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14999999999998" customHeight="1">
      <c r="A16" s="546" t="str">
        <f>_Command_Source!A16</f>
        <v>16</v>
      </c>
      <c r="B16" s="546" t="str">
        <f>_Command_Source!C16</f>
        <v>B16</v>
      </c>
      <c r="C16" s="546" t="str">
        <f>_Command_Source!B16</f>
        <v>B16_Assessment</v>
      </c>
      <c r="D16" s="335" t="str">
        <f>IF(COUNTA(B16_Assessment!$J$20:$J$21)=0,"• No fire / life safety items captured for this building.",IF(B16_Assessment!$J$20&lt;&gt;"","• "&amp;B16_Assessment!$J$20&amp;IF(COUNTA(B16_Assessment!$J$21:$J$21)&gt;0,CHAR(10),""),"")&amp;IF(B16_Assessment!$J$21&lt;&gt;"","• "&amp;B16_Assessment!$J$21,""))</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6" s="335" t="str">
        <f>IF(COUNTA(B16_Assessment!$J$25:$J$26)=0,"• No hvac / cooling items captured for this building.",IF(B16_Assessment!$J$25&lt;&gt;"","• "&amp;B16_Assessment!$J$25&amp;IF(COUNTA(B16_Assessment!$J$26:$J$26)&gt;0,CHAR(10),""),"")&amp;IF(B16_Assessment!$J$26&lt;&gt;"","• "&amp;B16_Assessment!$J$26,""))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6" s="335" t="str">
        <f>IF(COUNTA(B16_Assessment!$J$30:$J$31)=0,"• No electrical / ups items captured for this building.",IF(B16_Assessment!$J$30&lt;&gt;"","• "&amp;B16_Assessment!$J$30&amp;IF(COUNTA(B16_Assessment!$J$31:$J$31)&gt;0,CHAR(10),""),"")&amp;IF(B16_Assessment!$J$31&lt;&gt;"","• "&amp;B16_Assessment!$J$31,""))</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6" s="335" t="str">
        <f>IF(COUNTA(B16_Assessment!$J$35:$J$36)=0,"• No telecom / fiber items captured for this building.",IF(B16_Assessment!$J$35&lt;&gt;"","• "&amp;B16_Assessment!$J$35&amp;IF(COUNTA(B16_Assessment!$J$36:$J$36)&gt;0,CHAR(10),""),"")&amp;IF(B16_Assessment!$J$36&lt;&gt;"","• "&amp;B16_Assessment!$J$36,""))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6" s="335" t="str">
        <f>IF(COUNTA(B16_Assessment!$J$40:$J$41)=0,"• No security / pacs / cctv items captured for this building.",IF(B16_Assessment!$J$40&lt;&gt;"","• "&amp;B16_Assessment!$J$40&amp;IF(COUNTA(B16_Assessment!$J$41:$J$41)&gt;0,CHAR(10),""),"")&amp;IF(B16_Assessment!$J$41&lt;&gt;"","• "&amp;B16_Assessment!$J$41,""))</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I16" s="335" t="str">
        <f>IF(COUNTA(B16_Assessment!$A$45:$A$52)=0,"• No owner risks items captured for this building.",IF(B16_Assessment!$A$45&lt;&gt;"","• "&amp;B16_Assessment!$A$45&amp;" — "&amp;B16_Assessment!$C$45&amp;" ["&amp;B16_Assessment!$I$45&amp;"]"&amp;IF(B16_Assessment!$J$45&lt;&gt;""," — "&amp;B16_Assessment!$J$45,""),"")&amp;IF(B16_Assessment!$A$46&lt;&gt;"",IF(COUNTA(B16_Assessment!$A$45:$A$45)&gt;0,CHAR(10),"")&amp;"• "&amp;B16_Assessment!$A$46&amp;" — "&amp;B16_Assessment!$C$46&amp;" ["&amp;B16_Assessment!$I$46&amp;"]"&amp;IF(B16_Assessment!$J$46&lt;&gt;""," — "&amp;B16_Assessment!$J$46,""),"")&amp;IF(B16_Assessment!$A$47&lt;&gt;"",IF(COUNTA(B16_Assessment!$A$45:$A$46)&gt;0,CHAR(10),"")&amp;"• "&amp;B16_Assessment!$A$47&amp;" — "&amp;B16_Assessment!$C$47&amp;" ["&amp;B16_Assessment!$I$47&amp;"]"&amp;IF(B16_Assessment!$J$47&lt;&gt;""," — "&amp;B16_Assessment!$J$47,""),"")&amp;IF(B16_Assessment!$A$48&lt;&gt;"",IF(COUNTA(B16_Assessment!$A$45:$A$47)&gt;0,CHAR(10),"")&amp;"• "&amp;B16_Assessment!$A$48&amp;" — "&amp;B16_Assessment!$C$48&amp;" ["&amp;B16_Assessment!$I$48&amp;"]"&amp;IF(B16_Assessment!$J$48&lt;&gt;""," — "&amp;B16_Assessment!$J$48,""),"")&amp;IF(B16_Assessment!$A$49&lt;&gt;"",IF(COUNTA(B16_Assessment!$A$45:$A$48)&gt;0,CHAR(10),"")&amp;"• "&amp;B16_Assessment!$A$49&amp;" — "&amp;B16_Assessment!$C$49&amp;" ["&amp;B16_Assessment!$I$49&amp;"]"&amp;IF(B16_Assessment!$J$49&lt;&gt;""," — "&amp;B16_Assessment!$J$49,""),"")&amp;IF(B16_Assessment!$A$50&lt;&gt;"",IF(COUNTA(B16_Assessment!$A$45:$A$49)&gt;0,CHAR(10),"")&amp;"• "&amp;B16_Assessment!$A$50&amp;" — "&amp;B16_Assessment!$C$50&amp;" ["&amp;B16_Assessment!$I$50&amp;"]"&amp;IF(B16_Assessment!$J$50&lt;&gt;""," — "&amp;B16_Assessment!$J$50,""),"")&amp;IF(B16_Assessment!$A$51&lt;&gt;"",IF(COUNTA(B16_Assessment!$A$45:$A$50)&gt;0,CHAR(10),"")&amp;"• "&amp;B16_Assessment!$A$51&amp;" — "&amp;B16_Assessment!$C$51&amp;" ["&amp;B16_Assessment!$I$51&amp;"]"&amp;IF(B16_Assessment!$J$51&lt;&gt;""," — "&amp;B16_Assessment!$J$51,""),"")&amp;IF(B16_Assessment!$A$52&lt;&gt;"",IF(COUNTA(B16_Assessment!$A$45:$A$51)&gt;0,CHAR(10),"")&amp;"• "&amp;B16_Assessment!$A$52&amp;" — "&amp;B16_Assessment!$C$52&amp;" ["&amp;B16_Assessment!$I$52&amp;"]"&amp;IF(B16_Assessment!$J$52&lt;&gt;""," — "&amp;B16_Assessment!$J$52,""),""))</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J16" s="335" t="str">
        <f>IF(COUNTA(B16_Assessment!$A$56:$A$63)=0,"• No open questions items captured for this building.",IF(B16_Assessment!$A$56&lt;&gt;"","• "&amp;B16_Assessment!$A$56&amp;" — "&amp;B16_Assessment!$B$56&amp;" ["&amp;B16_Assessment!$D$56&amp;"]"&amp;IF(B16_Assessment!$G$56&lt;&gt;""," Impact: "&amp;B16_Assessment!$G$56,"")&amp;IF(B16_Assessment!$J$56&lt;&gt;""," — "&amp;B16_Assessment!$J$56,""),"")&amp;IF(B16_Assessment!$A$57&lt;&gt;"",IF(COUNTA(B16_Assessment!$A$56:$A$56)&gt;0,CHAR(10),"")&amp;"• "&amp;B16_Assessment!$A$57&amp;" — "&amp;B16_Assessment!$B$57&amp;" ["&amp;B16_Assessment!$D$57&amp;"]"&amp;IF(B16_Assessment!$G$57&lt;&gt;""," Impact: "&amp;B16_Assessment!$G$57,"")&amp;IF(B16_Assessment!$J$57&lt;&gt;""," — "&amp;B16_Assessment!$J$57,""),"")&amp;IF(B16_Assessment!$A$58&lt;&gt;"",IF(COUNTA(B16_Assessment!$A$56:$A$57)&gt;0,CHAR(10),"")&amp;"• "&amp;B16_Assessment!$A$58&amp;" — "&amp;B16_Assessment!$B$58&amp;" ["&amp;B16_Assessment!$D$58&amp;"]"&amp;IF(B16_Assessment!$G$58&lt;&gt;""," Impact: "&amp;B16_Assessment!$G$58,"")&amp;IF(B16_Assessment!$J$58&lt;&gt;""," — "&amp;B16_Assessment!$J$58,""),"")&amp;IF(B16_Assessment!$A$59&lt;&gt;"",IF(COUNTA(B16_Assessment!$A$56:$A$58)&gt;0,CHAR(10),"")&amp;"• "&amp;B16_Assessment!$A$59&amp;" — "&amp;B16_Assessment!$B$59&amp;" ["&amp;B16_Assessment!$D$59&amp;"]"&amp;IF(B16_Assessment!$G$59&lt;&gt;""," Impact: "&amp;B16_Assessment!$G$59,"")&amp;IF(B16_Assessment!$J$59&lt;&gt;""," — "&amp;B16_Assessment!$J$59,""),"")&amp;IF(B16_Assessment!$A$60&lt;&gt;"",IF(COUNTA(B16_Assessment!$A$56:$A$59)&gt;0,CHAR(10),"")&amp;"• "&amp;B16_Assessment!$A$60&amp;" — "&amp;B16_Assessment!$B$60&amp;" ["&amp;B16_Assessment!$D$60&amp;"]"&amp;IF(B16_Assessment!$G$60&lt;&gt;""," Impact: "&amp;B16_Assessment!$G$60,"")&amp;IF(B16_Assessment!$J$60&lt;&gt;""," — "&amp;B16_Assessment!$J$60,""),"")&amp;IF(B16_Assessment!$A$61&lt;&gt;"",IF(COUNTA(B16_Assessment!$A$56:$A$60)&gt;0,CHAR(10),"")&amp;"• "&amp;B16_Assessment!$A$61&amp;" — "&amp;B16_Assessment!$B$61&amp;" ["&amp;B16_Assessment!$D$61&amp;"]"&amp;IF(B16_Assessment!$G$61&lt;&gt;""," Impact: "&amp;B16_Assessment!$G$61,"")&amp;IF(B16_Assessment!$J$61&lt;&gt;""," — "&amp;B16_Assessment!$J$61,""),"")&amp;IF(B16_Assessment!$A$62&lt;&gt;"",IF(COUNTA(B16_Assessment!$A$56:$A$61)&gt;0,CHAR(10),"")&amp;"• "&amp;B16_Assessment!$A$62&amp;" — "&amp;B16_Assessment!$B$62&amp;" ["&amp;B16_Assessment!$D$62&amp;"]"&amp;IF(B16_Assessment!$G$62&lt;&gt;""," Impact: "&amp;B16_Assessment!$G$62,"")&amp;IF(B16_Assessment!$J$62&lt;&gt;""," — "&amp;B16_Assessment!$J$62,""),"")&amp;IF(B16_Assessment!$A$63&lt;&gt;"",IF(COUNTA(B16_Assessment!$A$56:$A$62)&gt;0,CHAR(10),"")&amp;"• "&amp;B16_Assessment!$A$63&amp;" — "&amp;B16_Assessment!$B$63&amp;" ["&amp;B16_Assessment!$D$63&amp;"]"&amp;IF(B16_Assessment!$G$63&lt;&gt;""," Impact: "&amp;B16_Assessment!$G$63,"")&amp;IF(B16_Assessment!$J$63&lt;&gt;""," — "&amp;B16_Assessment!$J$63,""),""))</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K16" s="335" t="str">
        <f>IFERROR(B16_Assessment!$H$4,"")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14999999999998" customHeight="1">
      <c r="A17" s="546" t="str">
        <f>_Command_Source!A17</f>
        <v>17</v>
      </c>
      <c r="B17" s="546" t="str">
        <f>_Command_Source!C17</f>
        <v>B17</v>
      </c>
      <c r="C17" s="546" t="str">
        <f>_Command_Source!B17</f>
        <v>B17_Assessment</v>
      </c>
      <c r="D17" s="335" t="str">
        <f>IF(COUNTA(B17_Assessment!$J$22:$J$24)=0,"• No fire / life safety items captured for this building.",IF(B17_Assessment!$J$22&lt;&gt;"","• "&amp;B17_Assessment!$J$22&amp;IF(COUNTA(B17_Assessment!$J$23:$J$24)&gt;0,CHAR(10),""),"")&amp;IF(B17_Assessment!$J$23&lt;&gt;"","• "&amp;B17_Assessment!$J$23&amp;IF(COUNTA(B17_Assessment!$J$24:$J$24)&gt;0,CHAR(10),""),"")&amp;IF(B17_Assessment!$J$24&lt;&gt;"","• "&amp;B17_Assessment!$J$24,""))</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7" s="335" t="str">
        <f>IF(COUNTA(B17_Assessment!$J$28:$J$30)=0,"• No hvac / cooling items captured for this building.",IF(B17_Assessment!$J$28&lt;&gt;"","• "&amp;B17_Assessment!$J$28&amp;IF(COUNTA(B17_Assessment!$J$29:$J$30)&gt;0,CHAR(10),""),"")&amp;IF(B17_Assessment!$J$29&lt;&gt;"","• "&amp;B17_Assessment!$J$29&amp;IF(COUNTA(B17_Assessment!$J$30:$J$30)&gt;0,CHAR(10),""),"")&amp;IF(B17_Assessment!$J$30&lt;&gt;"","• "&amp;B17_Assessment!$J$30,""))</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7" s="335" t="str">
        <f>IF(COUNTA(B17_Assessment!$J$34:$J$36)=0,"• No electrical / ups items captured for this building.",IF(B17_Assessment!$J$34&lt;&gt;"","• "&amp;B17_Assessment!$J$34&amp;IF(COUNTA(B17_Assessment!$J$35:$J$36)&gt;0,CHAR(10),""),"")&amp;IF(B17_Assessment!$J$35&lt;&gt;"","• "&amp;B17_Assessment!$J$35&amp;IF(COUNTA(B17_Assessment!$J$36:$J$36)&gt;0,CHAR(10),""),"")&amp;IF(B17_Assessment!$J$36&lt;&gt;"","• "&amp;B17_Assessment!$J$36,""))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7" s="335" t="str">
        <f>IF(COUNTA(B17_Assessment!$J$40:$J$42)=0,"• No telecom / fiber items captured for this building.",IF(B17_Assessment!$J$40&lt;&gt;"","• "&amp;B17_Assessment!$J$40&amp;IF(COUNTA(B17_Assessment!$J$41:$J$42)&gt;0,CHAR(10),""),"")&amp;IF(B17_Assessment!$J$41&lt;&gt;"","• "&amp;B17_Assessment!$J$41&amp;IF(COUNTA(B17_Assessment!$J$42:$J$42)&gt;0,CHAR(10),""),"")&amp;IF(B17_Assessment!$J$42&lt;&gt;"","• "&amp;B17_Assessment!$J$42,""))</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7" s="335" t="str">
        <f>IF(COUNTA(B17_Assessment!$J$46:$J$48)=0,"• No security / pacs / cctv items captured for this building.",IF(B17_Assessment!$J$46&lt;&gt;"","• "&amp;B17_Assessment!$J$46&amp;IF(COUNTA(B17_Assessment!$J$47:$J$48)&gt;0,CHAR(10),""),"")&amp;IF(B17_Assessment!$J$47&lt;&gt;"","• "&amp;B17_Assessment!$J$47&amp;IF(COUNTA(B17_Assessment!$J$48:$J$48)&gt;0,CHAR(10),""),"")&amp;IF(B17_Assessment!$J$48&lt;&gt;"","• "&amp;B17_Assessment!$J$48,""))</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I17" s="335" t="str">
        <f>IF(COUNTA(B17_Assessment!$A$52:$A$59)=0,"• No owner risks items captured for this building.",IF(B17_Assessment!$A$52&lt;&gt;"","• "&amp;B17_Assessment!$A$52&amp;" — "&amp;B17_Assessment!$C$52&amp;" ["&amp;B17_Assessment!$I$52&amp;"]"&amp;IF(B17_Assessment!$J$52&lt;&gt;""," — "&amp;B17_Assessment!$J$52,""),"")&amp;IF(B17_Assessment!$A$53&lt;&gt;"",IF(COUNTA(B17_Assessment!$A$52:$A$52)&gt;0,CHAR(10),"")&amp;"• "&amp;B17_Assessment!$A$53&amp;" — "&amp;B17_Assessment!$C$53&amp;" ["&amp;B17_Assessment!$I$53&amp;"]"&amp;IF(B17_Assessment!$J$53&lt;&gt;""," — "&amp;B17_Assessment!$J$53,""),"")&amp;IF(B17_Assessment!$A$54&lt;&gt;"",IF(COUNTA(B17_Assessment!$A$52:$A$53)&gt;0,CHAR(10),"")&amp;"• "&amp;B17_Assessment!$A$54&amp;" — "&amp;B17_Assessment!$C$54&amp;" ["&amp;B17_Assessment!$I$54&amp;"]"&amp;IF(B17_Assessment!$J$54&lt;&gt;""," — "&amp;B17_Assessment!$J$54,""),"")&amp;IF(B17_Assessment!$A$55&lt;&gt;"",IF(COUNTA(B17_Assessment!$A$52:$A$54)&gt;0,CHAR(10),"")&amp;"• "&amp;B17_Assessment!$A$55&amp;" — "&amp;B17_Assessment!$C$55&amp;" ["&amp;B17_Assessment!$I$55&amp;"]"&amp;IF(B17_Assessment!$J$55&lt;&gt;""," — "&amp;B17_Assessment!$J$55,""),"")&amp;IF(B17_Assessment!$A$56&lt;&gt;"",IF(COUNTA(B17_Assessment!$A$52:$A$55)&gt;0,CHAR(10),"")&amp;"• "&amp;B17_Assessment!$A$56&amp;" — "&amp;B17_Assessment!$C$56&amp;" ["&amp;B17_Assessment!$I$56&amp;"]"&amp;IF(B17_Assessment!$J$56&lt;&gt;""," — "&amp;B17_Assessment!$J$56,""),"")&amp;IF(B17_Assessment!$A$57&lt;&gt;"",IF(COUNTA(B17_Assessment!$A$52:$A$56)&gt;0,CHAR(10),"")&amp;"• "&amp;B17_Assessment!$A$57&amp;" — "&amp;B17_Assessment!$C$57&amp;" ["&amp;B17_Assessment!$I$57&amp;"]"&amp;IF(B17_Assessment!$J$57&lt;&gt;""," — "&amp;B17_Assessment!$J$57,""),"")&amp;IF(B17_Assessment!$A$58&lt;&gt;"",IF(COUNTA(B17_Assessment!$A$52:$A$57)&gt;0,CHAR(10),"")&amp;"• "&amp;B17_Assessment!$A$58&amp;" — "&amp;B17_Assessment!$C$58&amp;" ["&amp;B17_Assessment!$I$58&amp;"]"&amp;IF(B17_Assessment!$J$58&lt;&gt;""," — "&amp;B17_Assessment!$J$58,""),"")&amp;IF(B17_Assessment!$A$59&lt;&gt;"",IF(COUNTA(B17_Assessment!$A$52:$A$58)&gt;0,CHAR(10),"")&amp;"• "&amp;B17_Assessment!$A$59&amp;" — "&amp;B17_Assessment!$C$59&amp;" ["&amp;B17_Assessment!$I$59&amp;"]"&amp;IF(B17_Assessment!$J$59&lt;&gt;""," — "&amp;B17_Assessment!$J$59,""),""))</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J17" s="335" t="str">
        <f>IF(COUNTA(B17_Assessment!$A$63:$A$70)=0,"• No open questions items captured for this building.",IF(B17_Assessment!$A$63&lt;&gt;"","• "&amp;B17_Assessment!$A$63&amp;" — "&amp;B17_Assessment!$B$63&amp;" ["&amp;B17_Assessment!$D$63&amp;"]"&amp;IF(B17_Assessment!$G$63&lt;&gt;""," Impact: "&amp;B17_Assessment!$G$63,"")&amp;IF(B17_Assessment!$J$63&lt;&gt;""," — "&amp;B17_Assessment!$J$63,""),"")&amp;IF(B17_Assessment!$A$64&lt;&gt;"",IF(COUNTA(B17_Assessment!$A$63:$A$63)&gt;0,CHAR(10),"")&amp;"• "&amp;B17_Assessment!$A$64&amp;" — "&amp;B17_Assessment!$B$64&amp;" ["&amp;B17_Assessment!$D$64&amp;"]"&amp;IF(B17_Assessment!$G$64&lt;&gt;""," Impact: "&amp;B17_Assessment!$G$64,"")&amp;IF(B17_Assessment!$J$64&lt;&gt;""," — "&amp;B17_Assessment!$J$64,""),"")&amp;IF(B17_Assessment!$A$65&lt;&gt;"",IF(COUNTA(B17_Assessment!$A$63:$A$64)&gt;0,CHAR(10),"")&amp;"• "&amp;B17_Assessment!$A$65&amp;" — "&amp;B17_Assessment!$B$65&amp;" ["&amp;B17_Assessment!$D$65&amp;"]"&amp;IF(B17_Assessment!$G$65&lt;&gt;""," Impact: "&amp;B17_Assessment!$G$65,"")&amp;IF(B17_Assessment!$J$65&lt;&gt;""," — "&amp;B17_Assessment!$J$65,""),"")&amp;IF(B17_Assessment!$A$66&lt;&gt;"",IF(COUNTA(B17_Assessment!$A$63:$A$65)&gt;0,CHAR(10),"")&amp;"• "&amp;B17_Assessment!$A$66&amp;" — "&amp;B17_Assessment!$B$66&amp;" ["&amp;B17_Assessment!$D$66&amp;"]"&amp;IF(B17_Assessment!$G$66&lt;&gt;""," Impact: "&amp;B17_Assessment!$G$66,"")&amp;IF(B17_Assessment!$J$66&lt;&gt;""," — "&amp;B17_Assessment!$J$66,""),"")&amp;IF(B17_Assessment!$A$67&lt;&gt;"",IF(COUNTA(B17_Assessment!$A$63:$A$66)&gt;0,CHAR(10),"")&amp;"• "&amp;B17_Assessment!$A$67&amp;" — "&amp;B17_Assessment!$B$67&amp;" ["&amp;B17_Assessment!$D$67&amp;"]"&amp;IF(B17_Assessment!$G$67&lt;&gt;""," Impact: "&amp;B17_Assessment!$G$67,"")&amp;IF(B17_Assessment!$J$67&lt;&gt;""," — "&amp;B17_Assessment!$J$67,""),"")&amp;IF(B17_Assessment!$A$68&lt;&gt;"",IF(COUNTA(B17_Assessment!$A$63:$A$67)&gt;0,CHAR(10),"")&amp;"• "&amp;B17_Assessment!$A$68&amp;" — "&amp;B17_Assessment!$B$68&amp;" ["&amp;B17_Assessment!$D$68&amp;"]"&amp;IF(B17_Assessment!$G$68&lt;&gt;""," Impact: "&amp;B17_Assessment!$G$68,"")&amp;IF(B17_Assessment!$J$68&lt;&gt;""," — "&amp;B17_Assessment!$J$68,""),"")&amp;IF(B17_Assessment!$A$69&lt;&gt;"",IF(COUNTA(B17_Assessment!$A$63:$A$68)&gt;0,CHAR(10),"")&amp;"• "&amp;B17_Assessment!$A$69&amp;" — "&amp;B17_Assessment!$B$69&amp;" ["&amp;B17_Assessment!$D$69&amp;"]"&amp;IF(B17_Assessment!$G$69&lt;&gt;""," Impact: "&amp;B17_Assessment!$G$69,"")&amp;IF(B17_Assessment!$J$69&lt;&gt;""," — "&amp;B17_Assessment!$J$69,""),"")&amp;IF(B17_Assessment!$A$70&lt;&gt;"",IF(COUNTA(B17_Assessment!$A$63:$A$69)&gt;0,CHAR(10),"")&amp;"• "&amp;B17_Assessment!$A$70&amp;" — "&amp;B17_Assessment!$B$70&amp;" ["&amp;B17_Assessment!$D$70&amp;"]"&amp;IF(B17_Assessment!$G$70&lt;&gt;""," Impact: "&amp;B17_Assessment!$G$70,"")&amp;IF(B17_Assessment!$J$70&lt;&gt;""," — "&amp;B17_Assessment!$J$70,""),""))</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K17" s="335" t="str">
        <f>IFERROR(B17_Assessment!$H$4,"")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14999999999998" customHeight="1">
      <c r="A18" s="546" t="str">
        <f>_Command_Source!A18</f>
        <v>18</v>
      </c>
      <c r="B18" s="546" t="str">
        <f>_Command_Source!C18</f>
        <v>B18</v>
      </c>
      <c r="C18" s="546" t="str">
        <f>_Command_Source!B18</f>
        <v>B18_Assessment</v>
      </c>
      <c r="D18" s="335" t="str">
        <f>IF(COUNTA(B18_Assessment!$J$22:$J$24)=0,"• No fire / life safety items captured for this building.",IF(B18_Assessment!$J$22&lt;&gt;"","• "&amp;B18_Assessment!$J$22&amp;IF(COUNTA(B18_Assessment!$J$23:$J$24)&gt;0,CHAR(10),""),"")&amp;IF(B18_Assessment!$J$23&lt;&gt;"","• "&amp;B18_Assessment!$J$23&amp;IF(COUNTA(B18_Assessment!$J$24:$J$24)&gt;0,CHAR(10),""),"")&amp;IF(B18_Assessment!$J$24&lt;&gt;"","• "&amp;B18_Assessment!$J$24,""))</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8" s="335" t="str">
        <f>IF(COUNTA(B18_Assessment!$J$28:$J$30)=0,"• No hvac / cooling items captured for this building.",IF(B18_Assessment!$J$28&lt;&gt;"","• "&amp;B18_Assessment!$J$28&amp;IF(COUNTA(B18_Assessment!$J$29:$J$30)&gt;0,CHAR(10),""),"")&amp;IF(B18_Assessment!$J$29&lt;&gt;"","• "&amp;B18_Assessment!$J$29&amp;IF(COUNTA(B18_Assessment!$J$30:$J$30)&gt;0,CHAR(10),""),"")&amp;IF(B18_Assessment!$J$30&lt;&gt;"","• "&amp;B18_Assessment!$J$30,""))</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8" s="335" t="str">
        <f>IF(COUNTA(B18_Assessment!$J$34:$J$36)=0,"• No electrical / ups items captured for this building.",IF(B18_Assessment!$J$34&lt;&gt;"","• "&amp;B18_Assessment!$J$34&amp;IF(COUNTA(B18_Assessment!$J$35:$J$36)&gt;0,CHAR(10),""),"")&amp;IF(B18_Assessment!$J$35&lt;&gt;"","• "&amp;B18_Assessment!$J$35&amp;IF(COUNTA(B18_Assessment!$J$36:$J$36)&gt;0,CHAR(10),""),"")&amp;IF(B18_Assessment!$J$36&lt;&gt;"","• "&amp;B18_Assessment!$J$36,""))</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8" s="335" t="str">
        <f>IF(COUNTA(B18_Assessment!$J$40:$J$42)=0,"• No telecom / fiber items captured for this building.",IF(B18_Assessment!$J$40&lt;&gt;"","• "&amp;B18_Assessment!$J$40&amp;IF(COUNTA(B18_Assessment!$J$41:$J$42)&gt;0,CHAR(10),""),"")&amp;IF(B18_Assessment!$J$41&lt;&gt;"","• "&amp;B18_Assessment!$J$41&amp;IF(COUNTA(B18_Assessment!$J$42:$J$42)&gt;0,CHAR(10),""),"")&amp;IF(B18_Assessment!$J$42&lt;&gt;"","• "&amp;B18_Assessment!$J$42,""))</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8" s="335" t="str">
        <f>IF(COUNTA(B18_Assessment!$J$46:$J$48)=0,"• No security / pacs / cctv items captured for this building.",IF(B18_Assessment!$J$46&lt;&gt;"","• "&amp;B18_Assessment!$J$46&amp;IF(COUNTA(B18_Assessment!$J$47:$J$48)&gt;0,CHAR(10),""),"")&amp;IF(B18_Assessment!$J$47&lt;&gt;"","• "&amp;B18_Assessment!$J$47&amp;IF(COUNTA(B18_Assessment!$J$48:$J$48)&gt;0,CHAR(10),""),"")&amp;IF(B18_Assessment!$J$48&lt;&gt;"","• "&amp;B18_Assessment!$J$48,""))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I18" s="335" t="str">
        <f>IF(COUNTA(B18_Assessment!$A$52:$A$59)=0,"• No owner risks items captured for this building.",IF(B18_Assessment!$A$52&lt;&gt;"","• "&amp;B18_Assessment!$A$52&amp;" — "&amp;B18_Assessment!$C$52&amp;" ["&amp;B18_Assessment!$I$52&amp;"]"&amp;IF(B18_Assessment!$J$52&lt;&gt;""," — "&amp;B18_Assessment!$J$52,""),"")&amp;IF(B18_Assessment!$A$53&lt;&gt;"",IF(COUNTA(B18_Assessment!$A$52:$A$52)&gt;0,CHAR(10),"")&amp;"• "&amp;B18_Assessment!$A$53&amp;" — "&amp;B18_Assessment!$C$53&amp;" ["&amp;B18_Assessment!$I$53&amp;"]"&amp;IF(B18_Assessment!$J$53&lt;&gt;""," — "&amp;B18_Assessment!$J$53,""),"")&amp;IF(B18_Assessment!$A$54&lt;&gt;"",IF(COUNTA(B18_Assessment!$A$52:$A$53)&gt;0,CHAR(10),"")&amp;"• "&amp;B18_Assessment!$A$54&amp;" — "&amp;B18_Assessment!$C$54&amp;" ["&amp;B18_Assessment!$I$54&amp;"]"&amp;IF(B18_Assessment!$J$54&lt;&gt;""," — "&amp;B18_Assessment!$J$54,""),"")&amp;IF(B18_Assessment!$A$55&lt;&gt;"",IF(COUNTA(B18_Assessment!$A$52:$A$54)&gt;0,CHAR(10),"")&amp;"• "&amp;B18_Assessment!$A$55&amp;" — "&amp;B18_Assessment!$C$55&amp;" ["&amp;B18_Assessment!$I$55&amp;"]"&amp;IF(B18_Assessment!$J$55&lt;&gt;""," — "&amp;B18_Assessment!$J$55,""),"")&amp;IF(B18_Assessment!$A$56&lt;&gt;"",IF(COUNTA(B18_Assessment!$A$52:$A$55)&gt;0,CHAR(10),"")&amp;"• "&amp;B18_Assessment!$A$56&amp;" — "&amp;B18_Assessment!$C$56&amp;" ["&amp;B18_Assessment!$I$56&amp;"]"&amp;IF(B18_Assessment!$J$56&lt;&gt;""," — "&amp;B18_Assessment!$J$56,""),"")&amp;IF(B18_Assessment!$A$57&lt;&gt;"",IF(COUNTA(B18_Assessment!$A$52:$A$56)&gt;0,CHAR(10),"")&amp;"• "&amp;B18_Assessment!$A$57&amp;" — "&amp;B18_Assessment!$C$57&amp;" ["&amp;B18_Assessment!$I$57&amp;"]"&amp;IF(B18_Assessment!$J$57&lt;&gt;""," — "&amp;B18_Assessment!$J$57,""),"")&amp;IF(B18_Assessment!$A$58&lt;&gt;"",IF(COUNTA(B18_Assessment!$A$52:$A$57)&gt;0,CHAR(10),"")&amp;"• "&amp;B18_Assessment!$A$58&amp;" — "&amp;B18_Assessment!$C$58&amp;" ["&amp;B18_Assessment!$I$58&amp;"]"&amp;IF(B18_Assessment!$J$58&lt;&gt;""," — "&amp;B18_Assessment!$J$58,""),"")&amp;IF(B18_Assessment!$A$59&lt;&gt;"",IF(COUNTA(B18_Assessment!$A$52:$A$58)&gt;0,CHAR(10),"")&amp;"• "&amp;B18_Assessment!$A$59&amp;" — "&amp;B18_Assessment!$C$59&amp;" ["&amp;B18_Assessment!$I$59&amp;"]"&amp;IF(B18_Assessment!$J$59&lt;&gt;""," — "&amp;B18_Assessment!$J$59,""),""))</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J18" s="335" t="str">
        <f>IF(COUNTA(B18_Assessment!$A$63:$A$70)=0,"• No open questions items captured for this building.",IF(B18_Assessment!$A$63&lt;&gt;"","• "&amp;B18_Assessment!$A$63&amp;" — "&amp;B18_Assessment!$B$63&amp;" ["&amp;B18_Assessment!$D$63&amp;"]"&amp;IF(B18_Assessment!$G$63&lt;&gt;""," Impact: "&amp;B18_Assessment!$G$63,"")&amp;IF(B18_Assessment!$J$63&lt;&gt;""," — "&amp;B18_Assessment!$J$63,""),"")&amp;IF(B18_Assessment!$A$64&lt;&gt;"",IF(COUNTA(B18_Assessment!$A$63:$A$63)&gt;0,CHAR(10),"")&amp;"• "&amp;B18_Assessment!$A$64&amp;" — "&amp;B18_Assessment!$B$64&amp;" ["&amp;B18_Assessment!$D$64&amp;"]"&amp;IF(B18_Assessment!$G$64&lt;&gt;""," Impact: "&amp;B18_Assessment!$G$64,"")&amp;IF(B18_Assessment!$J$64&lt;&gt;""," — "&amp;B18_Assessment!$J$64,""),"")&amp;IF(B18_Assessment!$A$65&lt;&gt;"",IF(COUNTA(B18_Assessment!$A$63:$A$64)&gt;0,CHAR(10),"")&amp;"• "&amp;B18_Assessment!$A$65&amp;" — "&amp;B18_Assessment!$B$65&amp;" ["&amp;B18_Assessment!$D$65&amp;"]"&amp;IF(B18_Assessment!$G$65&lt;&gt;""," Impact: "&amp;B18_Assessment!$G$65,"")&amp;IF(B18_Assessment!$J$65&lt;&gt;""," — "&amp;B18_Assessment!$J$65,""),"")&amp;IF(B18_Assessment!$A$66&lt;&gt;"",IF(COUNTA(B18_Assessment!$A$63:$A$65)&gt;0,CHAR(10),"")&amp;"• "&amp;B18_Assessment!$A$66&amp;" — "&amp;B18_Assessment!$B$66&amp;" ["&amp;B18_Assessment!$D$66&amp;"]"&amp;IF(B18_Assessment!$G$66&lt;&gt;""," Impact: "&amp;B18_Assessment!$G$66,"")&amp;IF(B18_Assessment!$J$66&lt;&gt;""," — "&amp;B18_Assessment!$J$66,""),"")&amp;IF(B18_Assessment!$A$67&lt;&gt;"",IF(COUNTA(B18_Assessment!$A$63:$A$66)&gt;0,CHAR(10),"")&amp;"• "&amp;B18_Assessment!$A$67&amp;" — "&amp;B18_Assessment!$B$67&amp;" ["&amp;B18_Assessment!$D$67&amp;"]"&amp;IF(B18_Assessment!$G$67&lt;&gt;""," Impact: "&amp;B18_Assessment!$G$67,"")&amp;IF(B18_Assessment!$J$67&lt;&gt;""," — "&amp;B18_Assessment!$J$67,""),"")&amp;IF(B18_Assessment!$A$68&lt;&gt;"",IF(COUNTA(B18_Assessment!$A$63:$A$67)&gt;0,CHAR(10),"")&amp;"• "&amp;B18_Assessment!$A$68&amp;" — "&amp;B18_Assessment!$B$68&amp;" ["&amp;B18_Assessment!$D$68&amp;"]"&amp;IF(B18_Assessment!$G$68&lt;&gt;""," Impact: "&amp;B18_Assessment!$G$68,"")&amp;IF(B18_Assessment!$J$68&lt;&gt;""," — "&amp;B18_Assessment!$J$68,""),"")&amp;IF(B18_Assessment!$A$69&lt;&gt;"",IF(COUNTA(B18_Assessment!$A$63:$A$68)&gt;0,CHAR(10),"")&amp;"• "&amp;B18_Assessment!$A$69&amp;" — "&amp;B18_Assessment!$B$69&amp;" ["&amp;B18_Assessment!$D$69&amp;"]"&amp;IF(B18_Assessment!$G$69&lt;&gt;""," Impact: "&amp;B18_Assessment!$G$69,"")&amp;IF(B18_Assessment!$J$69&lt;&gt;""," — "&amp;B18_Assessment!$J$69,""),"")&amp;IF(B18_Assessment!$A$70&lt;&gt;"",IF(COUNTA(B18_Assessment!$A$63:$A$69)&gt;0,CHAR(10),"")&amp;"• "&amp;B18_Assessment!$A$70&amp;" — "&amp;B18_Assessment!$B$70&amp;" ["&amp;B18_Assessment!$D$70&amp;"]"&amp;IF(B18_Assessment!$G$70&lt;&gt;""," Impact: "&amp;B18_Assessment!$G$70,"")&amp;IF(B18_Assessment!$J$70&lt;&gt;""," — "&amp;B18_Assessment!$J$70,""),""))</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K18" s="335" t="str">
        <f>IFERROR(B18_Assessment!$H$4,"")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14999999999998" customHeight="1">
      <c r="A19" s="546" t="str">
        <f>_Command_Source!A19</f>
        <v>20</v>
      </c>
      <c r="B19" s="546" t="str">
        <f>_Command_Source!C19</f>
        <v>B20</v>
      </c>
      <c r="C19" s="546" t="str">
        <f>_Command_Source!B19</f>
        <v>B20_Assessment</v>
      </c>
      <c r="D19" s="335" t="str">
        <f>IF(COUNTA(B20_Assessment!$J$20:$J$21)=0,"• No fire / life safety items captured for this building.",IF(B20_Assessment!$J$20&lt;&gt;"","• "&amp;B20_Assessment!$J$20&amp;IF(COUNTA(B20_Assessment!$J$21:$J$21)&gt;0,CHAR(10),""),"")&amp;IF(B20_Assessment!$J$21&lt;&gt;"","• "&amp;B20_Assessment!$J$21,""))</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9" s="335" t="str">
        <f>IF(COUNTA(B20_Assessment!$J$25:$J$26)=0,"• No hvac / cooling items captured for this building.",IF(B20_Assessment!$J$25&lt;&gt;"","• "&amp;B20_Assessment!$J$25&amp;IF(COUNTA(B20_Assessment!$J$26:$J$26)&gt;0,CHAR(10),""),"")&amp;IF(B20_Assessment!$J$26&lt;&gt;"","• "&amp;B20_Assessment!$J$26,""))</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9" s="335" t="str">
        <f>IF(COUNTA(B20_Assessment!$J$30:$J$31)=0,"• No electrical / ups items captured for this building.",IF(B20_Assessment!$J$30&lt;&gt;"","• "&amp;B20_Assessment!$J$30&amp;IF(COUNTA(B20_Assessment!$J$31:$J$31)&gt;0,CHAR(10),""),"")&amp;IF(B20_Assessment!$J$31&lt;&gt;"","• "&amp;B20_Assessment!$J$31,""))</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9" s="335" t="str">
        <f>IF(COUNTA(B20_Assessment!$J$35:$J$36)=0,"• No telecom / fiber items captured for this building.",IF(B20_Assessment!$J$35&lt;&gt;"","• "&amp;B20_Assessment!$J$35&amp;IF(COUNTA(B20_Assessment!$J$36:$J$36)&gt;0,CHAR(10),""),"")&amp;IF(B20_Assessment!$J$36&lt;&gt;"","• "&amp;B20_Assessment!$J$36,""))</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9" s="335" t="str">
        <f>IF(COUNTA(B20_Assessment!$J$40:$J$41)=0,"• No security / pacs / cctv items captured for this building.",IF(B20_Assessment!$J$40&lt;&gt;"","• "&amp;B20_Assessment!$J$40&amp;IF(COUNTA(B20_Assessment!$J$41:$J$41)&gt;0,CHAR(10),""),"")&amp;IF(B20_Assessment!$J$41&lt;&gt;"","• "&amp;B20_Assessment!$J$41,""))</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I19" s="335" t="str">
        <f>IF(COUNTA(B20_Assessment!$A$45:$A$52)=0,"• No owner risks items captured for this building.",IF(B20_Assessment!$A$45&lt;&gt;"","• "&amp;B20_Assessment!$A$45&amp;" — "&amp;B20_Assessment!$C$45&amp;" ["&amp;B20_Assessment!$I$45&amp;"]"&amp;IF(B20_Assessment!$J$45&lt;&gt;""," — "&amp;B20_Assessment!$J$45,""),"")&amp;IF(B20_Assessment!$A$46&lt;&gt;"",IF(COUNTA(B20_Assessment!$A$45:$A$45)&gt;0,CHAR(10),"")&amp;"• "&amp;B20_Assessment!$A$46&amp;" — "&amp;B20_Assessment!$C$46&amp;" ["&amp;B20_Assessment!$I$46&amp;"]"&amp;IF(B20_Assessment!$J$46&lt;&gt;""," — "&amp;B20_Assessment!$J$46,""),"")&amp;IF(B20_Assessment!$A$47&lt;&gt;"",IF(COUNTA(B20_Assessment!$A$45:$A$46)&gt;0,CHAR(10),"")&amp;"• "&amp;B20_Assessment!$A$47&amp;" — "&amp;B20_Assessment!$C$47&amp;" ["&amp;B20_Assessment!$I$47&amp;"]"&amp;IF(B20_Assessment!$J$47&lt;&gt;""," — "&amp;B20_Assessment!$J$47,""),"")&amp;IF(B20_Assessment!$A$48&lt;&gt;"",IF(COUNTA(B20_Assessment!$A$45:$A$47)&gt;0,CHAR(10),"")&amp;"• "&amp;B20_Assessment!$A$48&amp;" — "&amp;B20_Assessment!$C$48&amp;" ["&amp;B20_Assessment!$I$48&amp;"]"&amp;IF(B20_Assessment!$J$48&lt;&gt;""," — "&amp;B20_Assessment!$J$48,""),"")&amp;IF(B20_Assessment!$A$49&lt;&gt;"",IF(COUNTA(B20_Assessment!$A$45:$A$48)&gt;0,CHAR(10),"")&amp;"• "&amp;B20_Assessment!$A$49&amp;" — "&amp;B20_Assessment!$C$49&amp;" ["&amp;B20_Assessment!$I$49&amp;"]"&amp;IF(B20_Assessment!$J$49&lt;&gt;""," — "&amp;B20_Assessment!$J$49,""),"")&amp;IF(B20_Assessment!$A$50&lt;&gt;"",IF(COUNTA(B20_Assessment!$A$45:$A$49)&gt;0,CHAR(10),"")&amp;"• "&amp;B20_Assessment!$A$50&amp;" — "&amp;B20_Assessment!$C$50&amp;" ["&amp;B20_Assessment!$I$50&amp;"]"&amp;IF(B20_Assessment!$J$50&lt;&gt;""," — "&amp;B20_Assessment!$J$50,""),"")&amp;IF(B20_Assessment!$A$51&lt;&gt;"",IF(COUNTA(B20_Assessment!$A$45:$A$50)&gt;0,CHAR(10),"")&amp;"• "&amp;B20_Assessment!$A$51&amp;" — "&amp;B20_Assessment!$C$51&amp;" ["&amp;B20_Assessment!$I$51&amp;"]"&amp;IF(B20_Assessment!$J$51&lt;&gt;""," — "&amp;B20_Assessment!$J$51,""),"")&amp;IF(B20_Assessment!$A$52&lt;&gt;"",IF(COUNTA(B20_Assessment!$A$45:$A$51)&gt;0,CHAR(10),"")&amp;"• "&amp;B20_Assessment!$A$52&amp;" — "&amp;B20_Assessment!$C$52&amp;" ["&amp;B20_Assessment!$I$52&amp;"]"&amp;IF(B20_Assessment!$J$52&lt;&gt;""," — "&amp;B20_Assessment!$J$52,""),""))</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J19" s="335" t="str">
        <f>IF(COUNTA(B20_Assessment!$A$56:$A$63)=0,"• No open questions items captured for this building.",IF(B20_Assessment!$A$56&lt;&gt;"","• "&amp;B20_Assessment!$A$56&amp;" — "&amp;B20_Assessment!$B$56&amp;" ["&amp;B20_Assessment!$D$56&amp;"]"&amp;IF(B20_Assessment!$G$56&lt;&gt;""," Impact: "&amp;B20_Assessment!$G$56,"")&amp;IF(B20_Assessment!$J$56&lt;&gt;""," — "&amp;B20_Assessment!$J$56,""),"")&amp;IF(B20_Assessment!$A$57&lt;&gt;"",IF(COUNTA(B20_Assessment!$A$56:$A$56)&gt;0,CHAR(10),"")&amp;"• "&amp;B20_Assessment!$A$57&amp;" — "&amp;B20_Assessment!$B$57&amp;" ["&amp;B20_Assessment!$D$57&amp;"]"&amp;IF(B20_Assessment!$G$57&lt;&gt;""," Impact: "&amp;B20_Assessment!$G$57,"")&amp;IF(B20_Assessment!$J$57&lt;&gt;""," — "&amp;B20_Assessment!$J$57,""),"")&amp;IF(B20_Assessment!$A$58&lt;&gt;"",IF(COUNTA(B20_Assessment!$A$56:$A$57)&gt;0,CHAR(10),"")&amp;"• "&amp;B20_Assessment!$A$58&amp;" — "&amp;B20_Assessment!$B$58&amp;" ["&amp;B20_Assessment!$D$58&amp;"]"&amp;IF(B20_Assessment!$G$58&lt;&gt;""," Impact: "&amp;B20_Assessment!$G$58,"")&amp;IF(B20_Assessment!$J$58&lt;&gt;""," — "&amp;B20_Assessment!$J$58,""),"")&amp;IF(B20_Assessment!$A$59&lt;&gt;"",IF(COUNTA(B20_Assessment!$A$56:$A$58)&gt;0,CHAR(10),"")&amp;"• "&amp;B20_Assessment!$A$59&amp;" — "&amp;B20_Assessment!$B$59&amp;" ["&amp;B20_Assessment!$D$59&amp;"]"&amp;IF(B20_Assessment!$G$59&lt;&gt;""," Impact: "&amp;B20_Assessment!$G$59,"")&amp;IF(B20_Assessment!$J$59&lt;&gt;""," — "&amp;B20_Assessment!$J$59,""),"")&amp;IF(B20_Assessment!$A$60&lt;&gt;"",IF(COUNTA(B20_Assessment!$A$56:$A$59)&gt;0,CHAR(10),"")&amp;"• "&amp;B20_Assessment!$A$60&amp;" — "&amp;B20_Assessment!$B$60&amp;" ["&amp;B20_Assessment!$D$60&amp;"]"&amp;IF(B20_Assessment!$G$60&lt;&gt;""," Impact: "&amp;B20_Assessment!$G$60,"")&amp;IF(B20_Assessment!$J$60&lt;&gt;""," — "&amp;B20_Assessment!$J$60,""),"")&amp;IF(B20_Assessment!$A$61&lt;&gt;"",IF(COUNTA(B20_Assessment!$A$56:$A$60)&gt;0,CHAR(10),"")&amp;"• "&amp;B20_Assessment!$A$61&amp;" — "&amp;B20_Assessment!$B$61&amp;" ["&amp;B20_Assessment!$D$61&amp;"]"&amp;IF(B20_Assessment!$G$61&lt;&gt;""," Impact: "&amp;B20_Assessment!$G$61,"")&amp;IF(B20_Assessment!$J$61&lt;&gt;""," — "&amp;B20_Assessment!$J$61,""),"")&amp;IF(B20_Assessment!$A$62&lt;&gt;"",IF(COUNTA(B20_Assessment!$A$56:$A$61)&gt;0,CHAR(10),"")&amp;"• "&amp;B20_Assessment!$A$62&amp;" — "&amp;B20_Assessment!$B$62&amp;" ["&amp;B20_Assessment!$D$62&amp;"]"&amp;IF(B20_Assessment!$G$62&lt;&gt;""," Impact: "&amp;B20_Assessment!$G$62,"")&amp;IF(B20_Assessment!$J$62&lt;&gt;""," — "&amp;B20_Assessment!$J$62,""),"")&amp;IF(B20_Assessment!$A$63&lt;&gt;"",IF(COUNTA(B20_Assessment!$A$56:$A$62)&gt;0,CHAR(10),"")&amp;"• "&amp;B20_Assessment!$A$63&amp;" — "&amp;B20_Assessment!$B$63&amp;" ["&amp;B20_Assessment!$D$63&amp;"]"&amp;IF(B20_Assessment!$G$63&lt;&gt;""," Impact: "&amp;B20_Assessment!$G$63,"")&amp;IF(B20_Assessment!$J$63&lt;&gt;""," — "&amp;B20_Assessment!$J$63,""),""))</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K19" s="335" t="str">
        <f>IFERROR(B20_Assessment!$H$4,"")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14999999999998" customHeight="1">
      <c r="A20" s="546" t="str">
        <f>_Command_Source!A20</f>
        <v>21</v>
      </c>
      <c r="B20" s="546" t="str">
        <f>_Command_Source!C20</f>
        <v>B21</v>
      </c>
      <c r="C20" s="546" t="str">
        <f>_Command_Source!B20</f>
        <v>B21_Assessment</v>
      </c>
      <c r="D20" s="335" t="str">
        <f>IF(COUNTA(B21_Assessment!$J$22:$J$24)=0,"• No fire / life safety items captured for this building.",IF(B21_Assessment!$J$22&lt;&gt;"","• "&amp;B21_Assessment!$J$22&amp;IF(COUNTA(B21_Assessment!$J$23:$J$24)&gt;0,CHAR(10),""),"")&amp;IF(B21_Assessment!$J$23&lt;&gt;"","• "&amp;B21_Assessment!$J$23&amp;IF(COUNTA(B21_Assessment!$J$24:$J$24)&gt;0,CHAR(10),""),"")&amp;IF(B21_Assessment!$J$24&lt;&gt;"","• "&amp;B21_Assessment!$J$24,""))</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20" s="335" t="str">
        <f>IF(COUNTA(B21_Assessment!$J$28:$J$30)=0,"• No hvac / cooling items captured for this building.",IF(B21_Assessment!$J$28&lt;&gt;"","• "&amp;B21_Assessment!$J$28&amp;IF(COUNTA(B21_Assessment!$J$29:$J$30)&gt;0,CHAR(10),""),"")&amp;IF(B21_Assessment!$J$29&lt;&gt;"","• "&amp;B21_Assessment!$J$29&amp;IF(COUNTA(B21_Assessment!$J$30:$J$30)&gt;0,CHAR(10),""),"")&amp;IF(B21_Assessment!$J$30&lt;&gt;"","• "&amp;B21_Assessment!$J$30,""))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20" s="335" t="str">
        <f>IF(COUNTA(B21_Assessment!$J$34:$J$36)=0,"• No electrical / ups items captured for this building.",IF(B21_Assessment!$J$34&lt;&gt;"","• "&amp;B21_Assessment!$J$34&amp;IF(COUNTA(B21_Assessment!$J$35:$J$36)&gt;0,CHAR(10),""),"")&amp;IF(B21_Assessment!$J$35&lt;&gt;"","• "&amp;B21_Assessment!$J$35&amp;IF(COUNTA(B21_Assessment!$J$36:$J$36)&gt;0,CHAR(10),""),"")&amp;IF(B21_Assessment!$J$36&lt;&gt;"","• "&amp;B21_Assessment!$J$36,""))</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20" s="335" t="str">
        <f>IF(COUNTA(B21_Assessment!$J$40:$J$42)=0,"• No telecom / fiber items captured for this building.",IF(B21_Assessment!$J$40&lt;&gt;"","• "&amp;B21_Assessment!$J$40&amp;IF(COUNTA(B21_Assessment!$J$41:$J$42)&gt;0,CHAR(10),""),"")&amp;IF(B21_Assessment!$J$41&lt;&gt;"","• "&amp;B21_Assessment!$J$41&amp;IF(COUNTA(B21_Assessment!$J$42:$J$42)&gt;0,CHAR(10),""),"")&amp;IF(B21_Assessment!$J$42&lt;&gt;"","• "&amp;B21_Assessment!$J$42,""))</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20" s="335" t="str">
        <f>IF(COUNTA(B21_Assessment!$J$46:$J$48)=0,"• No security / pacs / cctv items captured for this building.",IF(B21_Assessment!$J$46&lt;&gt;"","• "&amp;B21_Assessment!$J$46&amp;IF(COUNTA(B21_Assessment!$J$47:$J$48)&gt;0,CHAR(10),""),"")&amp;IF(B21_Assessment!$J$47&lt;&gt;"","• "&amp;B21_Assessment!$J$47&amp;IF(COUNTA(B21_Assessment!$J$48:$J$48)&gt;0,CHAR(10),""),"")&amp;IF(B21_Assessment!$J$48&lt;&gt;"","• "&amp;B21_Assessment!$J$48,""))</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I20" s="335" t="str">
        <f>IF(COUNTA(B21_Assessment!$A$52:$A$59)=0,"• No owner risks items captured for this building.",IF(B21_Assessment!$A$52&lt;&gt;"","• "&amp;B21_Assessment!$A$52&amp;" — "&amp;B21_Assessment!$C$52&amp;" ["&amp;B21_Assessment!$I$52&amp;"]"&amp;IF(B21_Assessment!$J$52&lt;&gt;""," — "&amp;B21_Assessment!$J$52,""),"")&amp;IF(B21_Assessment!$A$53&lt;&gt;"",IF(COUNTA(B21_Assessment!$A$52:$A$52)&gt;0,CHAR(10),"")&amp;"• "&amp;B21_Assessment!$A$53&amp;" — "&amp;B21_Assessment!$C$53&amp;" ["&amp;B21_Assessment!$I$53&amp;"]"&amp;IF(B21_Assessment!$J$53&lt;&gt;""," — "&amp;B21_Assessment!$J$53,""),"")&amp;IF(B21_Assessment!$A$54&lt;&gt;"",IF(COUNTA(B21_Assessment!$A$52:$A$53)&gt;0,CHAR(10),"")&amp;"• "&amp;B21_Assessment!$A$54&amp;" — "&amp;B21_Assessment!$C$54&amp;" ["&amp;B21_Assessment!$I$54&amp;"]"&amp;IF(B21_Assessment!$J$54&lt;&gt;""," — "&amp;B21_Assessment!$J$54,""),"")&amp;IF(B21_Assessment!$A$55&lt;&gt;"",IF(COUNTA(B21_Assessment!$A$52:$A$54)&gt;0,CHAR(10),"")&amp;"• "&amp;B21_Assessment!$A$55&amp;" — "&amp;B21_Assessment!$C$55&amp;" ["&amp;B21_Assessment!$I$55&amp;"]"&amp;IF(B21_Assessment!$J$55&lt;&gt;""," — "&amp;B21_Assessment!$J$55,""),"")&amp;IF(B21_Assessment!$A$56&lt;&gt;"",IF(COUNTA(B21_Assessment!$A$52:$A$55)&gt;0,CHAR(10),"")&amp;"• "&amp;B21_Assessment!$A$56&amp;" — "&amp;B21_Assessment!$C$56&amp;" ["&amp;B21_Assessment!$I$56&amp;"]"&amp;IF(B21_Assessment!$J$56&lt;&gt;""," — "&amp;B21_Assessment!$J$56,""),"")&amp;IF(B21_Assessment!$A$57&lt;&gt;"",IF(COUNTA(B21_Assessment!$A$52:$A$56)&gt;0,CHAR(10),"")&amp;"• "&amp;B21_Assessment!$A$57&amp;" — "&amp;B21_Assessment!$C$57&amp;" ["&amp;B21_Assessment!$I$57&amp;"]"&amp;IF(B21_Assessment!$J$57&lt;&gt;""," — "&amp;B21_Assessment!$J$57,""),"")&amp;IF(B21_Assessment!$A$58&lt;&gt;"",IF(COUNTA(B21_Assessment!$A$52:$A$57)&gt;0,CHAR(10),"")&amp;"• "&amp;B21_Assessment!$A$58&amp;" — "&amp;B21_Assessment!$C$58&amp;" ["&amp;B21_Assessment!$I$58&amp;"]"&amp;IF(B21_Assessment!$J$58&lt;&gt;""," — "&amp;B21_Assessment!$J$58,""),"")&amp;IF(B21_Assessment!$A$59&lt;&gt;"",IF(COUNTA(B21_Assessment!$A$52:$A$58)&gt;0,CHAR(10),"")&amp;"• "&amp;B21_Assessment!$A$59&amp;" — "&amp;B21_Assessment!$C$59&amp;" ["&amp;B21_Assessment!$I$59&amp;"]"&amp;IF(B21_Assessment!$J$59&lt;&gt;""," — "&amp;B21_Assessment!$J$59,""),""))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J20" s="335" t="str">
        <f>IF(COUNTA(B21_Assessment!$A$63:$A$70)=0,"• No open questions items captured for this building.",IF(B21_Assessment!$A$63&lt;&gt;"","• "&amp;B21_Assessment!$A$63&amp;" — "&amp;B21_Assessment!$B$63&amp;" ["&amp;B21_Assessment!$D$63&amp;"]"&amp;IF(B21_Assessment!$G$63&lt;&gt;""," Impact: "&amp;B21_Assessment!$G$63,"")&amp;IF(B21_Assessment!$J$63&lt;&gt;""," — "&amp;B21_Assessment!$J$63,""),"")&amp;IF(B21_Assessment!$A$64&lt;&gt;"",IF(COUNTA(B21_Assessment!$A$63:$A$63)&gt;0,CHAR(10),"")&amp;"• "&amp;B21_Assessment!$A$64&amp;" — "&amp;B21_Assessment!$B$64&amp;" ["&amp;B21_Assessment!$D$64&amp;"]"&amp;IF(B21_Assessment!$G$64&lt;&gt;""," Impact: "&amp;B21_Assessment!$G$64,"")&amp;IF(B21_Assessment!$J$64&lt;&gt;""," — "&amp;B21_Assessment!$J$64,""),"")&amp;IF(B21_Assessment!$A$65&lt;&gt;"",IF(COUNTA(B21_Assessment!$A$63:$A$64)&gt;0,CHAR(10),"")&amp;"• "&amp;B21_Assessment!$A$65&amp;" — "&amp;B21_Assessment!$B$65&amp;" ["&amp;B21_Assessment!$D$65&amp;"]"&amp;IF(B21_Assessment!$G$65&lt;&gt;""," Impact: "&amp;B21_Assessment!$G$65,"")&amp;IF(B21_Assessment!$J$65&lt;&gt;""," — "&amp;B21_Assessment!$J$65,""),"")&amp;IF(B21_Assessment!$A$66&lt;&gt;"",IF(COUNTA(B21_Assessment!$A$63:$A$65)&gt;0,CHAR(10),"")&amp;"• "&amp;B21_Assessment!$A$66&amp;" — "&amp;B21_Assessment!$B$66&amp;" ["&amp;B21_Assessment!$D$66&amp;"]"&amp;IF(B21_Assessment!$G$66&lt;&gt;""," Impact: "&amp;B21_Assessment!$G$66,"")&amp;IF(B21_Assessment!$J$66&lt;&gt;""," — "&amp;B21_Assessment!$J$66,""),"")&amp;IF(B21_Assessment!$A$67&lt;&gt;"",IF(COUNTA(B21_Assessment!$A$63:$A$66)&gt;0,CHAR(10),"")&amp;"• "&amp;B21_Assessment!$A$67&amp;" — "&amp;B21_Assessment!$B$67&amp;" ["&amp;B21_Assessment!$D$67&amp;"]"&amp;IF(B21_Assessment!$G$67&lt;&gt;""," Impact: "&amp;B21_Assessment!$G$67,"")&amp;IF(B21_Assessment!$J$67&lt;&gt;""," — "&amp;B21_Assessment!$J$67,""),"")&amp;IF(B21_Assessment!$A$68&lt;&gt;"",IF(COUNTA(B21_Assessment!$A$63:$A$67)&gt;0,CHAR(10),"")&amp;"• "&amp;B21_Assessment!$A$68&amp;" — "&amp;B21_Assessment!$B$68&amp;" ["&amp;B21_Assessment!$D$68&amp;"]"&amp;IF(B21_Assessment!$G$68&lt;&gt;""," Impact: "&amp;B21_Assessment!$G$68,"")&amp;IF(B21_Assessment!$J$68&lt;&gt;""," — "&amp;B21_Assessment!$J$68,""),"")&amp;IF(B21_Assessment!$A$69&lt;&gt;"",IF(COUNTA(B21_Assessment!$A$63:$A$68)&gt;0,CHAR(10),"")&amp;"• "&amp;B21_Assessment!$A$69&amp;" — "&amp;B21_Assessment!$B$69&amp;" ["&amp;B21_Assessment!$D$69&amp;"]"&amp;IF(B21_Assessment!$G$69&lt;&gt;""," Impact: "&amp;B21_Assessment!$G$69,"")&amp;IF(B21_Assessment!$J$69&lt;&gt;""," — "&amp;B21_Assessment!$J$69,""),"")&amp;IF(B21_Assessment!$A$70&lt;&gt;"",IF(COUNTA(B21_Assessment!$A$63:$A$69)&gt;0,CHAR(10),"")&amp;"• "&amp;B21_Assessment!$A$70&amp;" — "&amp;B21_Assessment!$B$70&amp;" ["&amp;B21_Assessment!$D$70&amp;"]"&amp;IF(B21_Assessment!$G$70&lt;&gt;""," Impact: "&amp;B21_Assessment!$G$70,"")&amp;IF(B21_Assessment!$J$70&lt;&gt;""," — "&amp;B21_Assessment!$J$70,""),""))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K20" s="335" t="str">
        <f>IFERROR(B21_Assessment!$H$4,"")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14999999999998" customHeight="1">
      <c r="A21" s="546" t="str">
        <f>_Command_Source!A21</f>
        <v>22</v>
      </c>
      <c r="B21" s="546" t="str">
        <f>_Command_Source!C21</f>
        <v>B22</v>
      </c>
      <c r="C21" s="546" t="str">
        <f>_Command_Source!B21</f>
        <v>B22_Assessment</v>
      </c>
      <c r="D21" s="335" t="str">
        <f>IF(COUNTA(B22_Assessment!$J$20:$J$21)=0,"• No fire / life safety items captured for this building.",IF(B22_Assessment!$J$20&lt;&gt;"","• "&amp;B22_Assessment!$J$20&amp;IF(COUNTA(B22_Assessment!$J$21:$J$21)&gt;0,CHAR(10),""),"")&amp;IF(B22_Assessment!$J$21&lt;&gt;"","• "&amp;B22_Assessment!$J$21,""))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21" s="335" t="str">
        <f>IF(COUNTA(B22_Assessment!$J$25:$J$26)=0,"• No hvac / cooling items captured for this building.",IF(B22_Assessment!$J$25&lt;&gt;"","• "&amp;B22_Assessment!$J$25&amp;IF(COUNTA(B22_Assessment!$J$26:$J$26)&gt;0,CHAR(10),""),"")&amp;IF(B22_Assessment!$J$26&lt;&gt;"","• "&amp;B22_Assessment!$J$26,""))</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21" s="335" t="str">
        <f>IF(COUNTA(B22_Assessment!$J$30:$J$31)=0,"• No electrical / ups items captured for this building.",IF(B22_Assessment!$J$30&lt;&gt;"","• "&amp;B22_Assessment!$J$30&amp;IF(COUNTA(B22_Assessment!$J$31:$J$31)&gt;0,CHAR(10),""),"")&amp;IF(B22_Assessment!$J$31&lt;&gt;"","• "&amp;B22_Assessment!$J$31,""))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21" s="335" t="str">
        <f>IF(COUNTA(B22_Assessment!$J$35:$J$36)=0,"• No telecom / fiber items captured for this building.",IF(B22_Assessment!$J$35&lt;&gt;"","• "&amp;B22_Assessment!$J$35&amp;IF(COUNTA(B22_Assessment!$J$36:$J$36)&gt;0,CHAR(10),""),"")&amp;IF(B22_Assessment!$J$36&lt;&gt;"","• "&amp;B22_Assessment!$J$36,""))</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21" s="335" t="str">
        <f>IF(COUNTA(B22_Assessment!$J$40:$J$41)=0,"• No security / pacs / cctv items captured for this building.",IF(B22_Assessment!$J$40&lt;&gt;"","• "&amp;B22_Assessment!$J$40&amp;IF(COUNTA(B22_Assessment!$J$41:$J$41)&gt;0,CHAR(10),""),"")&amp;IF(B22_Assessment!$J$41&lt;&gt;"","• "&amp;B22_Assessment!$J$41,""))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I21" s="335" t="str">
        <f>IF(COUNTA(B22_Assessment!$A$45:$A$52)=0,"• No owner risks items captured for this building.",IF(B22_Assessment!$A$45&lt;&gt;"","• "&amp;B22_Assessment!$A$45&amp;" — "&amp;B22_Assessment!$C$45&amp;" ["&amp;B22_Assessment!$I$45&amp;"]"&amp;IF(B22_Assessment!$J$45&lt;&gt;""," — "&amp;B22_Assessment!$J$45,""),"")&amp;IF(B22_Assessment!$A$46&lt;&gt;"",IF(COUNTA(B22_Assessment!$A$45:$A$45)&gt;0,CHAR(10),"")&amp;"• "&amp;B22_Assessment!$A$46&amp;" — "&amp;B22_Assessment!$C$46&amp;" ["&amp;B22_Assessment!$I$46&amp;"]"&amp;IF(B22_Assessment!$J$46&lt;&gt;""," — "&amp;B22_Assessment!$J$46,""),"")&amp;IF(B22_Assessment!$A$47&lt;&gt;"",IF(COUNTA(B22_Assessment!$A$45:$A$46)&gt;0,CHAR(10),"")&amp;"• "&amp;B22_Assessment!$A$47&amp;" — "&amp;B22_Assessment!$C$47&amp;" ["&amp;B22_Assessment!$I$47&amp;"]"&amp;IF(B22_Assessment!$J$47&lt;&gt;""," — "&amp;B22_Assessment!$J$47,""),"")&amp;IF(B22_Assessment!$A$48&lt;&gt;"",IF(COUNTA(B22_Assessment!$A$45:$A$47)&gt;0,CHAR(10),"")&amp;"• "&amp;B22_Assessment!$A$48&amp;" — "&amp;B22_Assessment!$C$48&amp;" ["&amp;B22_Assessment!$I$48&amp;"]"&amp;IF(B22_Assessment!$J$48&lt;&gt;""," — "&amp;B22_Assessment!$J$48,""),"")&amp;IF(B22_Assessment!$A$49&lt;&gt;"",IF(COUNTA(B22_Assessment!$A$45:$A$48)&gt;0,CHAR(10),"")&amp;"• "&amp;B22_Assessment!$A$49&amp;" — "&amp;B22_Assessment!$C$49&amp;" ["&amp;B22_Assessment!$I$49&amp;"]"&amp;IF(B22_Assessment!$J$49&lt;&gt;""," — "&amp;B22_Assessment!$J$49,""),"")&amp;IF(B22_Assessment!$A$50&lt;&gt;"",IF(COUNTA(B22_Assessment!$A$45:$A$49)&gt;0,CHAR(10),"")&amp;"• "&amp;B22_Assessment!$A$50&amp;" — "&amp;B22_Assessment!$C$50&amp;" ["&amp;B22_Assessment!$I$50&amp;"]"&amp;IF(B22_Assessment!$J$50&lt;&gt;""," — "&amp;B22_Assessment!$J$50,""),"")&amp;IF(B22_Assessment!$A$51&lt;&gt;"",IF(COUNTA(B22_Assessment!$A$45:$A$50)&gt;0,CHAR(10),"")&amp;"• "&amp;B22_Assessment!$A$51&amp;" — "&amp;B22_Assessment!$C$51&amp;" ["&amp;B22_Assessment!$I$51&amp;"]"&amp;IF(B22_Assessment!$J$51&lt;&gt;""," — "&amp;B22_Assessment!$J$51,""),"")&amp;IF(B22_Assessment!$A$52&lt;&gt;"",IF(COUNTA(B22_Assessment!$A$45:$A$51)&gt;0,CHAR(10),"")&amp;"• "&amp;B22_Assessment!$A$52&amp;" — "&amp;B22_Assessment!$C$52&amp;" ["&amp;B22_Assessment!$I$52&amp;"]"&amp;IF(B22_Assessment!$J$52&lt;&gt;""," — "&amp;B22_Assessment!$J$52,""),""))</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J21" s="335" t="str">
        <f>IF(COUNTA(B22_Assessment!$A$56:$A$63)=0,"• No open questions items captured for this building.",IF(B22_Assessment!$A$56&lt;&gt;"","• "&amp;B22_Assessment!$A$56&amp;" — "&amp;B22_Assessment!$B$56&amp;" ["&amp;B22_Assessment!$D$56&amp;"]"&amp;IF(B22_Assessment!$G$56&lt;&gt;""," Impact: "&amp;B22_Assessment!$G$56,"")&amp;IF(B22_Assessment!$J$56&lt;&gt;""," — "&amp;B22_Assessment!$J$56,""),"")&amp;IF(B22_Assessment!$A$57&lt;&gt;"",IF(COUNTA(B22_Assessment!$A$56:$A$56)&gt;0,CHAR(10),"")&amp;"• "&amp;B22_Assessment!$A$57&amp;" — "&amp;B22_Assessment!$B$57&amp;" ["&amp;B22_Assessment!$D$57&amp;"]"&amp;IF(B22_Assessment!$G$57&lt;&gt;""," Impact: "&amp;B22_Assessment!$G$57,"")&amp;IF(B22_Assessment!$J$57&lt;&gt;""," — "&amp;B22_Assessment!$J$57,""),"")&amp;IF(B22_Assessment!$A$58&lt;&gt;"",IF(COUNTA(B22_Assessment!$A$56:$A$57)&gt;0,CHAR(10),"")&amp;"• "&amp;B22_Assessment!$A$58&amp;" — "&amp;B22_Assessment!$B$58&amp;" ["&amp;B22_Assessment!$D$58&amp;"]"&amp;IF(B22_Assessment!$G$58&lt;&gt;""," Impact: "&amp;B22_Assessment!$G$58,"")&amp;IF(B22_Assessment!$J$58&lt;&gt;""," — "&amp;B22_Assessment!$J$58,""),"")&amp;IF(B22_Assessment!$A$59&lt;&gt;"",IF(COUNTA(B22_Assessment!$A$56:$A$58)&gt;0,CHAR(10),"")&amp;"• "&amp;B22_Assessment!$A$59&amp;" — "&amp;B22_Assessment!$B$59&amp;" ["&amp;B22_Assessment!$D$59&amp;"]"&amp;IF(B22_Assessment!$G$59&lt;&gt;""," Impact: "&amp;B22_Assessment!$G$59,"")&amp;IF(B22_Assessment!$J$59&lt;&gt;""," — "&amp;B22_Assessment!$J$59,""),"")&amp;IF(B22_Assessment!$A$60&lt;&gt;"",IF(COUNTA(B22_Assessment!$A$56:$A$59)&gt;0,CHAR(10),"")&amp;"• "&amp;B22_Assessment!$A$60&amp;" — "&amp;B22_Assessment!$B$60&amp;" ["&amp;B22_Assessment!$D$60&amp;"]"&amp;IF(B22_Assessment!$G$60&lt;&gt;""," Impact: "&amp;B22_Assessment!$G$60,"")&amp;IF(B22_Assessment!$J$60&lt;&gt;""," — "&amp;B22_Assessment!$J$60,""),"")&amp;IF(B22_Assessment!$A$61&lt;&gt;"",IF(COUNTA(B22_Assessment!$A$56:$A$60)&gt;0,CHAR(10),"")&amp;"• "&amp;B22_Assessment!$A$61&amp;" — "&amp;B22_Assessment!$B$61&amp;" ["&amp;B22_Assessment!$D$61&amp;"]"&amp;IF(B22_Assessment!$G$61&lt;&gt;""," Impact: "&amp;B22_Assessment!$G$61,"")&amp;IF(B22_Assessment!$J$61&lt;&gt;""," — "&amp;B22_Assessment!$J$61,""),"")&amp;IF(B22_Assessment!$A$62&lt;&gt;"",IF(COUNTA(B22_Assessment!$A$56:$A$61)&gt;0,CHAR(10),"")&amp;"• "&amp;B22_Assessment!$A$62&amp;" — "&amp;B22_Assessment!$B$62&amp;" ["&amp;B22_Assessment!$D$62&amp;"]"&amp;IF(B22_Assessment!$G$62&lt;&gt;""," Impact: "&amp;B22_Assessment!$G$62,"")&amp;IF(B22_Assessment!$J$62&lt;&gt;""," — "&amp;B22_Assessment!$J$62,""),"")&amp;IF(B22_Assessment!$A$63&lt;&gt;"",IF(COUNTA(B22_Assessment!$A$56:$A$62)&gt;0,CHAR(10),"")&amp;"• "&amp;B22_Assessment!$A$63&amp;" — "&amp;B22_Assessment!$B$63&amp;" ["&amp;B22_Assessment!$D$63&amp;"]"&amp;IF(B22_Assessment!$G$63&lt;&gt;""," Impact: "&amp;B22_Assessment!$G$63,"")&amp;IF(B22_Assessment!$J$63&lt;&gt;""," — "&amp;B22_Assessment!$J$63,""),""))</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K21" s="335" t="str">
        <f>IFERROR(B22_Assessment!$H$4,"")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14999999999998" customHeight="1">
      <c r="A22" s="546" t="str">
        <f>_Command_Source!A22</f>
        <v>33</v>
      </c>
      <c r="B22" s="546" t="str">
        <f>_Command_Source!C22</f>
        <v>B33</v>
      </c>
      <c r="C22" s="546" t="str">
        <f>_Command_Source!B22</f>
        <v>B33_Assessment</v>
      </c>
      <c r="D22" s="335" t="str">
        <f>IF(COUNTA(B33_Assessment!$J$20:$J$21)=0,"• No fire / life safety items captured for this building.",IF(B33_Assessment!$J$20&lt;&gt;"","• "&amp;B33_Assessment!$J$20&amp;IF(COUNTA(B33_Assessment!$J$21:$J$21)&gt;0,CHAR(10),""),"")&amp;IF(B33_Assessment!$J$21&lt;&gt;"","• "&amp;B33_Assessment!$J$21,""))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22" s="335" t="str">
        <f>IF(COUNTA(B33_Assessment!$J$25:$J$26)=0,"• No hvac / cooling items captured for this building.",IF(B33_Assessment!$J$25&lt;&gt;"","• "&amp;B33_Assessment!$J$25&amp;IF(COUNTA(B33_Assessment!$J$26:$J$26)&gt;0,CHAR(10),""),"")&amp;IF(B33_Assessment!$J$26&lt;&gt;"","• "&amp;B33_Assessment!$J$26,""))</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22" s="335" t="str">
        <f>IF(COUNTA(B33_Assessment!$J$30:$J$31)=0,"• No electrical / ups items captured for this building.",IF(B33_Assessment!$J$30&lt;&gt;"","• "&amp;B33_Assessment!$J$30&amp;IF(COUNTA(B33_Assessment!$J$31:$J$31)&gt;0,CHAR(10),""),"")&amp;IF(B33_Assessment!$J$31&lt;&gt;"","• "&amp;B33_Assessment!$J$31,""))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22" s="335" t="str">
        <f>IF(COUNTA(B33_Assessment!$J$35:$J$36)=0,"• No telecom / fiber items captured for this building.",IF(B33_Assessment!$J$35&lt;&gt;"","• "&amp;B33_Assessment!$J$35&amp;IF(COUNTA(B33_Assessment!$J$36:$J$36)&gt;0,CHAR(10),""),"")&amp;IF(B33_Assessment!$J$36&lt;&gt;"","• "&amp;B33_Assessment!$J$36,""))</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22" s="335" t="str">
        <f>IF(COUNTA(B33_Assessment!$J$40:$J$41)=0,"• No security / pacs / cctv items captured for this building.",IF(B33_Assessment!$J$40&lt;&gt;"","• "&amp;B33_Assessment!$J$40&amp;IF(COUNTA(B33_Assessment!$J$41:$J$41)&gt;0,CHAR(10),""),"")&amp;IF(B33_Assessment!$J$41&lt;&gt;"","• "&amp;B33_Assessment!$J$41,""))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I22" s="335" t="str">
        <f>IF(COUNTA(B33_Assessment!$A$45:$A$52)=0,"• No owner risks items captured for this building.",IF(B33_Assessment!$A$45&lt;&gt;"","• "&amp;B33_Assessment!$A$45&amp;" — "&amp;B33_Assessment!$C$45&amp;" ["&amp;B33_Assessment!$I$45&amp;"]"&amp;IF(B33_Assessment!$J$45&lt;&gt;""," — "&amp;B33_Assessment!$J$45,""),"")&amp;IF(B33_Assessment!$A$46&lt;&gt;"",IF(COUNTA(B33_Assessment!$A$45:$A$45)&gt;0,CHAR(10),"")&amp;"• "&amp;B33_Assessment!$A$46&amp;" — "&amp;B33_Assessment!$C$46&amp;" ["&amp;B33_Assessment!$I$46&amp;"]"&amp;IF(B33_Assessment!$J$46&lt;&gt;""," — "&amp;B33_Assessment!$J$46,""),"")&amp;IF(B33_Assessment!$A$47&lt;&gt;"",IF(COUNTA(B33_Assessment!$A$45:$A$46)&gt;0,CHAR(10),"")&amp;"• "&amp;B33_Assessment!$A$47&amp;" — "&amp;B33_Assessment!$C$47&amp;" ["&amp;B33_Assessment!$I$47&amp;"]"&amp;IF(B33_Assessment!$J$47&lt;&gt;""," — "&amp;B33_Assessment!$J$47,""),"")&amp;IF(B33_Assessment!$A$48&lt;&gt;"",IF(COUNTA(B33_Assessment!$A$45:$A$47)&gt;0,CHAR(10),"")&amp;"• "&amp;B33_Assessment!$A$48&amp;" — "&amp;B33_Assessment!$C$48&amp;" ["&amp;B33_Assessment!$I$48&amp;"]"&amp;IF(B33_Assessment!$J$48&lt;&gt;""," — "&amp;B33_Assessment!$J$48,""),"")&amp;IF(B33_Assessment!$A$49&lt;&gt;"",IF(COUNTA(B33_Assessment!$A$45:$A$48)&gt;0,CHAR(10),"")&amp;"• "&amp;B33_Assessment!$A$49&amp;" — "&amp;B33_Assessment!$C$49&amp;" ["&amp;B33_Assessment!$I$49&amp;"]"&amp;IF(B33_Assessment!$J$49&lt;&gt;""," — "&amp;B33_Assessment!$J$49,""),"")&amp;IF(B33_Assessment!$A$50&lt;&gt;"",IF(COUNTA(B33_Assessment!$A$45:$A$49)&gt;0,CHAR(10),"")&amp;"• "&amp;B33_Assessment!$A$50&amp;" — "&amp;B33_Assessment!$C$50&amp;" ["&amp;B33_Assessment!$I$50&amp;"]"&amp;IF(B33_Assessment!$J$50&lt;&gt;""," — "&amp;B33_Assessment!$J$50,""),"")&amp;IF(B33_Assessment!$A$51&lt;&gt;"",IF(COUNTA(B33_Assessment!$A$45:$A$50)&gt;0,CHAR(10),"")&amp;"• "&amp;B33_Assessment!$A$51&amp;" — "&amp;B33_Assessment!$C$51&amp;" ["&amp;B33_Assessment!$I$51&amp;"]"&amp;IF(B33_Assessment!$J$51&lt;&gt;""," — "&amp;B33_Assessment!$J$51,""),"")&amp;IF(B33_Assessment!$A$52&lt;&gt;"",IF(COUNTA(B33_Assessment!$A$45:$A$51)&gt;0,CHAR(10),"")&amp;"• "&amp;B33_Assessment!$A$52&amp;" — "&amp;B33_Assessment!$C$52&amp;" ["&amp;B33_Assessment!$I$52&amp;"]"&amp;IF(B33_Assessment!$J$52&lt;&gt;""," — "&amp;B33_Assessment!$J$52,""),""))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J22" s="335" t="str">
        <f>IF(COUNTA(B33_Assessment!$A$56:$A$63)=0,"• No open questions items captured for this building.",IF(B33_Assessment!$A$56&lt;&gt;"","• "&amp;B33_Assessment!$A$56&amp;" — "&amp;B33_Assessment!$B$56&amp;" ["&amp;B33_Assessment!$D$56&amp;"]"&amp;IF(B33_Assessment!$G$56&lt;&gt;""," Impact: "&amp;B33_Assessment!$G$56,"")&amp;IF(B33_Assessment!$J$56&lt;&gt;""," — "&amp;B33_Assessment!$J$56,""),"")&amp;IF(B33_Assessment!$A$57&lt;&gt;"",IF(COUNTA(B33_Assessment!$A$56:$A$56)&gt;0,CHAR(10),"")&amp;"• "&amp;B33_Assessment!$A$57&amp;" — "&amp;B33_Assessment!$B$57&amp;" ["&amp;B33_Assessment!$D$57&amp;"]"&amp;IF(B33_Assessment!$G$57&lt;&gt;""," Impact: "&amp;B33_Assessment!$G$57,"")&amp;IF(B33_Assessment!$J$57&lt;&gt;""," — "&amp;B33_Assessment!$J$57,""),"")&amp;IF(B33_Assessment!$A$58&lt;&gt;"",IF(COUNTA(B33_Assessment!$A$56:$A$57)&gt;0,CHAR(10),"")&amp;"• "&amp;B33_Assessment!$A$58&amp;" — "&amp;B33_Assessment!$B$58&amp;" ["&amp;B33_Assessment!$D$58&amp;"]"&amp;IF(B33_Assessment!$G$58&lt;&gt;""," Impact: "&amp;B33_Assessment!$G$58,"")&amp;IF(B33_Assessment!$J$58&lt;&gt;""," — "&amp;B33_Assessment!$J$58,""),"")&amp;IF(B33_Assessment!$A$59&lt;&gt;"",IF(COUNTA(B33_Assessment!$A$56:$A$58)&gt;0,CHAR(10),"")&amp;"• "&amp;B33_Assessment!$A$59&amp;" — "&amp;B33_Assessment!$B$59&amp;" ["&amp;B33_Assessment!$D$59&amp;"]"&amp;IF(B33_Assessment!$G$59&lt;&gt;""," Impact: "&amp;B33_Assessment!$G$59,"")&amp;IF(B33_Assessment!$J$59&lt;&gt;""," — "&amp;B33_Assessment!$J$59,""),"")&amp;IF(B33_Assessment!$A$60&lt;&gt;"",IF(COUNTA(B33_Assessment!$A$56:$A$59)&gt;0,CHAR(10),"")&amp;"• "&amp;B33_Assessment!$A$60&amp;" — "&amp;B33_Assessment!$B$60&amp;" ["&amp;B33_Assessment!$D$60&amp;"]"&amp;IF(B33_Assessment!$G$60&lt;&gt;""," Impact: "&amp;B33_Assessment!$G$60,"")&amp;IF(B33_Assessment!$J$60&lt;&gt;""," — "&amp;B33_Assessment!$J$60,""),"")&amp;IF(B33_Assessment!$A$61&lt;&gt;"",IF(COUNTA(B33_Assessment!$A$56:$A$60)&gt;0,CHAR(10),"")&amp;"• "&amp;B33_Assessment!$A$61&amp;" — "&amp;B33_Assessment!$B$61&amp;" ["&amp;B33_Assessment!$D$61&amp;"]"&amp;IF(B33_Assessment!$G$61&lt;&gt;""," Impact: "&amp;B33_Assessment!$G$61,"")&amp;IF(B33_Assessment!$J$61&lt;&gt;""," — "&amp;B33_Assessment!$J$61,""),"")&amp;IF(B33_Assessment!$A$62&lt;&gt;"",IF(COUNTA(B33_Assessment!$A$56:$A$61)&gt;0,CHAR(10),"")&amp;"• "&amp;B33_Assessment!$A$62&amp;" — "&amp;B33_Assessment!$B$62&amp;" ["&amp;B33_Assessment!$D$62&amp;"]"&amp;IF(B33_Assessment!$G$62&lt;&gt;""," Impact: "&amp;B33_Assessment!$G$62,"")&amp;IF(B33_Assessment!$J$62&lt;&gt;""," — "&amp;B33_Assessment!$J$62,""),"")&amp;IF(B33_Assessment!$A$63&lt;&gt;"",IF(COUNTA(B33_Assessment!$A$56:$A$62)&gt;0,CHAR(10),"")&amp;"• "&amp;B33_Assessment!$A$63&amp;" — "&amp;B33_Assessment!$B$63&amp;" ["&amp;B33_Assessment!$D$63&amp;"]"&amp;IF(B33_Assessment!$G$63&lt;&gt;""," Impact: "&amp;B33_Assessment!$G$63,"")&amp;IF(B33_Assessment!$J$63&lt;&gt;""," — "&amp;B33_Assessment!$J$63,""),""))</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K22" s="335" t="str">
        <f>IFERROR(B33_Assessment!$H$4,"")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14999999999998" customHeight="1">
      <c r="A23" s="546" t="str">
        <f>_Command_Source!A23</f>
        <v>61</v>
      </c>
      <c r="B23" s="546" t="str">
        <f>_Command_Source!C23</f>
        <v>B61</v>
      </c>
      <c r="C23" s="546" t="str">
        <f>_Command_Source!B23</f>
        <v>B61_Assessment</v>
      </c>
      <c r="D23" s="335" t="str">
        <f>IF(COUNTA(B61_Assessment!$J$24:$J$27)=0,"• No fire / life safety items captured for this building.",IF(B61_Assessment!$J$24&lt;&gt;"","• "&amp;B61_Assessment!$J$24&amp;IF(COUNTA(B61_Assessment!$J$25:$J$27)&gt;0,CHAR(10),""),"")&amp;IF(B61_Assessment!$J$25&lt;&gt;"","• "&amp;B61_Assessment!$J$25&amp;IF(COUNTA(B61_Assessment!$J$26:$J$27)&gt;0,CHAR(10),""),"")&amp;IF(B61_Assessment!$J$26&lt;&gt;"","• "&amp;B61_Assessment!$J$26&amp;IF(COUNTA(B61_Assessment!$J$27:$J$27)&gt;0,CHAR(10),""),"")&amp;IF(B61_Assessment!$J$27&lt;&gt;"","• "&amp;B61_Assessment!$J$27,""))</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23" s="335" t="str">
        <f>IF(COUNTA(B61_Assessment!$J$31:$J$34)=0,"• No hvac / cooling items captured for this building.",IF(B61_Assessment!$J$31&lt;&gt;"","• "&amp;B61_Assessment!$J$31&amp;IF(COUNTA(B61_Assessment!$J$32:$J$34)&gt;0,CHAR(10),""),"")&amp;IF(B61_Assessment!$J$32&lt;&gt;"","• "&amp;B61_Assessment!$J$32&amp;IF(COUNTA(B61_Assessment!$J$33:$J$34)&gt;0,CHAR(10),""),"")&amp;IF(B61_Assessment!$J$33&lt;&gt;"","• "&amp;B61_Assessment!$J$33&amp;IF(COUNTA(B61_Assessment!$J$34:$J$34)&gt;0,CHAR(10),""),"")&amp;IF(B61_Assessment!$J$34&lt;&gt;"","• "&amp;B61_Assessment!$J$34,""))</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23" s="335" t="str">
        <f>IF(COUNTA(B61_Assessment!$J$38:$J$41)=0,"• No electrical / ups items captured for this building.",IF(B61_Assessment!$J$38&lt;&gt;"","• "&amp;B61_Assessment!$J$38&amp;IF(COUNTA(B61_Assessment!$J$39:$J$41)&gt;0,CHAR(10),""),"")&amp;IF(B61_Assessment!$J$39&lt;&gt;"","• "&amp;B61_Assessment!$J$39&amp;IF(COUNTA(B61_Assessment!$J$40:$J$41)&gt;0,CHAR(10),""),"")&amp;IF(B61_Assessment!$J$40&lt;&gt;"","• "&amp;B61_Assessment!$J$40&amp;IF(COUNTA(B61_Assessment!$J$41:$J$41)&gt;0,CHAR(10),""),"")&amp;IF(B61_Assessment!$J$41&lt;&gt;"","• "&amp;B61_Assessment!$J$41,""))</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23" s="335" t="str">
        <f>IF(COUNTA(B61_Assessment!$J$45:$J$48)=0,"• No telecom / fiber items captured for this building.",IF(B61_Assessment!$J$45&lt;&gt;"","• "&amp;B61_Assessment!$J$45&amp;IF(COUNTA(B61_Assessment!$J$46:$J$48)&gt;0,CHAR(10),""),"")&amp;IF(B61_Assessment!$J$46&lt;&gt;"","• "&amp;B61_Assessment!$J$46&amp;IF(COUNTA(B61_Assessment!$J$47:$J$48)&gt;0,CHAR(10),""),"")&amp;IF(B61_Assessment!$J$47&lt;&gt;"","• "&amp;B61_Assessment!$J$47&amp;IF(COUNTA(B61_Assessment!$J$48:$J$48)&gt;0,CHAR(10),""),"")&amp;IF(B61_Assessment!$J$48&lt;&gt;"","• "&amp;B61_Assessment!$J$48,""))</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23" s="335" t="str">
        <f>IF(COUNTA(B61_Assessment!$J$52:$J$55)=0,"• No security / pacs / cctv items captured for this building.",IF(B61_Assessment!$J$52&lt;&gt;"","• "&amp;B61_Assessment!$J$52&amp;IF(COUNTA(B61_Assessment!$J$53:$J$55)&gt;0,CHAR(10),""),"")&amp;IF(B61_Assessment!$J$53&lt;&gt;"","• "&amp;B61_Assessment!$J$53&amp;IF(COUNTA(B61_Assessment!$J$54:$J$55)&gt;0,CHAR(10),""),"")&amp;IF(B61_Assessment!$J$54&lt;&gt;"","• "&amp;B61_Assessment!$J$54&amp;IF(COUNTA(B61_Assessment!$J$55:$J$55)&gt;0,CHAR(10),""),"")&amp;IF(B61_Assessment!$J$55&lt;&gt;"","• "&amp;B61_Assessment!$J$55,""))</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I23" s="335" t="str">
        <f>IF(COUNTA(B61_Assessment!$A$59:$A$66)=0,"• No owner risks items captured for this building.",IF(B61_Assessment!$A$59&lt;&gt;"","• "&amp;B61_Assessment!$A$59&amp;" — "&amp;B61_Assessment!$C$59&amp;" ["&amp;B61_Assessment!$I$59&amp;"]"&amp;IF(B61_Assessment!$J$59&lt;&gt;""," — "&amp;B61_Assessment!$J$59,""),"")&amp;IF(B61_Assessment!$A$60&lt;&gt;"",IF(COUNTA(B61_Assessment!$A$59:$A$59)&gt;0,CHAR(10),"")&amp;"• "&amp;B61_Assessment!$A$60&amp;" — "&amp;B61_Assessment!$C$60&amp;" ["&amp;B61_Assessment!$I$60&amp;"]"&amp;IF(B61_Assessment!$J$60&lt;&gt;""," — "&amp;B61_Assessment!$J$60,""),"")&amp;IF(B61_Assessment!$A$61&lt;&gt;"",IF(COUNTA(B61_Assessment!$A$59:$A$60)&gt;0,CHAR(10),"")&amp;"• "&amp;B61_Assessment!$A$61&amp;" — "&amp;B61_Assessment!$C$61&amp;" ["&amp;B61_Assessment!$I$61&amp;"]"&amp;IF(B61_Assessment!$J$61&lt;&gt;""," — "&amp;B61_Assessment!$J$61,""),"")&amp;IF(B61_Assessment!$A$62&lt;&gt;"",IF(COUNTA(B61_Assessment!$A$59:$A$61)&gt;0,CHAR(10),"")&amp;"• "&amp;B61_Assessment!$A$62&amp;" — "&amp;B61_Assessment!$C$62&amp;" ["&amp;B61_Assessment!$I$62&amp;"]"&amp;IF(B61_Assessment!$J$62&lt;&gt;""," — "&amp;B61_Assessment!$J$62,""),"")&amp;IF(B61_Assessment!$A$63&lt;&gt;"",IF(COUNTA(B61_Assessment!$A$59:$A$62)&gt;0,CHAR(10),"")&amp;"• "&amp;B61_Assessment!$A$63&amp;" — "&amp;B61_Assessment!$C$63&amp;" ["&amp;B61_Assessment!$I$63&amp;"]"&amp;IF(B61_Assessment!$J$63&lt;&gt;""," — "&amp;B61_Assessment!$J$63,""),"")&amp;IF(B61_Assessment!$A$64&lt;&gt;"",IF(COUNTA(B61_Assessment!$A$59:$A$63)&gt;0,CHAR(10),"")&amp;"• "&amp;B61_Assessment!$A$64&amp;" — "&amp;B61_Assessment!$C$64&amp;" ["&amp;B61_Assessment!$I$64&amp;"]"&amp;IF(B61_Assessment!$J$64&lt;&gt;""," — "&amp;B61_Assessment!$J$64,""),"")&amp;IF(B61_Assessment!$A$65&lt;&gt;"",IF(COUNTA(B61_Assessment!$A$59:$A$64)&gt;0,CHAR(10),"")&amp;"• "&amp;B61_Assessment!$A$65&amp;" — "&amp;B61_Assessment!$C$65&amp;" ["&amp;B61_Assessment!$I$65&amp;"]"&amp;IF(B61_Assessment!$J$65&lt;&gt;""," — "&amp;B61_Assessment!$J$65,""),"")&amp;IF(B61_Assessment!$A$66&lt;&gt;"",IF(COUNTA(B61_Assessment!$A$59:$A$65)&gt;0,CHAR(10),"")&amp;"• "&amp;B61_Assessment!$A$66&amp;" — "&amp;B61_Assessment!$C$66&amp;" ["&amp;B61_Assessment!$I$66&amp;"]"&amp;IF(B61_Assessment!$J$66&lt;&gt;""," — "&amp;B61_Assessment!$J$66,""),""))</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J23" s="335" t="str">
        <f>IF(COUNTA(B61_Assessment!$A$70:$A$77)=0,"• No open questions items captured for this building.",IF(B61_Assessment!$A$70&lt;&gt;"","• "&amp;B61_Assessment!$A$70&amp;" — "&amp;B61_Assessment!$B$70&amp;" ["&amp;B61_Assessment!$D$70&amp;"]"&amp;IF(B61_Assessment!$G$70&lt;&gt;""," Impact: "&amp;B61_Assessment!$G$70,"")&amp;IF(B61_Assessment!$J$70&lt;&gt;""," — "&amp;B61_Assessment!$J$70,""),"")&amp;IF(B61_Assessment!$A$71&lt;&gt;"",IF(COUNTA(B61_Assessment!$A$70:$A$70)&gt;0,CHAR(10),"")&amp;"• "&amp;B61_Assessment!$A$71&amp;" — "&amp;B61_Assessment!$B$71&amp;" ["&amp;B61_Assessment!$D$71&amp;"]"&amp;IF(B61_Assessment!$G$71&lt;&gt;""," Impact: "&amp;B61_Assessment!$G$71,"")&amp;IF(B61_Assessment!$J$71&lt;&gt;""," — "&amp;B61_Assessment!$J$71,""),"")&amp;IF(B61_Assessment!$A$72&lt;&gt;"",IF(COUNTA(B61_Assessment!$A$70:$A$71)&gt;0,CHAR(10),"")&amp;"• "&amp;B61_Assessment!$A$72&amp;" — "&amp;B61_Assessment!$B$72&amp;" ["&amp;B61_Assessment!$D$72&amp;"]"&amp;IF(B61_Assessment!$G$72&lt;&gt;""," Impact: "&amp;B61_Assessment!$G$72,"")&amp;IF(B61_Assessment!$J$72&lt;&gt;""," — "&amp;B61_Assessment!$J$72,""),"")&amp;IF(B61_Assessment!$A$73&lt;&gt;"",IF(COUNTA(B61_Assessment!$A$70:$A$72)&gt;0,CHAR(10),"")&amp;"• "&amp;B61_Assessment!$A$73&amp;" — "&amp;B61_Assessment!$B$73&amp;" ["&amp;B61_Assessment!$D$73&amp;"]"&amp;IF(B61_Assessment!$G$73&lt;&gt;""," Impact: "&amp;B61_Assessment!$G$73,"")&amp;IF(B61_Assessment!$J$73&lt;&gt;""," — "&amp;B61_Assessment!$J$73,""),"")&amp;IF(B61_Assessment!$A$74&lt;&gt;"",IF(COUNTA(B61_Assessment!$A$70:$A$73)&gt;0,CHAR(10),"")&amp;"• "&amp;B61_Assessment!$A$74&amp;" — "&amp;B61_Assessment!$B$74&amp;" ["&amp;B61_Assessment!$D$74&amp;"]"&amp;IF(B61_Assessment!$G$74&lt;&gt;""," Impact: "&amp;B61_Assessment!$G$74,"")&amp;IF(B61_Assessment!$J$74&lt;&gt;""," — "&amp;B61_Assessment!$J$74,""),"")&amp;IF(B61_Assessment!$A$75&lt;&gt;"",IF(COUNTA(B61_Assessment!$A$70:$A$74)&gt;0,CHAR(10),"")&amp;"• "&amp;B61_Assessment!$A$75&amp;" — "&amp;B61_Assessment!$B$75&amp;" ["&amp;B61_Assessment!$D$75&amp;"]"&amp;IF(B61_Assessment!$G$75&lt;&gt;""," Impact: "&amp;B61_Assessment!$G$75,"")&amp;IF(B61_Assessment!$J$75&lt;&gt;""," — "&amp;B61_Assessment!$J$75,""),"")&amp;IF(B61_Assessment!$A$76&lt;&gt;"",IF(COUNTA(B61_Assessment!$A$70:$A$75)&gt;0,CHAR(10),"")&amp;"• "&amp;B61_Assessment!$A$76&amp;" — "&amp;B61_Assessment!$B$76&amp;" ["&amp;B61_Assessment!$D$76&amp;"]"&amp;IF(B61_Assessment!$G$76&lt;&gt;""," Impact: "&amp;B61_Assessment!$G$76,"")&amp;IF(B61_Assessment!$J$76&lt;&gt;""," — "&amp;B61_Assessment!$J$76,""),"")&amp;IF(B61_Assessment!$A$77&lt;&gt;"",IF(COUNTA(B61_Assessment!$A$70:$A$76)&gt;0,CHAR(10),"")&amp;"• "&amp;B61_Assessment!$A$77&amp;" — "&amp;B61_Assessment!$B$77&amp;" ["&amp;B61_Assessment!$D$77&amp;"]"&amp;IF(B61_Assessment!$G$77&lt;&gt;""," Impact: "&amp;B61_Assessment!$G$77,"")&amp;IF(B61_Assessment!$J$77&lt;&gt;""," — "&amp;B61_Assessment!$J$77,""),""))</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K23" s="335" t="str">
        <f>IFERROR(B61_Assessment!$H$4,"")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53">
      <c r="A24" s="546" t="str">
        <f>_Command_Source!A24</f>
        <v>62</v>
      </c>
      <c r="B24" s="546" t="str">
        <f>_Command_Source!C24</f>
        <v>B62</v>
      </c>
      <c r="C24" s="546" t="str">
        <f>_Command_Source!B24</f>
        <v>B62_TR_Assessment</v>
      </c>
      <c r="D24" s="335" t="str">
        <f>IF(COUNTA(B62_TR_Assessment!$J$24:$J$27)=0,"• No fire / life safety items captured for this building.",IF(B62_TR_Assessment!$J$24&lt;&gt;"","• "&amp;B62_TR_Assessment!$J$24&amp;IF(COUNTA(B62_TR_Assessment!$J$25:$J$27)&gt;0,CHAR(10),""),"")&amp;IF(B62_TR_Assessment!$J$25&lt;&gt;"","• "&amp;B62_TR_Assessment!$J$25&amp;IF(COUNTA(B62_TR_Assessment!$J$26:$J$27)&gt;0,CHAR(10),""),"")&amp;IF(B62_TR_Assessment!$J$26&lt;&gt;"","• "&amp;B62_TR_Assessment!$J$26&amp;IF(COUNTA(B62_TR_Assessment!$J$27:$J$27)&gt;0,CHAR(10),""),"")&amp;IF(B62_TR_Assessment!$J$27&lt;&gt;"","• "&amp;B62_TR_Assessment!$J$27,""))</f>
        <v>• No fire / life safety items captured for this building.</v>
      </c>
      <c r="E24" s="335" t="str">
        <f>IF(COUNTA(B62_TR_Assessment!$J$31:$J$34)=0,"• No hvac / cooling items captured for this building.",IF(B62_TR_Assessment!$J$31&lt;&gt;"","• "&amp;B62_TR_Assessment!$J$31&amp;IF(COUNTA(B62_TR_Assessment!$J$32:$J$34)&gt;0,CHAR(10),""),"")&amp;IF(B62_TR_Assessment!$J$32&lt;&gt;"","• "&amp;B62_TR_Assessment!$J$32&amp;IF(COUNTA(B62_TR_Assessment!$J$33:$J$34)&gt;0,CHAR(10),""),"")&amp;IF(B62_TR_Assessment!$J$33&lt;&gt;"","• "&amp;B62_TR_Assessment!$J$33&amp;IF(COUNTA(B62_TR_Assessment!$J$34:$J$34)&gt;0,CHAR(10),""),"")&amp;IF(B62_TR_Assessment!$J$34&lt;&gt;"","• "&amp;B62_TR_Assessment!$J$34,""))</f>
        <v>• No hvac / cooling items captured for this building.</v>
      </c>
      <c r="F24" s="335" t="str">
        <f>IF(COUNTA(B62_TR_Assessment!$J$38:$J$41)=0,"• No electrical / ups items captured for this building.",IF(B62_TR_Assessment!$J$38&lt;&gt;"","• "&amp;B62_TR_Assessment!$J$38&amp;IF(COUNTA(B62_TR_Assessment!$J$39:$J$41)&gt;0,CHAR(10),""),"")&amp;IF(B62_TR_Assessment!$J$39&lt;&gt;"","• "&amp;B62_TR_Assessment!$J$39&amp;IF(COUNTA(B62_TR_Assessment!$J$40:$J$41)&gt;0,CHAR(10),""),"")&amp;IF(B62_TR_Assessment!$J$40&lt;&gt;"","• "&amp;B62_TR_Assessment!$J$40&amp;IF(COUNTA(B62_TR_Assessment!$J$41:$J$41)&gt;0,CHAR(10),""),"")&amp;IF(B62_TR_Assessment!$J$41&lt;&gt;"","• "&amp;B62_TR_Assessment!$J$41,""))</f>
        <v>• No electrical / ups items captured for this building.</v>
      </c>
      <c r="G24" s="335" t="str">
        <f>IF(COUNTA(B62_TR_Assessment!$J$45:$J$48)=0,"• No telecom / fiber items captured for this building.",IF(B62_TR_Assessment!$J$45&lt;&gt;"","• "&amp;B62_TR_Assessment!$J$45&amp;IF(COUNTA(B62_TR_Assessment!$J$46:$J$48)&gt;0,CHAR(10),""),"")&amp;IF(B62_TR_Assessment!$J$46&lt;&gt;"","• "&amp;B62_TR_Assessment!$J$46&amp;IF(COUNTA(B62_TR_Assessment!$J$47:$J$48)&gt;0,CHAR(10),""),"")&amp;IF(B62_TR_Assessment!$J$47&lt;&gt;"","• "&amp;B62_TR_Assessment!$J$47&amp;IF(COUNTA(B62_TR_Assessment!$J$48:$J$48)&gt;0,CHAR(10),""),"")&amp;IF(B62_TR_Assessment!$J$48&lt;&gt;"","• "&amp;B62_TR_Assessment!$J$48,""))</f>
        <v>• No telecom / fiber items captured for this building.</v>
      </c>
      <c r="H24" s="335" t="str">
        <f>"• No security / pacs / cctv items captured for this building."</f>
        <v>• No security / pacs / cctv items captured for this building.</v>
      </c>
      <c r="I24" s="335" t="str">
        <f>IF(COUNTA(B62_TR_Assessment!$A$52:$A$56)=0,"• No owner risks items captured for this building.",IF(B62_TR_Assessment!$A$52&lt;&gt;"","• "&amp;B62_TR_Assessment!$A$52&amp;" — "&amp;B62_TR_Assessment!$C$52&amp;" ["&amp;B62_TR_Assessment!$I$52&amp;"]"&amp;IF(B62_TR_Assessment!$J$52&lt;&gt;""," — "&amp;B62_TR_Assessment!$J$52,""),"")&amp;IF(B62_TR_Assessment!$A$53&lt;&gt;"",IF(COUNTA(B62_TR_Assessment!$A$52:$A$52)&gt;0,CHAR(10),"")&amp;"• "&amp;B62_TR_Assessment!$A$53&amp;" — "&amp;B62_TR_Assessment!$C$53&amp;" ["&amp;B62_TR_Assessment!$I$53&amp;"]"&amp;IF(B62_TR_Assessment!$J$53&lt;&gt;""," — "&amp;B62_TR_Assessment!$J$53,""),"")&amp;IF(B62_TR_Assessment!$A$54&lt;&gt;"",IF(COUNTA(B62_TR_Assessment!$A$52:$A$53)&gt;0,CHAR(10),"")&amp;"• "&amp;B62_TR_Assessment!$A$54&amp;" — "&amp;B62_TR_Assessment!$C$54&amp;" ["&amp;B62_TR_Assessment!$I$54&amp;"]"&amp;IF(B62_TR_Assessment!$J$54&lt;&gt;""," — "&amp;B62_TR_Assessment!$J$54,""),"")&amp;IF(B62_TR_Assessment!$A$55&lt;&gt;"",IF(COUNTA(B62_TR_Assessment!$A$52:$A$54)&gt;0,CHAR(10),"")&amp;"• "&amp;B62_TR_Assessment!$A$55&amp;" — "&amp;B62_TR_Assessment!$C$55&amp;" ["&amp;B62_TR_Assessment!$I$55&amp;"]"&amp;IF(B62_TR_Assessment!$J$55&lt;&gt;""," — "&amp;B62_TR_Assessment!$J$55,""),"")&amp;IF(B62_TR_Assessment!$A$56&lt;&gt;"",IF(COUNTA(B62_TR_Assessment!$A$52:$A$55)&gt;0,CHAR(10),"")&amp;"• "&amp;B62_TR_Assessment!$A$56&amp;" — "&amp;B62_TR_Assessment!$C$56&amp;" ["&amp;B62_TR_Assessment!$I$56&amp;"]"&amp;IF(B62_TR_Assessment!$J$56&lt;&gt;""," — "&amp;B62_TR_Assessment!$J$56,""),""))</f>
        <v>• B62-R1 — Cooling redundancy / emergency power not verified [Closed]
• B62-R2 — Firestopping condition unknown [Closed]
• B62-R3 — Existing room conditions undocumented [Closed]
• B62-R4 — Condensate leak risk near IT equipment [Closed]</v>
      </c>
      <c r="J24" s="335" t="str">
        <f>IF(COUNTA(B62_TR_Assessment!$A$60:$A$64)=0,"• No open questions items captured for this building.",IF(B62_TR_Assessment!$A$60&lt;&gt;"","• "&amp;B62_TR_Assessment!$A$60&amp;" — "&amp;B62_TR_Assessment!$B$60&amp;" ["&amp;B62_TR_Assessment!$D$60&amp;"]"&amp;IF(B62_TR_Assessment!$G$60&lt;&gt;""," Impact: "&amp;B62_TR_Assessment!$G$60,"")&amp;IF(B62_TR_Assessment!$J$60&lt;&gt;""," — "&amp;B62_TR_Assessment!$J$60,""),"")&amp;IF(B62_TR_Assessment!$A$61&lt;&gt;"",IF(COUNTA(B62_TR_Assessment!$A$60:$A$60)&gt;0,CHAR(10),"")&amp;"• "&amp;B62_TR_Assessment!$A$61&amp;" — "&amp;B62_TR_Assessment!$B$61&amp;" ["&amp;B62_TR_Assessment!$D$61&amp;"]"&amp;IF(B62_TR_Assessment!$G$61&lt;&gt;""," Impact: "&amp;B62_TR_Assessment!$G$61,"")&amp;IF(B62_TR_Assessment!$J$61&lt;&gt;""," — "&amp;B62_TR_Assessment!$J$61,""),"")&amp;IF(B62_TR_Assessment!$A$62&lt;&gt;"",IF(COUNTA(B62_TR_Assessment!$A$60:$A$61)&gt;0,CHAR(10),"")&amp;"• "&amp;B62_TR_Assessment!$A$62&amp;" — "&amp;B62_TR_Assessment!$B$62&amp;" ["&amp;B62_TR_Assessment!$D$62&amp;"]"&amp;IF(B62_TR_Assessment!$G$62&lt;&gt;""," Impact: "&amp;B62_TR_Assessment!$G$62,"")&amp;IF(B62_TR_Assessment!$J$62&lt;&gt;""," — "&amp;B62_TR_Assessment!$J$62,""),"")&amp;IF(B62_TR_Assessment!$A$63&lt;&gt;"",IF(COUNTA(B62_TR_Assessment!$A$60:$A$62)&gt;0,CHAR(10),"")&amp;"• "&amp;B62_TR_Assessment!$A$63&amp;" — "&amp;B62_TR_Assessment!$B$63&amp;" ["&amp;B62_TR_Assessment!$D$63&amp;"]"&amp;IF(B62_TR_Assessment!$G$63&lt;&gt;""," Impact: "&amp;B62_TR_Assessment!$G$63,"")&amp;IF(B62_TR_Assessment!$J$63&lt;&gt;""," — "&amp;B62_TR_Assessment!$J$63,""),"")&amp;IF(B62_TR_Assessment!$A$64&lt;&gt;"",IF(COUNTA(B62_TR_Assessment!$A$60:$A$63)&gt;0,CHAR(10),"")&amp;"• "&amp;B62_TR_Assessment!$A$64&amp;" — "&amp;B62_TR_Assessment!$B$64&amp;" ["&amp;B62_TR_Assessment!$D$64&amp;"]"&amp;IF(B62_TR_Assessment!$G$64&lt;&gt;""," Impact: "&amp;B62_TR_Assessment!$G$64,"")&amp;IF(B62_TR_Assessment!$J$64&lt;&gt;""," — "&amp;B62_TR_Assessment!$J$64,""),""))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K24" s="335" t="str">
        <f>IFERROR(B62_TR_Assessment!$H$4,"")</f>
        <v>Cooling / emergency power not verified</v>
      </c>
    </row>
    <row r="25" spans="1:11" ht="76.150000000000006" customHeight="1">
      <c r="A25" s="546" t="str">
        <f>_Command_Source!A25</f>
        <v>70</v>
      </c>
      <c r="B25" s="546" t="str">
        <f>_Command_Source!C25</f>
        <v>B70</v>
      </c>
      <c r="C25" s="546" t="str">
        <f>_Command_Source!B25</f>
        <v>B70_TR_Assessment</v>
      </c>
      <c r="D25" s="335" t="str">
        <f>IF(COUNTA(B70_TR_Assessment!$J$24:$J$27)=0,"• No fire / life safety items captured for this building.",IF(B70_TR_Assessment!$J$24&lt;&gt;"","• "&amp;B70_TR_Assessment!$J$24&amp;IF(COUNTA(B70_TR_Assessment!$J$25:$J$27)&gt;0,CHAR(10),""),"")&amp;IF(B70_TR_Assessment!$J$25&lt;&gt;"","• "&amp;B70_TR_Assessment!$J$25&amp;IF(COUNTA(B70_TR_Assessment!$J$26:$J$27)&gt;0,CHAR(10),""),"")&amp;IF(B70_TR_Assessment!$J$26&lt;&gt;"","• "&amp;B70_TR_Assessment!$J$26&amp;IF(COUNTA(B70_TR_Assessment!$J$27:$J$27)&gt;0,CHAR(10),""),"")&amp;IF(B70_TR_Assessment!$J$27&lt;&gt;"","• "&amp;B70_TR_Assessment!$J$27,""))</f>
        <v>• No fire / life safety items captured for this building.</v>
      </c>
      <c r="E25" s="335" t="str">
        <f>IF(COUNTA(B70_TR_Assessment!$J$31:$J$34)=0,"• No hvac / cooling items captured for this building.",IF(B70_TR_Assessment!$J$31&lt;&gt;"","• "&amp;B70_TR_Assessment!$J$31&amp;IF(COUNTA(B70_TR_Assessment!$J$32:$J$34)&gt;0,CHAR(10),""),"")&amp;IF(B70_TR_Assessment!$J$32&lt;&gt;"","• "&amp;B70_TR_Assessment!$J$32&amp;IF(COUNTA(B70_TR_Assessment!$J$33:$J$34)&gt;0,CHAR(10),""),"")&amp;IF(B70_TR_Assessment!$J$33&lt;&gt;"","• "&amp;B70_TR_Assessment!$J$33&amp;IF(COUNTA(B70_TR_Assessment!$J$34:$J$34)&gt;0,CHAR(10),""),"")&amp;IF(B70_TR_Assessment!$J$34&lt;&gt;"","• "&amp;B70_TR_Assessment!$J$34,""))</f>
        <v>• No hvac / cooling items captured for this building.</v>
      </c>
      <c r="F25" s="335" t="str">
        <f>IF(COUNTA(B70_TR_Assessment!$J$38:$J$41)=0,"• No electrical / ups items captured for this building.",IF(B70_TR_Assessment!$J$38&lt;&gt;"","• "&amp;B70_TR_Assessment!$J$38&amp;IF(COUNTA(B70_TR_Assessment!$J$39:$J$41)&gt;0,CHAR(10),""),"")&amp;IF(B70_TR_Assessment!$J$39&lt;&gt;"","• "&amp;B70_TR_Assessment!$J$39&amp;IF(COUNTA(B70_TR_Assessment!$J$40:$J$41)&gt;0,CHAR(10),""),"")&amp;IF(B70_TR_Assessment!$J$40&lt;&gt;"","• "&amp;B70_TR_Assessment!$J$40&amp;IF(COUNTA(B70_TR_Assessment!$J$41:$J$41)&gt;0,CHAR(10),""),"")&amp;IF(B70_TR_Assessment!$J$41&lt;&gt;"","• "&amp;B70_TR_Assessment!$J$41,""))</f>
        <v>• No electrical / ups items captured for this building.</v>
      </c>
      <c r="G25" s="335" t="str">
        <f>IF(COUNTA(B70_TR_Assessment!$J$45:$J$48)=0,"• No telecom / fiber items captured for this building.",IF(B70_TR_Assessment!$J$45&lt;&gt;"","• "&amp;B70_TR_Assessment!$J$45&amp;IF(COUNTA(B70_TR_Assessment!$J$46:$J$48)&gt;0,CHAR(10),""),"")&amp;IF(B70_TR_Assessment!$J$46&lt;&gt;"","• "&amp;B70_TR_Assessment!$J$46&amp;IF(COUNTA(B70_TR_Assessment!$J$47:$J$48)&gt;0,CHAR(10),""),"")&amp;IF(B70_TR_Assessment!$J$47&lt;&gt;"","• "&amp;B70_TR_Assessment!$J$47&amp;IF(COUNTA(B70_TR_Assessment!$J$48:$J$48)&gt;0,CHAR(10),""),"")&amp;IF(B70_TR_Assessment!$J$48&lt;&gt;"","• "&amp;B70_TR_Assessment!$J$48,""))</f>
        <v>• No telecom / fiber items captured for this building.</v>
      </c>
      <c r="H25" s="335" t="str">
        <f>"• No security / pacs / cctv items captured for this building."</f>
        <v>• No security / pacs / cctv items captured for this building.</v>
      </c>
      <c r="I25" s="335" t="str">
        <f>IF(COUNTA(B70_TR_Assessment!$A$52:$A$57)=0,"• No owner risks items captured for this building.",IF(B70_TR_Assessment!$A$52&lt;&gt;"","• "&amp;B70_TR_Assessment!$A$52&amp;" — "&amp;B70_TR_Assessment!$C$52&amp;" ["&amp;B70_TR_Assessment!$I$52&amp;"]"&amp;IF(B70_TR_Assessment!$J$52&lt;&gt;""," — "&amp;B70_TR_Assessment!$J$52,""),"")&amp;IF(B70_TR_Assessment!$A$53&lt;&gt;"",IF(COUNTA(B70_TR_Assessment!$A$52:$A$52)&gt;0,CHAR(10),"")&amp;"• "&amp;B70_TR_Assessment!$A$53&amp;" — "&amp;B70_TR_Assessment!$C$53&amp;" ["&amp;B70_TR_Assessment!$I$53&amp;"]"&amp;IF(B70_TR_Assessment!$J$53&lt;&gt;""," — "&amp;B70_TR_Assessment!$J$53,""),"")&amp;IF(B70_TR_Assessment!$A$54&lt;&gt;"",IF(COUNTA(B70_TR_Assessment!$A$52:$A$53)&gt;0,CHAR(10),"")&amp;"• "&amp;B70_TR_Assessment!$A$54&amp;" — "&amp;B70_TR_Assessment!$C$54&amp;" ["&amp;B70_TR_Assessment!$I$54&amp;"]"&amp;IF(B70_TR_Assessment!$J$54&lt;&gt;""," — "&amp;B70_TR_Assessment!$J$54,""),"")&amp;IF(B70_TR_Assessment!$A$55&lt;&gt;"",IF(COUNTA(B70_TR_Assessment!$A$52:$A$54)&gt;0,CHAR(10),"")&amp;"• "&amp;B70_TR_Assessment!$A$55&amp;" — "&amp;B70_TR_Assessment!$C$55&amp;" ["&amp;B70_TR_Assessment!$I$55&amp;"]"&amp;IF(B70_TR_Assessment!$J$55&lt;&gt;""," — "&amp;B70_TR_Assessment!$J$55,""),"")&amp;IF(B70_TR_Assessment!$A$56&lt;&gt;"",IF(COUNTA(B70_TR_Assessment!$A$52:$A$55)&gt;0,CHAR(10),"")&amp;"• "&amp;B70_TR_Assessment!$A$56&amp;" — "&amp;B70_TR_Assessment!$C$56&amp;" ["&amp;B70_TR_Assessment!$I$56&amp;"]"&amp;IF(B70_TR_Assessment!$J$56&lt;&gt;""," — "&amp;B70_TR_Assessment!$J$56,""),"")&amp;IF(B70_TR_Assessment!$A$57&lt;&gt;"",IF(COUNTA(B70_TR_Assessment!$A$52:$A$56)&gt;0,CHAR(10),"")&amp;"• "&amp;B70_TR_Assessment!$A$57&amp;" — "&amp;B70_TR_Assessment!$C$57&amp;" ["&amp;B70_TR_Assessment!$I$57&amp;"]"&amp;IF(B70_TR_Assessment!$J$57&lt;&gt;""," — "&amp;B70_TR_Assessment!$J$57,""),""))</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J25" s="335" t="str">
        <f>IF(COUNTA(B70_TR_Assessment!$A$61:$A$66)=0,"• No open questions items captured for this building.",IF(B70_TR_Assessment!$A$61&lt;&gt;"","• "&amp;B70_TR_Assessment!$A$61&amp;" — "&amp;B70_TR_Assessment!$B$61&amp;" ["&amp;B70_TR_Assessment!$D$61&amp;"]"&amp;IF(B70_TR_Assessment!$G$61&lt;&gt;""," Impact: "&amp;B70_TR_Assessment!$G$61,"")&amp;IF(B70_TR_Assessment!$J$61&lt;&gt;""," — "&amp;B70_TR_Assessment!$J$61,""),"")&amp;IF(B70_TR_Assessment!$A$62&lt;&gt;"",IF(COUNTA(B70_TR_Assessment!$A$61:$A$61)&gt;0,CHAR(10),"")&amp;"• "&amp;B70_TR_Assessment!$A$62&amp;" — "&amp;B70_TR_Assessment!$B$62&amp;" ["&amp;B70_TR_Assessment!$D$62&amp;"]"&amp;IF(B70_TR_Assessment!$G$62&lt;&gt;""," Impact: "&amp;B70_TR_Assessment!$G$62,"")&amp;IF(B70_TR_Assessment!$J$62&lt;&gt;""," — "&amp;B70_TR_Assessment!$J$62,""),"")&amp;IF(B70_TR_Assessment!$A$63&lt;&gt;"",IF(COUNTA(B70_TR_Assessment!$A$61:$A$62)&gt;0,CHAR(10),"")&amp;"• "&amp;B70_TR_Assessment!$A$63&amp;" — "&amp;B70_TR_Assessment!$B$63&amp;" ["&amp;B70_TR_Assessment!$D$63&amp;"]"&amp;IF(B70_TR_Assessment!$G$63&lt;&gt;""," Impact: "&amp;B70_TR_Assessment!$G$63,"")&amp;IF(B70_TR_Assessment!$J$63&lt;&gt;""," — "&amp;B70_TR_Assessment!$J$63,""),"")&amp;IF(B70_TR_Assessment!$A$64&lt;&gt;"",IF(COUNTA(B70_TR_Assessment!$A$61:$A$63)&gt;0,CHAR(10),"")&amp;"• "&amp;B70_TR_Assessment!$A$64&amp;" — "&amp;B70_TR_Assessment!$B$64&amp;" ["&amp;B70_TR_Assessment!$D$64&amp;"]"&amp;IF(B70_TR_Assessment!$G$64&lt;&gt;""," Impact: "&amp;B70_TR_Assessment!$G$64,"")&amp;IF(B70_TR_Assessment!$J$64&lt;&gt;""," — "&amp;B70_TR_Assessment!$J$64,""),"")&amp;IF(B70_TR_Assessment!$A$65&lt;&gt;"",IF(COUNTA(B70_TR_Assessment!$A$61:$A$64)&gt;0,CHAR(10),"")&amp;"• "&amp;B70_TR_Assessment!$A$65&amp;" — "&amp;B70_TR_Assessment!$B$65&amp;" ["&amp;B70_TR_Assessment!$D$65&amp;"]"&amp;IF(B70_TR_Assessment!$G$65&lt;&gt;""," Impact: "&amp;B70_TR_Assessment!$G$65,"")&amp;IF(B70_TR_Assessment!$J$65&lt;&gt;""," — "&amp;B70_TR_Assessment!$J$65,""),"")&amp;IF(B70_TR_Assessment!$A$66&lt;&gt;"",IF(COUNTA(B70_TR_Assessment!$A$61:$A$65)&gt;0,CHAR(10),"")&amp;"• "&amp;B70_TR_Assessment!$A$66&amp;" — "&amp;B70_TR_Assessment!$B$66&amp;" ["&amp;B70_TR_Assessment!$D$66&amp;"]"&amp;IF(B70_TR_Assessment!$G$66&lt;&gt;""," Impact: "&amp;B70_TR_Assessment!$G$66,"")&amp;IF(B70_TR_Assessment!$J$66&lt;&gt;""," — "&amp;B70_TR_Assessment!$J$66,""),""))</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K25" s="335" t="str">
        <f>IFERROR(B70_TR_Assessment!$H$4,"")</f>
        <v>Cooling / emergency power and existing TR phasing not verified</v>
      </c>
    </row>
    <row r="26" spans="1:11" ht="262.14999999999998" customHeight="1">
      <c r="A26" s="546" t="str">
        <f>_Command_Source!A26</f>
        <v>78</v>
      </c>
      <c r="B26" s="546" t="str">
        <f>_Command_Source!C26</f>
        <v>B78</v>
      </c>
      <c r="C26" s="546" t="str">
        <f>_Command_Source!B26</f>
        <v>B78_Assessment</v>
      </c>
      <c r="D26" s="335" t="str">
        <f>IF(COUNTA(B78_Assessment!$J$30:$J$36)=0,"• No fire / life safety items captured for this building.",IF(B78_Assessment!$J$30&lt;&gt;"","• "&amp;B78_Assessment!$J$30&amp;IF(COUNTA(B78_Assessment!$J$31:$J$36)&gt;0,CHAR(10),""),"")&amp;IF(B78_Assessment!$J$31&lt;&gt;"","• "&amp;B78_Assessment!$J$31&amp;IF(COUNTA(B78_Assessment!$J$32:$J$36)&gt;0,CHAR(10),""),"")&amp;IF(B78_Assessment!$J$32&lt;&gt;"","• "&amp;B78_Assessment!$J$32&amp;IF(COUNTA(B78_Assessment!$J$33:$J$36)&gt;0,CHAR(10),""),"")&amp;IF(B78_Assessment!$J$33&lt;&gt;"","• "&amp;B78_Assessment!$J$33&amp;IF(COUNTA(B78_Assessment!$J$34:$J$36)&gt;0,CHAR(10),""),"")&amp;IF(B78_Assessment!$J$34&lt;&gt;"","• "&amp;B78_Assessment!$J$34&amp;IF(COUNTA(B78_Assessment!$J$35:$J$36)&gt;0,CHAR(10),""),"")&amp;IF(B78_Assessment!$J$35&lt;&gt;"","• "&amp;B78_Assessment!$J$35&amp;IF(COUNTA(B78_Assessment!$J$36:$J$36)&gt;0,CHAR(10),""),"")&amp;IF(B78_Assessment!$J$36&lt;&gt;"","• "&amp;B78_Assessment!$J$36,""))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26" s="335" t="str">
        <f>IF(COUNTA(B78_Assessment!$J$40:$J$46)=0,"• No hvac / cooling items captured for this building.",IF(B78_Assessment!$J$40&lt;&gt;"","• "&amp;B78_Assessment!$J$40&amp;IF(COUNTA(B78_Assessment!$J$41:$J$46)&gt;0,CHAR(10),""),"")&amp;IF(B78_Assessment!$J$41&lt;&gt;"","• "&amp;B78_Assessment!$J$41&amp;IF(COUNTA(B78_Assessment!$J$42:$J$46)&gt;0,CHAR(10),""),"")&amp;IF(B78_Assessment!$J$42&lt;&gt;"","• "&amp;B78_Assessment!$J$42&amp;IF(COUNTA(B78_Assessment!$J$43:$J$46)&gt;0,CHAR(10),""),"")&amp;IF(B78_Assessment!$J$43&lt;&gt;"","• "&amp;B78_Assessment!$J$43&amp;IF(COUNTA(B78_Assessment!$J$44:$J$46)&gt;0,CHAR(10),""),"")&amp;IF(B78_Assessment!$J$44&lt;&gt;"","• "&amp;B78_Assessment!$J$44&amp;IF(COUNTA(B78_Assessment!$J$45:$J$46)&gt;0,CHAR(10),""),"")&amp;IF(B78_Assessment!$J$45&lt;&gt;"","• "&amp;B78_Assessment!$J$45&amp;IF(COUNTA(B78_Assessment!$J$46:$J$46)&gt;0,CHAR(10),""),"")&amp;IF(B78_Assessment!$J$46&lt;&gt;"","• "&amp;B78_Assessment!$J$46,""))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26" s="335" t="str">
        <f>IF(COUNTA(B78_Assessment!$J$50:$J$56)=0,"• No electrical / ups items captured for this building.",IF(B78_Assessment!$J$50&lt;&gt;"","• "&amp;B78_Assessment!$J$50&amp;IF(COUNTA(B78_Assessment!$J$51:$J$56)&gt;0,CHAR(10),""),"")&amp;IF(B78_Assessment!$J$51&lt;&gt;"","• "&amp;B78_Assessment!$J$51&amp;IF(COUNTA(B78_Assessment!$J$52:$J$56)&gt;0,CHAR(10),""),"")&amp;IF(B78_Assessment!$J$52&lt;&gt;"","• "&amp;B78_Assessment!$J$52&amp;IF(COUNTA(B78_Assessment!$J$53:$J$56)&gt;0,CHAR(10),""),"")&amp;IF(B78_Assessment!$J$53&lt;&gt;"","• "&amp;B78_Assessment!$J$53&amp;IF(COUNTA(B78_Assessment!$J$54:$J$56)&gt;0,CHAR(10),""),"")&amp;IF(B78_Assessment!$J$54&lt;&gt;"","• "&amp;B78_Assessment!$J$54&amp;IF(COUNTA(B78_Assessment!$J$55:$J$56)&gt;0,CHAR(10),""),"")&amp;IF(B78_Assessment!$J$55&lt;&gt;"","• "&amp;B78_Assessment!$J$55&amp;IF(COUNTA(B78_Assessment!$J$56:$J$56)&gt;0,CHAR(10),""),"")&amp;IF(B78_Assessment!$J$56&lt;&gt;"","• "&amp;B78_Assessment!$J$56,""))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26" s="335" t="str">
        <f>IF(COUNTA(B78_Assessment!$J$60:$J$66)=0,"• No telecom / fiber items captured for this building.",IF(B78_Assessment!$J$60&lt;&gt;"","• "&amp;B78_Assessment!$J$60&amp;IF(COUNTA(B78_Assessment!$J$61:$J$66)&gt;0,CHAR(10),""),"")&amp;IF(B78_Assessment!$J$61&lt;&gt;"","• "&amp;B78_Assessment!$J$61&amp;IF(COUNTA(B78_Assessment!$J$62:$J$66)&gt;0,CHAR(10),""),"")&amp;IF(B78_Assessment!$J$62&lt;&gt;"","• "&amp;B78_Assessment!$J$62&amp;IF(COUNTA(B78_Assessment!$J$63:$J$66)&gt;0,CHAR(10),""),"")&amp;IF(B78_Assessment!$J$63&lt;&gt;"","• "&amp;B78_Assessment!$J$63&amp;IF(COUNTA(B78_Assessment!$J$64:$J$66)&gt;0,CHAR(10),""),"")&amp;IF(B78_Assessment!$J$64&lt;&gt;"","• "&amp;B78_Assessment!$J$64&amp;IF(COUNTA(B78_Assessment!$J$65:$J$66)&gt;0,CHAR(10),""),"")&amp;IF(B78_Assessment!$J$65&lt;&gt;"","• "&amp;B78_Assessment!$J$65&amp;IF(COUNTA(B78_Assessment!$J$66:$J$66)&gt;0,CHAR(10),""),"")&amp;IF(B78_Assessment!$J$66&lt;&gt;"","• "&amp;B78_Assessment!$J$66,""))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26" s="335" t="str">
        <f>IF(COUNTA(B78_Assessment!$J$70:$J$76)=0,"• No security / pacs / cctv items captured for this building.",IF(B78_Assessment!$J$70&lt;&gt;"","• "&amp;B78_Assessment!$J$70&amp;IF(COUNTA(B78_Assessment!$J$71:$J$76)&gt;0,CHAR(10),""),"")&amp;IF(B78_Assessment!$J$71&lt;&gt;"","• "&amp;B78_Assessment!$J$71&amp;IF(COUNTA(B78_Assessment!$J$72:$J$76)&gt;0,CHAR(10),""),"")&amp;IF(B78_Assessment!$J$72&lt;&gt;"","• "&amp;B78_Assessment!$J$72&amp;IF(COUNTA(B78_Assessment!$J$73:$J$76)&gt;0,CHAR(10),""),"")&amp;IF(B78_Assessment!$J$73&lt;&gt;"","• "&amp;B78_Assessment!$J$73&amp;IF(COUNTA(B78_Assessment!$J$74:$J$76)&gt;0,CHAR(10),""),"")&amp;IF(B78_Assessment!$J$74&lt;&gt;"","• "&amp;B78_Assessment!$J$74&amp;IF(COUNTA(B78_Assessment!$J$75:$J$76)&gt;0,CHAR(10),""),"")&amp;IF(B78_Assessment!$J$75&lt;&gt;"","• "&amp;B78_Assessment!$J$75&amp;IF(COUNTA(B78_Assessment!$J$76:$J$76)&gt;0,CHAR(10),""),"")&amp;IF(B78_Assessment!$J$76&lt;&gt;"","• "&amp;B78_Assessment!$J$76,""))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I26" s="335" t="str">
        <f>IF(COUNTA(B78_Assessment!$A$80:$A$87)=0,"• No owner risks items captured for this building.",IF(B78_Assessment!$A$80&lt;&gt;"","• "&amp;B78_Assessment!$A$80&amp;" — "&amp;B78_Assessment!$C$80&amp;" ["&amp;B78_Assessment!$I$80&amp;"]"&amp;IF(B78_Assessment!$J$80&lt;&gt;""," — "&amp;B78_Assessment!$J$80,""),"")&amp;IF(B78_Assessment!$A$81&lt;&gt;"",IF(COUNTA(B78_Assessment!$A$80:$A$80)&gt;0,CHAR(10),"")&amp;"• "&amp;B78_Assessment!$A$81&amp;" — "&amp;B78_Assessment!$C$81&amp;" ["&amp;B78_Assessment!$I$81&amp;"]"&amp;IF(B78_Assessment!$J$81&lt;&gt;""," — "&amp;B78_Assessment!$J$81,""),"")&amp;IF(B78_Assessment!$A$82&lt;&gt;"",IF(COUNTA(B78_Assessment!$A$80:$A$81)&gt;0,CHAR(10),"")&amp;"• "&amp;B78_Assessment!$A$82&amp;" — "&amp;B78_Assessment!$C$82&amp;" ["&amp;B78_Assessment!$I$82&amp;"]"&amp;IF(B78_Assessment!$J$82&lt;&gt;""," — "&amp;B78_Assessment!$J$82,""),"")&amp;IF(B78_Assessment!$A$83&lt;&gt;"",IF(COUNTA(B78_Assessment!$A$80:$A$82)&gt;0,CHAR(10),"")&amp;"• "&amp;B78_Assessment!$A$83&amp;" — "&amp;B78_Assessment!$C$83&amp;" ["&amp;B78_Assessment!$I$83&amp;"]"&amp;IF(B78_Assessment!$J$83&lt;&gt;""," — "&amp;B78_Assessment!$J$83,""),"")&amp;IF(B78_Assessment!$A$84&lt;&gt;"",IF(COUNTA(B78_Assessment!$A$80:$A$83)&gt;0,CHAR(10),"")&amp;"• "&amp;B78_Assessment!$A$84&amp;" — "&amp;B78_Assessment!$C$84&amp;" ["&amp;B78_Assessment!$I$84&amp;"]"&amp;IF(B78_Assessment!$J$84&lt;&gt;""," — "&amp;B78_Assessment!$J$84,""),"")&amp;IF(B78_Assessment!$A$85&lt;&gt;"",IF(COUNTA(B78_Assessment!$A$80:$A$84)&gt;0,CHAR(10),"")&amp;"• "&amp;B78_Assessment!$A$85&amp;" — "&amp;B78_Assessment!$C$85&amp;" ["&amp;B78_Assessment!$I$85&amp;"]"&amp;IF(B78_Assessment!$J$85&lt;&gt;""," — "&amp;B78_Assessment!$J$85,""),"")&amp;IF(B78_Assessment!$A$86&lt;&gt;"",IF(COUNTA(B78_Assessment!$A$80:$A$85)&gt;0,CHAR(10),"")&amp;"• "&amp;B78_Assessment!$A$86&amp;" — "&amp;B78_Assessment!$C$86&amp;" ["&amp;B78_Assessment!$I$86&amp;"]"&amp;IF(B78_Assessment!$J$86&lt;&gt;""," — "&amp;B78_Assessment!$J$86,""),"")&amp;IF(B78_Assessment!$A$87&lt;&gt;"",IF(COUNTA(B78_Assessment!$A$80:$A$86)&gt;0,CHAR(10),"")&amp;"• "&amp;B78_Assessment!$A$87&amp;" — "&amp;B78_Assessment!$C$87&amp;" ["&amp;B78_Assessment!$I$87&amp;"]"&amp;IF(B78_Assessment!$J$87&lt;&gt;""," — "&amp;B78_Assessment!$J$87,""),""))</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J26" s="335" t="str">
        <f>IF(COUNTA(B78_Assessment!$A$91:$A$98)=0,"• No open questions items captured for this building.",IF(B78_Assessment!$A$91&lt;&gt;"","• "&amp;B78_Assessment!$A$91&amp;" — "&amp;B78_Assessment!$B$91&amp;" ["&amp;B78_Assessment!$D$91&amp;"]"&amp;IF(B78_Assessment!$G$91&lt;&gt;""," Impact: "&amp;B78_Assessment!$G$91,"")&amp;IF(B78_Assessment!$J$91&lt;&gt;""," — "&amp;B78_Assessment!$J$91,""),"")&amp;IF(B78_Assessment!$A$92&lt;&gt;"",IF(COUNTA(B78_Assessment!$A$91:$A$91)&gt;0,CHAR(10),"")&amp;"• "&amp;B78_Assessment!$A$92&amp;" — "&amp;B78_Assessment!$B$92&amp;" ["&amp;B78_Assessment!$D$92&amp;"]"&amp;IF(B78_Assessment!$G$92&lt;&gt;""," Impact: "&amp;B78_Assessment!$G$92,"")&amp;IF(B78_Assessment!$J$92&lt;&gt;""," — "&amp;B78_Assessment!$J$92,""),"")&amp;IF(B78_Assessment!$A$93&lt;&gt;"",IF(COUNTA(B78_Assessment!$A$91:$A$92)&gt;0,CHAR(10),"")&amp;"• "&amp;B78_Assessment!$A$93&amp;" — "&amp;B78_Assessment!$B$93&amp;" ["&amp;B78_Assessment!$D$93&amp;"]"&amp;IF(B78_Assessment!$G$93&lt;&gt;""," Impact: "&amp;B78_Assessment!$G$93,"")&amp;IF(B78_Assessment!$J$93&lt;&gt;""," — "&amp;B78_Assessment!$J$93,""),"")&amp;IF(B78_Assessment!$A$94&lt;&gt;"",IF(COUNTA(B78_Assessment!$A$91:$A$93)&gt;0,CHAR(10),"")&amp;"• "&amp;B78_Assessment!$A$94&amp;" — "&amp;B78_Assessment!$B$94&amp;" ["&amp;B78_Assessment!$D$94&amp;"]"&amp;IF(B78_Assessment!$G$94&lt;&gt;""," Impact: "&amp;B78_Assessment!$G$94,"")&amp;IF(B78_Assessment!$J$94&lt;&gt;""," — "&amp;B78_Assessment!$J$94,""),"")&amp;IF(B78_Assessment!$A$95&lt;&gt;"",IF(COUNTA(B78_Assessment!$A$91:$A$94)&gt;0,CHAR(10),"")&amp;"• "&amp;B78_Assessment!$A$95&amp;" — "&amp;B78_Assessment!$B$95&amp;" ["&amp;B78_Assessment!$D$95&amp;"]"&amp;IF(B78_Assessment!$G$95&lt;&gt;""," Impact: "&amp;B78_Assessment!$G$95,"")&amp;IF(B78_Assessment!$J$95&lt;&gt;""," — "&amp;B78_Assessment!$J$95,""),"")&amp;IF(B78_Assessment!$A$96&lt;&gt;"",IF(COUNTA(B78_Assessment!$A$91:$A$95)&gt;0,CHAR(10),"")&amp;"• "&amp;B78_Assessment!$A$96&amp;" — "&amp;B78_Assessment!$B$96&amp;" ["&amp;B78_Assessment!$D$96&amp;"]"&amp;IF(B78_Assessment!$G$96&lt;&gt;""," Impact: "&amp;B78_Assessment!$G$96,"")&amp;IF(B78_Assessment!$J$96&lt;&gt;""," — "&amp;B78_Assessment!$J$96,""),"")&amp;IF(B78_Assessment!$A$97&lt;&gt;"",IF(COUNTA(B78_Assessment!$A$91:$A$96)&gt;0,CHAR(10),"")&amp;"• "&amp;B78_Assessment!$A$97&amp;" — "&amp;B78_Assessment!$B$97&amp;" ["&amp;B78_Assessment!$D$97&amp;"]"&amp;IF(B78_Assessment!$G$97&lt;&gt;""," Impact: "&amp;B78_Assessment!$G$97,"")&amp;IF(B78_Assessment!$J$97&lt;&gt;""," — "&amp;B78_Assessment!$J$97,""),"")&amp;IF(B78_Assessment!$A$98&lt;&gt;"",IF(COUNTA(B78_Assessment!$A$91:$A$97)&gt;0,CHAR(10),"")&amp;"• "&amp;B78_Assessment!$A$98&amp;" — "&amp;B78_Assessment!$B$98&amp;" ["&amp;B78_Assessment!$D$98&amp;"]"&amp;IF(B78_Assessment!$G$98&lt;&gt;""," Impact: "&amp;B78_Assessment!$G$98,"")&amp;IF(B78_Assessment!$J$98&lt;&gt;""," — "&amp;B78_Assessment!$J$98,""),""))</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K26" s="335" t="str">
        <f>IFERROR(B78_Assessment!$H$4,"")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14999999999998" customHeight="1">
      <c r="A27" s="546" t="str">
        <f>_Command_Source!A27</f>
        <v>80</v>
      </c>
      <c r="B27" s="546" t="str">
        <f>_Command_Source!C27</f>
        <v>B80</v>
      </c>
      <c r="C27" s="546" t="str">
        <f>_Command_Source!B27</f>
        <v>B80_Assessment</v>
      </c>
      <c r="D27" s="335" t="str">
        <f>IF(COUNTA(B80_Assessment!$J$20:$J$21)=0,"• No fire / life safety items captured for this building.",IF(B80_Assessment!$J$20&lt;&gt;"","• "&amp;B80_Assessment!$J$20&amp;IF(COUNTA(B80_Assessment!$J$21:$J$21)&gt;0,CHAR(10),""),"")&amp;IF(B80_Assessment!$J$21&lt;&gt;"","• "&amp;B80_Assessment!$J$21,""))</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27" s="335" t="str">
        <f>IF(COUNTA(B80_Assessment!$J$25:$J$26)=0,"• No hvac / cooling items captured for this building.",IF(B80_Assessment!$J$25&lt;&gt;"","• "&amp;B80_Assessment!$J$25&amp;IF(COUNTA(B80_Assessment!$J$26:$J$26)&gt;0,CHAR(10),""),"")&amp;IF(B80_Assessment!$J$26&lt;&gt;"","• "&amp;B80_Assessment!$J$26,""))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27" s="335" t="str">
        <f>IF(COUNTA(B80_Assessment!$J$30:$J$31)=0,"• No electrical / ups items captured for this building.",IF(B80_Assessment!$J$30&lt;&gt;"","• "&amp;B80_Assessment!$J$30&amp;IF(COUNTA(B80_Assessment!$J$31:$J$31)&gt;0,CHAR(10),""),"")&amp;IF(B80_Assessment!$J$31&lt;&gt;"","• "&amp;B80_Assessment!$J$31,""))</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27" s="335" t="str">
        <f>IF(COUNTA(B80_Assessment!$J$35:$J$36)=0,"• No telecom / fiber items captured for this building.",IF(B80_Assessment!$J$35&lt;&gt;"","• "&amp;B80_Assessment!$J$35&amp;IF(COUNTA(B80_Assessment!$J$36:$J$36)&gt;0,CHAR(10),""),"")&amp;IF(B80_Assessment!$J$36&lt;&gt;"","• "&amp;B80_Assessment!$J$36,""))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27" s="335" t="str">
        <f>IF(COUNTA(B80_Assessment!$J$40:$J$41)=0,"• No security / pacs / cctv items captured for this building.",IF(B80_Assessment!$J$40&lt;&gt;"","• "&amp;B80_Assessment!$J$40&amp;IF(COUNTA(B80_Assessment!$J$41:$J$41)&gt;0,CHAR(10),""),"")&amp;IF(B80_Assessment!$J$41&lt;&gt;"","• "&amp;B80_Assessment!$J$41,""))</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I27" s="335" t="str">
        <f>IF(COUNTA(B80_Assessment!$A$45:$A$52)=0,"• No owner risks items captured for this building.",IF(B80_Assessment!$A$45&lt;&gt;"","• "&amp;B80_Assessment!$A$45&amp;" — "&amp;B80_Assessment!$C$45&amp;" ["&amp;B80_Assessment!$I$45&amp;"]"&amp;IF(B80_Assessment!$J$45&lt;&gt;""," — "&amp;B80_Assessment!$J$45,""),"")&amp;IF(B80_Assessment!$A$46&lt;&gt;"",IF(COUNTA(B80_Assessment!$A$45:$A$45)&gt;0,CHAR(10),"")&amp;"• "&amp;B80_Assessment!$A$46&amp;" — "&amp;B80_Assessment!$C$46&amp;" ["&amp;B80_Assessment!$I$46&amp;"]"&amp;IF(B80_Assessment!$J$46&lt;&gt;""," — "&amp;B80_Assessment!$J$46,""),"")&amp;IF(B80_Assessment!$A$47&lt;&gt;"",IF(COUNTA(B80_Assessment!$A$45:$A$46)&gt;0,CHAR(10),"")&amp;"• "&amp;B80_Assessment!$A$47&amp;" — "&amp;B80_Assessment!$C$47&amp;" ["&amp;B80_Assessment!$I$47&amp;"]"&amp;IF(B80_Assessment!$J$47&lt;&gt;""," — "&amp;B80_Assessment!$J$47,""),"")&amp;IF(B80_Assessment!$A$48&lt;&gt;"",IF(COUNTA(B80_Assessment!$A$45:$A$47)&gt;0,CHAR(10),"")&amp;"• "&amp;B80_Assessment!$A$48&amp;" — "&amp;B80_Assessment!$C$48&amp;" ["&amp;B80_Assessment!$I$48&amp;"]"&amp;IF(B80_Assessment!$J$48&lt;&gt;""," — "&amp;B80_Assessment!$J$48,""),"")&amp;IF(B80_Assessment!$A$49&lt;&gt;"",IF(COUNTA(B80_Assessment!$A$45:$A$48)&gt;0,CHAR(10),"")&amp;"• "&amp;B80_Assessment!$A$49&amp;" — "&amp;B80_Assessment!$C$49&amp;" ["&amp;B80_Assessment!$I$49&amp;"]"&amp;IF(B80_Assessment!$J$49&lt;&gt;""," — "&amp;B80_Assessment!$J$49,""),"")&amp;IF(B80_Assessment!$A$50&lt;&gt;"",IF(COUNTA(B80_Assessment!$A$45:$A$49)&gt;0,CHAR(10),"")&amp;"• "&amp;B80_Assessment!$A$50&amp;" — "&amp;B80_Assessment!$C$50&amp;" ["&amp;B80_Assessment!$I$50&amp;"]"&amp;IF(B80_Assessment!$J$50&lt;&gt;""," — "&amp;B80_Assessment!$J$50,""),"")&amp;IF(B80_Assessment!$A$51&lt;&gt;"",IF(COUNTA(B80_Assessment!$A$45:$A$50)&gt;0,CHAR(10),"")&amp;"• "&amp;B80_Assessment!$A$51&amp;" — "&amp;B80_Assessment!$C$51&amp;" ["&amp;B80_Assessment!$I$51&amp;"]"&amp;IF(B80_Assessment!$J$51&lt;&gt;""," — "&amp;B80_Assessment!$J$51,""),"")&amp;IF(B80_Assessment!$A$52&lt;&gt;"",IF(COUNTA(B80_Assessment!$A$45:$A$51)&gt;0,CHAR(10),"")&amp;"• "&amp;B80_Assessment!$A$52&amp;" — "&amp;B80_Assessment!$C$52&amp;" ["&amp;B80_Assessment!$I$52&amp;"]"&amp;IF(B80_Assessment!$J$52&lt;&gt;""," — "&amp;B80_Assessment!$J$52,""),""))</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J27" s="335" t="str">
        <f>IF(COUNTA(B80_Assessment!$A$56:$A$63)=0,"• No open questions items captured for this building.",IF(B80_Assessment!$A$56&lt;&gt;"","• "&amp;B80_Assessment!$A$56&amp;" — "&amp;B80_Assessment!$B$56&amp;" ["&amp;B80_Assessment!$D$56&amp;"]"&amp;IF(B80_Assessment!$G$56&lt;&gt;""," Impact: "&amp;B80_Assessment!$G$56,"")&amp;IF(B80_Assessment!$J$56&lt;&gt;""," — "&amp;B80_Assessment!$J$56,""),"")&amp;IF(B80_Assessment!$A$57&lt;&gt;"",IF(COUNTA(B80_Assessment!$A$56:$A$56)&gt;0,CHAR(10),"")&amp;"• "&amp;B80_Assessment!$A$57&amp;" — "&amp;B80_Assessment!$B$57&amp;" ["&amp;B80_Assessment!$D$57&amp;"]"&amp;IF(B80_Assessment!$G$57&lt;&gt;""," Impact: "&amp;B80_Assessment!$G$57,"")&amp;IF(B80_Assessment!$J$57&lt;&gt;""," — "&amp;B80_Assessment!$J$57,""),"")&amp;IF(B80_Assessment!$A$58&lt;&gt;"",IF(COUNTA(B80_Assessment!$A$56:$A$57)&gt;0,CHAR(10),"")&amp;"• "&amp;B80_Assessment!$A$58&amp;" — "&amp;B80_Assessment!$B$58&amp;" ["&amp;B80_Assessment!$D$58&amp;"]"&amp;IF(B80_Assessment!$G$58&lt;&gt;""," Impact: "&amp;B80_Assessment!$G$58,"")&amp;IF(B80_Assessment!$J$58&lt;&gt;""," — "&amp;B80_Assessment!$J$58,""),"")&amp;IF(B80_Assessment!$A$59&lt;&gt;"",IF(COUNTA(B80_Assessment!$A$56:$A$58)&gt;0,CHAR(10),"")&amp;"• "&amp;B80_Assessment!$A$59&amp;" — "&amp;B80_Assessment!$B$59&amp;" ["&amp;B80_Assessment!$D$59&amp;"]"&amp;IF(B80_Assessment!$G$59&lt;&gt;""," Impact: "&amp;B80_Assessment!$G$59,"")&amp;IF(B80_Assessment!$J$59&lt;&gt;""," — "&amp;B80_Assessment!$J$59,""),"")&amp;IF(B80_Assessment!$A$60&lt;&gt;"",IF(COUNTA(B80_Assessment!$A$56:$A$59)&gt;0,CHAR(10),"")&amp;"• "&amp;B80_Assessment!$A$60&amp;" — "&amp;B80_Assessment!$B$60&amp;" ["&amp;B80_Assessment!$D$60&amp;"]"&amp;IF(B80_Assessment!$G$60&lt;&gt;""," Impact: "&amp;B80_Assessment!$G$60,"")&amp;IF(B80_Assessment!$J$60&lt;&gt;""," — "&amp;B80_Assessment!$J$60,""),"")&amp;IF(B80_Assessment!$A$61&lt;&gt;"",IF(COUNTA(B80_Assessment!$A$56:$A$60)&gt;0,CHAR(10),"")&amp;"• "&amp;B80_Assessment!$A$61&amp;" — "&amp;B80_Assessment!$B$61&amp;" ["&amp;B80_Assessment!$D$61&amp;"]"&amp;IF(B80_Assessment!$G$61&lt;&gt;""," Impact: "&amp;B80_Assessment!$G$61,"")&amp;IF(B80_Assessment!$J$61&lt;&gt;""," — "&amp;B80_Assessment!$J$61,""),"")&amp;IF(B80_Assessment!$A$62&lt;&gt;"",IF(COUNTA(B80_Assessment!$A$56:$A$61)&gt;0,CHAR(10),"")&amp;"• "&amp;B80_Assessment!$A$62&amp;" — "&amp;B80_Assessment!$B$62&amp;" ["&amp;B80_Assessment!$D$62&amp;"]"&amp;IF(B80_Assessment!$G$62&lt;&gt;""," Impact: "&amp;B80_Assessment!$G$62,"")&amp;IF(B80_Assessment!$J$62&lt;&gt;""," — "&amp;B80_Assessment!$J$62,""),"")&amp;IF(B80_Assessment!$A$63&lt;&gt;"",IF(COUNTA(B80_Assessment!$A$56:$A$62)&gt;0,CHAR(10),"")&amp;"• "&amp;B80_Assessment!$A$63&amp;" — "&amp;B80_Assessment!$B$63&amp;" ["&amp;B80_Assessment!$D$63&amp;"]"&amp;IF(B80_Assessment!$G$63&lt;&gt;""," Impact: "&amp;B80_Assessment!$G$63,"")&amp;IF(B80_Assessment!$J$63&lt;&gt;""," — "&amp;B80_Assessment!$J$63,""),""))</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K27" s="335" t="str">
        <f>IFERROR(B80_Assessment!$H$4,"")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14999999999998" customHeight="1">
      <c r="A28" s="546" t="str">
        <f>_Command_Source!A28</f>
        <v>82</v>
      </c>
      <c r="B28" s="546" t="str">
        <f>_Command_Source!C28</f>
        <v>B82</v>
      </c>
      <c r="C28" s="546" t="str">
        <f>_Command_Source!B28</f>
        <v>B82_Assessment</v>
      </c>
      <c r="D28" s="335" t="str">
        <f>IF(COUNTA(B82_Assessment!$J$20:$J$21)=0,"• No fire / life safety items captured for this building.",IF(B82_Assessment!$J$20&lt;&gt;"","• "&amp;B82_Assessment!$J$20&amp;IF(COUNTA(B82_Assessment!$J$21:$J$21)&gt;0,CHAR(10),""),"")&amp;IF(B82_Assessment!$J$21&lt;&gt;"","• "&amp;B82_Assessment!$J$21,""))</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28" s="335" t="str">
        <f>IF(COUNTA(B82_Assessment!$J$25:$J$26)=0,"• No hvac / cooling items captured for this building.",IF(B82_Assessment!$J$25&lt;&gt;"","• "&amp;B82_Assessment!$J$25&amp;IF(COUNTA(B82_Assessment!$J$26:$J$26)&gt;0,CHAR(10),""),"")&amp;IF(B82_Assessment!$J$26&lt;&gt;"","• "&amp;B82_Assessment!$J$26,""))</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28" s="335" t="str">
        <f>IF(COUNTA(B82_Assessment!$J$30:$J$31)=0,"• No electrical / ups items captured for this building.",IF(B82_Assessment!$J$30&lt;&gt;"","• "&amp;B82_Assessment!$J$30&amp;IF(COUNTA(B82_Assessment!$J$31:$J$31)&gt;0,CHAR(10),""),"")&amp;IF(B82_Assessment!$J$31&lt;&gt;"","• "&amp;B82_Assessment!$J$31,""))</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28" s="335" t="str">
        <f>IF(COUNTA(B82_Assessment!$J$35:$J$36)=0,"• No telecom / fiber items captured for this building.",IF(B82_Assessment!$J$35&lt;&gt;"","• "&amp;B82_Assessment!$J$35&amp;IF(COUNTA(B82_Assessment!$J$36:$J$36)&gt;0,CHAR(10),""),"")&amp;IF(B82_Assessment!$J$36&lt;&gt;"","• "&amp;B82_Assessment!$J$36,""))</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28" s="335" t="str">
        <f>IF(COUNTA(B82_Assessment!$J$40:$J$41)=0,"• No security / pacs / cctv items captured for this building.",IF(B82_Assessment!$J$40&lt;&gt;"","• "&amp;B82_Assessment!$J$40&amp;IF(COUNTA(B82_Assessment!$J$41:$J$41)&gt;0,CHAR(10),""),"")&amp;IF(B82_Assessment!$J$41&lt;&gt;"","• "&amp;B82_Assessment!$J$41,""))</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I28" s="335" t="str">
        <f>IF(COUNTA(B82_Assessment!$A$45:$A$52)=0,"• No owner risks items captured for this building.",IF(B82_Assessment!$A$45&lt;&gt;"","• "&amp;B82_Assessment!$A$45&amp;" — "&amp;B82_Assessment!$C$45&amp;" ["&amp;B82_Assessment!$I$45&amp;"]"&amp;IF(B82_Assessment!$J$45&lt;&gt;""," — "&amp;B82_Assessment!$J$45,""),"")&amp;IF(B82_Assessment!$A$46&lt;&gt;"",IF(COUNTA(B82_Assessment!$A$45:$A$45)&gt;0,CHAR(10),"")&amp;"• "&amp;B82_Assessment!$A$46&amp;" — "&amp;B82_Assessment!$C$46&amp;" ["&amp;B82_Assessment!$I$46&amp;"]"&amp;IF(B82_Assessment!$J$46&lt;&gt;""," — "&amp;B82_Assessment!$J$46,""),"")&amp;IF(B82_Assessment!$A$47&lt;&gt;"",IF(COUNTA(B82_Assessment!$A$45:$A$46)&gt;0,CHAR(10),"")&amp;"• "&amp;B82_Assessment!$A$47&amp;" — "&amp;B82_Assessment!$C$47&amp;" ["&amp;B82_Assessment!$I$47&amp;"]"&amp;IF(B82_Assessment!$J$47&lt;&gt;""," — "&amp;B82_Assessment!$J$47,""),"")&amp;IF(B82_Assessment!$A$48&lt;&gt;"",IF(COUNTA(B82_Assessment!$A$45:$A$47)&gt;0,CHAR(10),"")&amp;"• "&amp;B82_Assessment!$A$48&amp;" — "&amp;B82_Assessment!$C$48&amp;" ["&amp;B82_Assessment!$I$48&amp;"]"&amp;IF(B82_Assessment!$J$48&lt;&gt;""," — "&amp;B82_Assessment!$J$48,""),"")&amp;IF(B82_Assessment!$A$49&lt;&gt;"",IF(COUNTA(B82_Assessment!$A$45:$A$48)&gt;0,CHAR(10),"")&amp;"• "&amp;B82_Assessment!$A$49&amp;" — "&amp;B82_Assessment!$C$49&amp;" ["&amp;B82_Assessment!$I$49&amp;"]"&amp;IF(B82_Assessment!$J$49&lt;&gt;""," — "&amp;B82_Assessment!$J$49,""),"")&amp;IF(B82_Assessment!$A$50&lt;&gt;"",IF(COUNTA(B82_Assessment!$A$45:$A$49)&gt;0,CHAR(10),"")&amp;"• "&amp;B82_Assessment!$A$50&amp;" — "&amp;B82_Assessment!$C$50&amp;" ["&amp;B82_Assessment!$I$50&amp;"]"&amp;IF(B82_Assessment!$J$50&lt;&gt;""," — "&amp;B82_Assessment!$J$50,""),"")&amp;IF(B82_Assessment!$A$51&lt;&gt;"",IF(COUNTA(B82_Assessment!$A$45:$A$50)&gt;0,CHAR(10),"")&amp;"• "&amp;B82_Assessment!$A$51&amp;" — "&amp;B82_Assessment!$C$51&amp;" ["&amp;B82_Assessment!$I$51&amp;"]"&amp;IF(B82_Assessment!$J$51&lt;&gt;""," — "&amp;B82_Assessment!$J$51,""),"")&amp;IF(B82_Assessment!$A$52&lt;&gt;"",IF(COUNTA(B82_Assessment!$A$45:$A$51)&gt;0,CHAR(10),"")&amp;"• "&amp;B82_Assessment!$A$52&amp;" — "&amp;B82_Assessment!$C$52&amp;" ["&amp;B82_Assessment!$I$52&amp;"]"&amp;IF(B82_Assessment!$J$52&lt;&gt;""," — "&amp;B82_Assessment!$J$52,""),""))</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J28" s="335" t="str">
        <f>IF(COUNTA(B82_Assessment!$A$56:$A$63)=0,"• No open questions items captured for this building.",IF(B82_Assessment!$A$56&lt;&gt;"","• "&amp;B82_Assessment!$A$56&amp;" — "&amp;B82_Assessment!$B$56&amp;" ["&amp;B82_Assessment!$D$56&amp;"]"&amp;IF(B82_Assessment!$G$56&lt;&gt;""," Impact: "&amp;B82_Assessment!$G$56,"")&amp;IF(B82_Assessment!$J$56&lt;&gt;""," — "&amp;B82_Assessment!$J$56,""),"")&amp;IF(B82_Assessment!$A$57&lt;&gt;"",IF(COUNTA(B82_Assessment!$A$56:$A$56)&gt;0,CHAR(10),"")&amp;"• "&amp;B82_Assessment!$A$57&amp;" — "&amp;B82_Assessment!$B$57&amp;" ["&amp;B82_Assessment!$D$57&amp;"]"&amp;IF(B82_Assessment!$G$57&lt;&gt;""," Impact: "&amp;B82_Assessment!$G$57,"")&amp;IF(B82_Assessment!$J$57&lt;&gt;""," — "&amp;B82_Assessment!$J$57,""),"")&amp;IF(B82_Assessment!$A$58&lt;&gt;"",IF(COUNTA(B82_Assessment!$A$56:$A$57)&gt;0,CHAR(10),"")&amp;"• "&amp;B82_Assessment!$A$58&amp;" — "&amp;B82_Assessment!$B$58&amp;" ["&amp;B82_Assessment!$D$58&amp;"]"&amp;IF(B82_Assessment!$G$58&lt;&gt;""," Impact: "&amp;B82_Assessment!$G$58,"")&amp;IF(B82_Assessment!$J$58&lt;&gt;""," — "&amp;B82_Assessment!$J$58,""),"")&amp;IF(B82_Assessment!$A$59&lt;&gt;"",IF(COUNTA(B82_Assessment!$A$56:$A$58)&gt;0,CHAR(10),"")&amp;"• "&amp;B82_Assessment!$A$59&amp;" — "&amp;B82_Assessment!$B$59&amp;" ["&amp;B82_Assessment!$D$59&amp;"]"&amp;IF(B82_Assessment!$G$59&lt;&gt;""," Impact: "&amp;B82_Assessment!$G$59,"")&amp;IF(B82_Assessment!$J$59&lt;&gt;""," — "&amp;B82_Assessment!$J$59,""),"")&amp;IF(B82_Assessment!$A$60&lt;&gt;"",IF(COUNTA(B82_Assessment!$A$56:$A$59)&gt;0,CHAR(10),"")&amp;"• "&amp;B82_Assessment!$A$60&amp;" — "&amp;B82_Assessment!$B$60&amp;" ["&amp;B82_Assessment!$D$60&amp;"]"&amp;IF(B82_Assessment!$G$60&lt;&gt;""," Impact: "&amp;B82_Assessment!$G$60,"")&amp;IF(B82_Assessment!$J$60&lt;&gt;""," — "&amp;B82_Assessment!$J$60,""),"")&amp;IF(B82_Assessment!$A$61&lt;&gt;"",IF(COUNTA(B82_Assessment!$A$56:$A$60)&gt;0,CHAR(10),"")&amp;"• "&amp;B82_Assessment!$A$61&amp;" — "&amp;B82_Assessment!$B$61&amp;" ["&amp;B82_Assessment!$D$61&amp;"]"&amp;IF(B82_Assessment!$G$61&lt;&gt;""," Impact: "&amp;B82_Assessment!$G$61,"")&amp;IF(B82_Assessment!$J$61&lt;&gt;""," — "&amp;B82_Assessment!$J$61,""),"")&amp;IF(B82_Assessment!$A$62&lt;&gt;"",IF(COUNTA(B82_Assessment!$A$56:$A$61)&gt;0,CHAR(10),"")&amp;"• "&amp;B82_Assessment!$A$62&amp;" — "&amp;B82_Assessment!$B$62&amp;" ["&amp;B82_Assessment!$D$62&amp;"]"&amp;IF(B82_Assessment!$G$62&lt;&gt;""," Impact: "&amp;B82_Assessment!$G$62,"")&amp;IF(B82_Assessment!$J$62&lt;&gt;""," — "&amp;B82_Assessment!$J$62,""),"")&amp;IF(B82_Assessment!$A$63&lt;&gt;"",IF(COUNTA(B82_Assessment!$A$56:$A$62)&gt;0,CHAR(10),"")&amp;"• "&amp;B82_Assessment!$A$63&amp;" — "&amp;B82_Assessment!$B$63&amp;" ["&amp;B82_Assessment!$D$63&amp;"]"&amp;IF(B82_Assessment!$G$63&lt;&gt;""," Impact: "&amp;B82_Assessment!$G$63,"")&amp;IF(B82_Assessment!$J$63&lt;&gt;""," — "&amp;B82_Assessment!$J$63,""),""))</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K28" s="335" t="str">
        <f>IFERROR(B82_Assessment!$H$4,"")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14999999999998" customHeight="1">
      <c r="A29" s="546" t="str">
        <f>_Command_Source!A29</f>
        <v>BCH</v>
      </c>
      <c r="B29" s="546" t="str">
        <f>_Command_Source!C29</f>
        <v>BCH</v>
      </c>
      <c r="C29" s="546" t="str">
        <f>_Command_Source!B29</f>
        <v>BCH_Assessment</v>
      </c>
      <c r="D29" s="335" t="str">
        <f>IF(COUNTA(BCH_Assessment!$J$20:$J$21)=0,"• No fire / life safety items captured for this building.",IF(BCH_Assessment!$J$20&lt;&gt;"","• "&amp;BCH_Assessment!$J$20&amp;IF(COUNTA(BCH_Assessment!$J$21:$J$21)&gt;0,CHAR(10),""),"")&amp;IF(BCH_Assessment!$J$21&lt;&gt;"","• "&amp;BCH_Assessment!$J$21,""))</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29" s="335" t="str">
        <f>IF(COUNTA(BCH_Assessment!$J$25:$J$26)=0,"• No hvac / cooling items captured for this building.",IF(BCH_Assessment!$J$25&lt;&gt;"","• "&amp;BCH_Assessment!$J$25&amp;IF(COUNTA(BCH_Assessment!$J$26:$J$26)&gt;0,CHAR(10),""),"")&amp;IF(BCH_Assessment!$J$26&lt;&gt;"","• "&amp;BCH_Assessment!$J$26,""))</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29" s="335" t="str">
        <f>IF(COUNTA(BCH_Assessment!$J$30:$J$31)=0,"• No electrical / ups items captured for this building.",IF(BCH_Assessment!$J$30&lt;&gt;"","• "&amp;BCH_Assessment!$J$30&amp;IF(COUNTA(BCH_Assessment!$J$31:$J$31)&gt;0,CHAR(10),""),"")&amp;IF(BCH_Assessment!$J$31&lt;&gt;"","• "&amp;BCH_Assessment!$J$31,""))</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29" s="335" t="str">
        <f>IF(COUNTA(BCH_Assessment!$J$35:$J$36)=0,"• No telecom / fiber items captured for this building.",IF(BCH_Assessment!$J$35&lt;&gt;"","• "&amp;BCH_Assessment!$J$35&amp;IF(COUNTA(BCH_Assessment!$J$36:$J$36)&gt;0,CHAR(10),""),"")&amp;IF(BCH_Assessment!$J$36&lt;&gt;"","• "&amp;BCH_Assessment!$J$36,""))</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29" s="335" t="str">
        <f>IF(COUNTA(BCH_Assessment!$J$40:$J$41)=0,"• No security / pacs / cctv items captured for this building.",IF(BCH_Assessment!$J$40&lt;&gt;"","• "&amp;BCH_Assessment!$J$40&amp;IF(COUNTA(BCH_Assessment!$J$41:$J$41)&gt;0,CHAR(10),""),"")&amp;IF(BCH_Assessment!$J$41&lt;&gt;"","• "&amp;BCH_Assessment!$J$41,""))</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I29" s="335" t="str">
        <f>IF(COUNTA(BCH_Assessment!$A$45:$A$52)=0,"• No owner risks items captured for this building.",IF(BCH_Assessment!$A$45&lt;&gt;"","• "&amp;BCH_Assessment!$A$45&amp;" — "&amp;BCH_Assessment!$C$45&amp;" ["&amp;BCH_Assessment!$I$45&amp;"]"&amp;IF(BCH_Assessment!$J$45&lt;&gt;""," — "&amp;BCH_Assessment!$J$45,""),"")&amp;IF(BCH_Assessment!$A$46&lt;&gt;"",IF(COUNTA(BCH_Assessment!$A$45:$A$45)&gt;0,CHAR(10),"")&amp;"• "&amp;BCH_Assessment!$A$46&amp;" — "&amp;BCH_Assessment!$C$46&amp;" ["&amp;BCH_Assessment!$I$46&amp;"]"&amp;IF(BCH_Assessment!$J$46&lt;&gt;""," — "&amp;BCH_Assessment!$J$46,""),"")&amp;IF(BCH_Assessment!$A$47&lt;&gt;"",IF(COUNTA(BCH_Assessment!$A$45:$A$46)&gt;0,CHAR(10),"")&amp;"• "&amp;BCH_Assessment!$A$47&amp;" — "&amp;BCH_Assessment!$C$47&amp;" ["&amp;BCH_Assessment!$I$47&amp;"]"&amp;IF(BCH_Assessment!$J$47&lt;&gt;""," — "&amp;BCH_Assessment!$J$47,""),"")&amp;IF(BCH_Assessment!$A$48&lt;&gt;"",IF(COUNTA(BCH_Assessment!$A$45:$A$47)&gt;0,CHAR(10),"")&amp;"• "&amp;BCH_Assessment!$A$48&amp;" — "&amp;BCH_Assessment!$C$48&amp;" ["&amp;BCH_Assessment!$I$48&amp;"]"&amp;IF(BCH_Assessment!$J$48&lt;&gt;""," — "&amp;BCH_Assessment!$J$48,""),"")&amp;IF(BCH_Assessment!$A$49&lt;&gt;"",IF(COUNTA(BCH_Assessment!$A$45:$A$48)&gt;0,CHAR(10),"")&amp;"• "&amp;BCH_Assessment!$A$49&amp;" — "&amp;BCH_Assessment!$C$49&amp;" ["&amp;BCH_Assessment!$I$49&amp;"]"&amp;IF(BCH_Assessment!$J$49&lt;&gt;""," — "&amp;BCH_Assessment!$J$49,""),"")&amp;IF(BCH_Assessment!$A$50&lt;&gt;"",IF(COUNTA(BCH_Assessment!$A$45:$A$49)&gt;0,CHAR(10),"")&amp;"• "&amp;BCH_Assessment!$A$50&amp;" — "&amp;BCH_Assessment!$C$50&amp;" ["&amp;BCH_Assessment!$I$50&amp;"]"&amp;IF(BCH_Assessment!$J$50&lt;&gt;""," — "&amp;BCH_Assessment!$J$50,""),"")&amp;IF(BCH_Assessment!$A$51&lt;&gt;"",IF(COUNTA(BCH_Assessment!$A$45:$A$50)&gt;0,CHAR(10),"")&amp;"• "&amp;BCH_Assessment!$A$51&amp;" — "&amp;BCH_Assessment!$C$51&amp;" ["&amp;BCH_Assessment!$I$51&amp;"]"&amp;IF(BCH_Assessment!$J$51&lt;&gt;""," — "&amp;BCH_Assessment!$J$51,""),"")&amp;IF(BCH_Assessment!$A$52&lt;&gt;"",IF(COUNTA(BCH_Assessment!$A$45:$A$51)&gt;0,CHAR(10),"")&amp;"• "&amp;BCH_Assessment!$A$52&amp;" — "&amp;BCH_Assessment!$C$52&amp;" ["&amp;BCH_Assessment!$I$52&amp;"]"&amp;IF(BCH_Assessment!$J$52&lt;&gt;""," — "&amp;BCH_Assessment!$J$52,""),""))</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J29" s="335" t="str">
        <f>IF(COUNTA(BCH_Assessment!$A$56:$A$63)=0,"• No open questions items captured for this building.",IF(BCH_Assessment!$A$56&lt;&gt;"","• "&amp;BCH_Assessment!$A$56&amp;" — "&amp;BCH_Assessment!$B$56&amp;" ["&amp;BCH_Assessment!$D$56&amp;"]"&amp;IF(BCH_Assessment!$G$56&lt;&gt;""," Impact: "&amp;BCH_Assessment!$G$56,"")&amp;IF(BCH_Assessment!$J$56&lt;&gt;""," — "&amp;BCH_Assessment!$J$56,""),"")&amp;IF(BCH_Assessment!$A$57&lt;&gt;"",IF(COUNTA(BCH_Assessment!$A$56:$A$56)&gt;0,CHAR(10),"")&amp;"• "&amp;BCH_Assessment!$A$57&amp;" — "&amp;BCH_Assessment!$B$57&amp;" ["&amp;BCH_Assessment!$D$57&amp;"]"&amp;IF(BCH_Assessment!$G$57&lt;&gt;""," Impact: "&amp;BCH_Assessment!$G$57,"")&amp;IF(BCH_Assessment!$J$57&lt;&gt;""," — "&amp;BCH_Assessment!$J$57,""),"")&amp;IF(BCH_Assessment!$A$58&lt;&gt;"",IF(COUNTA(BCH_Assessment!$A$56:$A$57)&gt;0,CHAR(10),"")&amp;"• "&amp;BCH_Assessment!$A$58&amp;" — "&amp;BCH_Assessment!$B$58&amp;" ["&amp;BCH_Assessment!$D$58&amp;"]"&amp;IF(BCH_Assessment!$G$58&lt;&gt;""," Impact: "&amp;BCH_Assessment!$G$58,"")&amp;IF(BCH_Assessment!$J$58&lt;&gt;""," — "&amp;BCH_Assessment!$J$58,""),"")&amp;IF(BCH_Assessment!$A$59&lt;&gt;"",IF(COUNTA(BCH_Assessment!$A$56:$A$58)&gt;0,CHAR(10),"")&amp;"• "&amp;BCH_Assessment!$A$59&amp;" — "&amp;BCH_Assessment!$B$59&amp;" ["&amp;BCH_Assessment!$D$59&amp;"]"&amp;IF(BCH_Assessment!$G$59&lt;&gt;""," Impact: "&amp;BCH_Assessment!$G$59,"")&amp;IF(BCH_Assessment!$J$59&lt;&gt;""," — "&amp;BCH_Assessment!$J$59,""),"")&amp;IF(BCH_Assessment!$A$60&lt;&gt;"",IF(COUNTA(BCH_Assessment!$A$56:$A$59)&gt;0,CHAR(10),"")&amp;"• "&amp;BCH_Assessment!$A$60&amp;" — "&amp;BCH_Assessment!$B$60&amp;" ["&amp;BCH_Assessment!$D$60&amp;"]"&amp;IF(BCH_Assessment!$G$60&lt;&gt;""," Impact: "&amp;BCH_Assessment!$G$60,"")&amp;IF(BCH_Assessment!$J$60&lt;&gt;""," — "&amp;BCH_Assessment!$J$60,""),"")&amp;IF(BCH_Assessment!$A$61&lt;&gt;"",IF(COUNTA(BCH_Assessment!$A$56:$A$60)&gt;0,CHAR(10),"")&amp;"• "&amp;BCH_Assessment!$A$61&amp;" — "&amp;BCH_Assessment!$B$61&amp;" ["&amp;BCH_Assessment!$D$61&amp;"]"&amp;IF(BCH_Assessment!$G$61&lt;&gt;""," Impact: "&amp;BCH_Assessment!$G$61,"")&amp;IF(BCH_Assessment!$J$61&lt;&gt;""," — "&amp;BCH_Assessment!$J$61,""),"")&amp;IF(BCH_Assessment!$A$62&lt;&gt;"",IF(COUNTA(BCH_Assessment!$A$56:$A$61)&gt;0,CHAR(10),"")&amp;"• "&amp;BCH_Assessment!$A$62&amp;" — "&amp;BCH_Assessment!$B$62&amp;" ["&amp;BCH_Assessment!$D$62&amp;"]"&amp;IF(BCH_Assessment!$G$62&lt;&gt;""," Impact: "&amp;BCH_Assessment!$G$62,"")&amp;IF(BCH_Assessment!$J$62&lt;&gt;""," — "&amp;BCH_Assessment!$J$62,""),"")&amp;IF(BCH_Assessment!$A$63&lt;&gt;"",IF(COUNTA(BCH_Assessment!$A$56:$A$62)&gt;0,CHAR(10),"")&amp;"• "&amp;BCH_Assessment!$A$63&amp;" — "&amp;BCH_Assessment!$B$63&amp;" ["&amp;BCH_Assessment!$D$63&amp;"]"&amp;IF(BCH_Assessment!$G$63&lt;&gt;""," Impact: "&amp;BCH_Assessment!$G$63,"")&amp;IF(BCH_Assessment!$J$63&lt;&gt;""," — "&amp;BCH_Assessment!$J$63,""),""))</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K29" s="335" t="str">
        <f>IFERROR(BCH_Assessment!$H$4,"")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14999999999998" customHeight="1">
      <c r="A30" s="546" t="str">
        <f>_Command_Source!A30</f>
        <v>MCR</v>
      </c>
      <c r="B30" s="546" t="str">
        <f>_Command_Source!C30</f>
        <v>MCR</v>
      </c>
      <c r="C30" s="546" t="str">
        <f>_Command_Source!B30</f>
        <v>MCR_Assessment</v>
      </c>
      <c r="D30" s="335" t="str">
        <f>IF(COUNTA(MCR_Assessment!$J$28:$J$32)=0,"• No fire / life safety items captured for this building.",IF(MCR_Assessment!$J$28&lt;&gt;"","• "&amp;MCR_Assessment!$J$28&amp;IF(COUNTA(MCR_Assessment!$J$29:$J$32)&gt;0,CHAR(10),""),"")&amp;IF(MCR_Assessment!$J$29&lt;&gt;"","• "&amp;MCR_Assessment!$J$29&amp;IF(COUNTA(MCR_Assessment!$J$30:$J$32)&gt;0,CHAR(10),""),"")&amp;IF(MCR_Assessment!$J$30&lt;&gt;"","• "&amp;MCR_Assessment!$J$30&amp;IF(COUNTA(MCR_Assessment!$J$31:$J$32)&gt;0,CHAR(10),""),"")&amp;IF(MCR_Assessment!$J$31&lt;&gt;"","• "&amp;MCR_Assessment!$J$31&amp;IF(COUNTA(MCR_Assessment!$J$32:$J$32)&gt;0,CHAR(10),""),"")&amp;IF(MCR_Assessment!$J$32&lt;&gt;"","• "&amp;MCR_Assessment!$J$32,""))</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30" s="335" t="str">
        <f>IF(COUNTA(MCR_Assessment!$J$36:$J$40)=0,"• No hvac / cooling items captured for this building.",IF(MCR_Assessment!$J$36&lt;&gt;"","• "&amp;MCR_Assessment!$J$36&amp;IF(COUNTA(MCR_Assessment!$J$37:$J$40)&gt;0,CHAR(10),""),"")&amp;IF(MCR_Assessment!$J$37&lt;&gt;"","• "&amp;MCR_Assessment!$J$37&amp;IF(COUNTA(MCR_Assessment!$J$38:$J$40)&gt;0,CHAR(10),""),"")&amp;IF(MCR_Assessment!$J$38&lt;&gt;"","• "&amp;MCR_Assessment!$J$38&amp;IF(COUNTA(MCR_Assessment!$J$39:$J$40)&gt;0,CHAR(10),""),"")&amp;IF(MCR_Assessment!$J$39&lt;&gt;"","• "&amp;MCR_Assessment!$J$39&amp;IF(COUNTA(MCR_Assessment!$J$40:$J$40)&gt;0,CHAR(10),""),"")&amp;IF(MCR_Assessment!$J$40&lt;&gt;"","• "&amp;MCR_Assessment!$J$40,""))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30" s="335" t="str">
        <f>IF(COUNTA(MCR_Assessment!$J$44:$J$48)=0,"• No electrical / ups items captured for this building.",IF(MCR_Assessment!$J$44&lt;&gt;"","• "&amp;MCR_Assessment!$J$44&amp;IF(COUNTA(MCR_Assessment!$J$45:$J$48)&gt;0,CHAR(10),""),"")&amp;IF(MCR_Assessment!$J$45&lt;&gt;"","• "&amp;MCR_Assessment!$J$45&amp;IF(COUNTA(MCR_Assessment!$J$46:$J$48)&gt;0,CHAR(10),""),"")&amp;IF(MCR_Assessment!$J$46&lt;&gt;"","• "&amp;MCR_Assessment!$J$46&amp;IF(COUNTA(MCR_Assessment!$J$47:$J$48)&gt;0,CHAR(10),""),"")&amp;IF(MCR_Assessment!$J$47&lt;&gt;"","• "&amp;MCR_Assessment!$J$47&amp;IF(COUNTA(MCR_Assessment!$J$48:$J$48)&gt;0,CHAR(10),""),"")&amp;IF(MCR_Assessment!$J$48&lt;&gt;"","• "&amp;MCR_Assessment!$J$48,""))</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30" s="335" t="str">
        <f>IF(COUNTA(MCR_Assessment!$J$52:$J$56)=0,"• No telecom / fiber items captured for this building.",IF(MCR_Assessment!$J$52&lt;&gt;"","• "&amp;MCR_Assessment!$J$52&amp;IF(COUNTA(MCR_Assessment!$J$53:$J$56)&gt;0,CHAR(10),""),"")&amp;IF(MCR_Assessment!$J$53&lt;&gt;"","• "&amp;MCR_Assessment!$J$53&amp;IF(COUNTA(MCR_Assessment!$J$54:$J$56)&gt;0,CHAR(10),""),"")&amp;IF(MCR_Assessment!$J$54&lt;&gt;"","• "&amp;MCR_Assessment!$J$54&amp;IF(COUNTA(MCR_Assessment!$J$55:$J$56)&gt;0,CHAR(10),""),"")&amp;IF(MCR_Assessment!$J$55&lt;&gt;"","• "&amp;MCR_Assessment!$J$55&amp;IF(COUNTA(MCR_Assessment!$J$56:$J$56)&gt;0,CHAR(10),""),"")&amp;IF(MCR_Assessment!$J$56&lt;&gt;"","• "&amp;MCR_Assessment!$J$56,""))</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30" s="335" t="str">
        <f>IF(COUNTA(MCR_Assessment!$J$60:$J$64)=0,"• No security / pacs / cctv items captured for this building.",IF(MCR_Assessment!$J$60&lt;&gt;"","• "&amp;MCR_Assessment!$J$60&amp;IF(COUNTA(MCR_Assessment!$J$61:$J$64)&gt;0,CHAR(10),""),"")&amp;IF(MCR_Assessment!$J$61&lt;&gt;"","• "&amp;MCR_Assessment!$J$61&amp;IF(COUNTA(MCR_Assessment!$J$62:$J$64)&gt;0,CHAR(10),""),"")&amp;IF(MCR_Assessment!$J$62&lt;&gt;"","• "&amp;MCR_Assessment!$J$62&amp;IF(COUNTA(MCR_Assessment!$J$63:$J$64)&gt;0,CHAR(10),""),"")&amp;IF(MCR_Assessment!$J$63&lt;&gt;"","• "&amp;MCR_Assessment!$J$63&amp;IF(COUNTA(MCR_Assessment!$J$64:$J$64)&gt;0,CHAR(10),""),"")&amp;IF(MCR_Assessment!$J$64&lt;&gt;"","• "&amp;MCR_Assessment!$J$64,""))</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I30" s="335" t="str">
        <f>IF(COUNTA(MCR_Assessment!$A$68:$A$75)=0,"• No owner risks items captured for this building.",IF(MCR_Assessment!$A$68&lt;&gt;"","• "&amp;MCR_Assessment!$A$68&amp;" — "&amp;MCR_Assessment!$C$68&amp;" ["&amp;MCR_Assessment!$I$68&amp;"]"&amp;IF(MCR_Assessment!$J$68&lt;&gt;""," — "&amp;MCR_Assessment!$J$68,""),"")&amp;IF(MCR_Assessment!$A$69&lt;&gt;"",IF(COUNTA(MCR_Assessment!$A$68:$A$68)&gt;0,CHAR(10),"")&amp;"• "&amp;MCR_Assessment!$A$69&amp;" — "&amp;MCR_Assessment!$C$69&amp;" ["&amp;MCR_Assessment!$I$69&amp;"]"&amp;IF(MCR_Assessment!$J$69&lt;&gt;""," — "&amp;MCR_Assessment!$J$69,""),"")&amp;IF(MCR_Assessment!$A$70&lt;&gt;"",IF(COUNTA(MCR_Assessment!$A$68:$A$69)&gt;0,CHAR(10),"")&amp;"• "&amp;MCR_Assessment!$A$70&amp;" — "&amp;MCR_Assessment!$C$70&amp;" ["&amp;MCR_Assessment!$I$70&amp;"]"&amp;IF(MCR_Assessment!$J$70&lt;&gt;""," — "&amp;MCR_Assessment!$J$70,""),"")&amp;IF(MCR_Assessment!$A$71&lt;&gt;"",IF(COUNTA(MCR_Assessment!$A$68:$A$70)&gt;0,CHAR(10),"")&amp;"• "&amp;MCR_Assessment!$A$71&amp;" — "&amp;MCR_Assessment!$C$71&amp;" ["&amp;MCR_Assessment!$I$71&amp;"]"&amp;IF(MCR_Assessment!$J$71&lt;&gt;""," — "&amp;MCR_Assessment!$J$71,""),"")&amp;IF(MCR_Assessment!$A$72&lt;&gt;"",IF(COUNTA(MCR_Assessment!$A$68:$A$71)&gt;0,CHAR(10),"")&amp;"• "&amp;MCR_Assessment!$A$72&amp;" — "&amp;MCR_Assessment!$C$72&amp;" ["&amp;MCR_Assessment!$I$72&amp;"]"&amp;IF(MCR_Assessment!$J$72&lt;&gt;""," — "&amp;MCR_Assessment!$J$72,""),"")&amp;IF(MCR_Assessment!$A$73&lt;&gt;"",IF(COUNTA(MCR_Assessment!$A$68:$A$72)&gt;0,CHAR(10),"")&amp;"• "&amp;MCR_Assessment!$A$73&amp;" — "&amp;MCR_Assessment!$C$73&amp;" ["&amp;MCR_Assessment!$I$73&amp;"]"&amp;IF(MCR_Assessment!$J$73&lt;&gt;""," — "&amp;MCR_Assessment!$J$73,""),"")&amp;IF(MCR_Assessment!$A$74&lt;&gt;"",IF(COUNTA(MCR_Assessment!$A$68:$A$73)&gt;0,CHAR(10),"")&amp;"• "&amp;MCR_Assessment!$A$74&amp;" — "&amp;MCR_Assessment!$C$74&amp;" ["&amp;MCR_Assessment!$I$74&amp;"]"&amp;IF(MCR_Assessment!$J$74&lt;&gt;""," — "&amp;MCR_Assessment!$J$74,""),"")&amp;IF(MCR_Assessment!$A$75&lt;&gt;"",IF(COUNTA(MCR_Assessment!$A$68:$A$74)&gt;0,CHAR(10),"")&amp;"• "&amp;MCR_Assessment!$A$75&amp;" — "&amp;MCR_Assessment!$C$75&amp;" ["&amp;MCR_Assessment!$I$75&amp;"]"&amp;IF(MCR_Assessment!$J$75&lt;&gt;""," — "&amp;MCR_Assessment!$J$75,""),""))</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J30" s="335" t="str">
        <f>IF(COUNTA(MCR_Assessment!$A$79:$A$86)=0,"• No open questions items captured for this building.",IF(MCR_Assessment!$A$79&lt;&gt;"","• "&amp;MCR_Assessment!$A$79&amp;" — "&amp;MCR_Assessment!$B$79&amp;" ["&amp;MCR_Assessment!$D$79&amp;"]"&amp;IF(MCR_Assessment!$G$79&lt;&gt;""," Impact: "&amp;MCR_Assessment!$G$79,"")&amp;IF(MCR_Assessment!$J$79&lt;&gt;""," — "&amp;MCR_Assessment!$J$79,""),"")&amp;IF(MCR_Assessment!$A$80&lt;&gt;"",IF(COUNTA(MCR_Assessment!$A$79:$A$79)&gt;0,CHAR(10),"")&amp;"• "&amp;MCR_Assessment!$A$80&amp;" — "&amp;MCR_Assessment!$B$80&amp;" ["&amp;MCR_Assessment!$D$80&amp;"]"&amp;IF(MCR_Assessment!$G$80&lt;&gt;""," Impact: "&amp;MCR_Assessment!$G$80,"")&amp;IF(MCR_Assessment!$J$80&lt;&gt;""," — "&amp;MCR_Assessment!$J$80,""),"")&amp;IF(MCR_Assessment!$A$81&lt;&gt;"",IF(COUNTA(MCR_Assessment!$A$79:$A$80)&gt;0,CHAR(10),"")&amp;"• "&amp;MCR_Assessment!$A$81&amp;" — "&amp;MCR_Assessment!$B$81&amp;" ["&amp;MCR_Assessment!$D$81&amp;"]"&amp;IF(MCR_Assessment!$G$81&lt;&gt;""," Impact: "&amp;MCR_Assessment!$G$81,"")&amp;IF(MCR_Assessment!$J$81&lt;&gt;""," — "&amp;MCR_Assessment!$J$81,""),"")&amp;IF(MCR_Assessment!$A$82&lt;&gt;"",IF(COUNTA(MCR_Assessment!$A$79:$A$81)&gt;0,CHAR(10),"")&amp;"• "&amp;MCR_Assessment!$A$82&amp;" — "&amp;MCR_Assessment!$B$82&amp;" ["&amp;MCR_Assessment!$D$82&amp;"]"&amp;IF(MCR_Assessment!$G$82&lt;&gt;""," Impact: "&amp;MCR_Assessment!$G$82,"")&amp;IF(MCR_Assessment!$J$82&lt;&gt;""," — "&amp;MCR_Assessment!$J$82,""),"")&amp;IF(MCR_Assessment!$A$83&lt;&gt;"",IF(COUNTA(MCR_Assessment!$A$79:$A$82)&gt;0,CHAR(10),"")&amp;"• "&amp;MCR_Assessment!$A$83&amp;" — "&amp;MCR_Assessment!$B$83&amp;" ["&amp;MCR_Assessment!$D$83&amp;"]"&amp;IF(MCR_Assessment!$G$83&lt;&gt;""," Impact: "&amp;MCR_Assessment!$G$83,"")&amp;IF(MCR_Assessment!$J$83&lt;&gt;""," — "&amp;MCR_Assessment!$J$83,""),"")&amp;IF(MCR_Assessment!$A$84&lt;&gt;"",IF(COUNTA(MCR_Assessment!$A$79:$A$83)&gt;0,CHAR(10),"")&amp;"• "&amp;MCR_Assessment!$A$84&amp;" — "&amp;MCR_Assessment!$B$84&amp;" ["&amp;MCR_Assessment!$D$84&amp;"]"&amp;IF(MCR_Assessment!$G$84&lt;&gt;""," Impact: "&amp;MCR_Assessment!$G$84,"")&amp;IF(MCR_Assessment!$J$84&lt;&gt;""," — "&amp;MCR_Assessment!$J$84,""),"")&amp;IF(MCR_Assessment!$A$85&lt;&gt;"",IF(COUNTA(MCR_Assessment!$A$79:$A$84)&gt;0,CHAR(10),"")&amp;"• "&amp;MCR_Assessment!$A$85&amp;" — "&amp;MCR_Assessment!$B$85&amp;" ["&amp;MCR_Assessment!$D$85&amp;"]"&amp;IF(MCR_Assessment!$G$85&lt;&gt;""," Impact: "&amp;MCR_Assessment!$G$85,"")&amp;IF(MCR_Assessment!$J$85&lt;&gt;""," — "&amp;MCR_Assessment!$J$85,""),"")&amp;IF(MCR_Assessment!$A$86&lt;&gt;"",IF(COUNTA(MCR_Assessment!$A$79:$A$85)&gt;0,CHAR(10),"")&amp;"• "&amp;MCR_Assessment!$A$86&amp;" — "&amp;MCR_Assessment!$B$86&amp;" ["&amp;MCR_Assessment!$D$86&amp;"]"&amp;IF(MCR_Assessment!$G$86&lt;&gt;""," Impact: "&amp;MCR_Assessment!$G$86,"")&amp;IF(MCR_Assessment!$J$86&lt;&gt;""," — "&amp;MCR_Assessment!$J$86,""),""))</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K30" s="335" t="str">
        <f>IFERROR(MCR_Assessment!$H$4,"")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5.5">
      <c r="A31" s="546" t="str">
        <f>_Command_Source!A31</f>
        <v>SPEC</v>
      </c>
      <c r="B31" s="546" t="str">
        <f>_Command_Source!C31</f>
        <v>SPEC</v>
      </c>
      <c r="C31" s="546" t="str">
        <f>_Command_Source!B31</f>
        <v>SPEC_Assessment</v>
      </c>
      <c r="D31" s="335" t="str">
        <f>"• No fire / life safety items captured for this building."</f>
        <v>• No fire / life safety items captured for this building.</v>
      </c>
      <c r="E31" s="335" t="str">
        <f>"• No hvac / cooling items captured for this building."</f>
        <v>• No hvac / cooling items captured for this building.</v>
      </c>
      <c r="F31" s="335" t="str">
        <f>"• No electrical / ups items captured for this building."</f>
        <v>• No electrical / ups items captured for this building.</v>
      </c>
      <c r="G31" s="335" t="str">
        <f>"• No telecom / fiber items captured for this building."</f>
        <v>• No telecom / fiber items captured for this building.</v>
      </c>
      <c r="H31" s="335" t="str">
        <f>"• No security / pacs / cctv items captured for this building."</f>
        <v>• No security / pacs / cctv items captured for this building.</v>
      </c>
      <c r="I31" s="335" t="str">
        <f>"• No owner risks items captured for this building."</f>
        <v>• No owner risks items captured for this building.</v>
      </c>
      <c r="J31" s="335" t="str">
        <f>"• No open questions items captured for this building."</f>
        <v>• No open questions items captured for this building.</v>
      </c>
      <c r="K31" s="335">
        <f>IFERROR(SPEC_Assessment!$H$4,"")</f>
        <v>0</v>
      </c>
    </row>
    <row r="32" spans="1:11" ht="25.5">
      <c r="A32" s="546" t="str">
        <f>_Command_Source!A32</f>
        <v>Campus</v>
      </c>
      <c r="B32" s="546" t="str">
        <f>_Command_Source!C32</f>
        <v>Campus</v>
      </c>
      <c r="C32" s="546" t="str">
        <f>_Command_Source!B32</f>
        <v>Campus</v>
      </c>
      <c r="D32" s="335" t="str">
        <f>"• No fire / life safety items captured for this building."</f>
        <v>• No fire / life safety items captured for this building.</v>
      </c>
      <c r="E32" s="335" t="str">
        <f>"• No hvac / cooling items captured for this building."</f>
        <v>• No hvac / cooling items captured for this building.</v>
      </c>
      <c r="F32" s="335" t="str">
        <f>"• No electrical / ups items captured for this building."</f>
        <v>• No electrical / ups items captured for this building.</v>
      </c>
      <c r="G32" s="335" t="str">
        <f>"• No telecom / fiber items captured for this building."</f>
        <v>• No telecom / fiber items captured for this building.</v>
      </c>
      <c r="H32" s="335" t="str">
        <f>"• No security / pacs / cctv items captured for this building."</f>
        <v>• No security / pacs / cctv items captured for this building.</v>
      </c>
      <c r="I32" s="335" t="str">
        <f>"• No owner risks items captured for this building."</f>
        <v>• No owner risks items captured for this building.</v>
      </c>
      <c r="J32" s="335" t="str">
        <f>"• No open questions items captured for this building."</f>
        <v>• No open questions items captured for this building.</v>
      </c>
      <c r="K32" s="335" t="str">
        <f>""</f>
        <v/>
      </c>
    </row>
    <row r="33" spans="1:11" ht="262.14999999999998" customHeight="1">
      <c r="A33" s="546" t="str">
        <f>_Command_Source!A33</f>
        <v>SITE</v>
      </c>
      <c r="B33" s="546" t="str">
        <f>_Command_Source!C33</f>
        <v>SITE</v>
      </c>
      <c r="C33" s="546" t="str">
        <f>_Command_Source!B33</f>
        <v>SITE_Assesment</v>
      </c>
      <c r="D33" s="335" t="str">
        <f>IF(COUNTA(SITE_Assesment!$J$31:$J$34)=0,"• No fire / life safety items captured for this building.",IF(SITE_Assesment!$J$31&lt;&gt;"","• "&amp;SITE_Assesment!$J$31&amp;IF(COUNTA(SITE_Assesment!$J$32:$J$34)&gt;0,CHAR(10),""),"")&amp;IF(SITE_Assesment!$J$32&lt;&gt;"","• "&amp;SITE_Assesment!$J$32&amp;IF(COUNTA(SITE_Assesment!$J$33:$J$34)&gt;0,CHAR(10),""),"")&amp;IF(SITE_Assesment!$J$33&lt;&gt;"","• "&amp;SITE_Assesment!$J$33&amp;IF(COUNTA(SITE_Assesment!$J$34:$J$34)&gt;0,CHAR(10),""),"")&amp;IF(SITE_Assesment!$J$34&lt;&gt;"","• "&amp;SITE_Assesment!$J$34,""))</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E33" s="335" t="str">
        <f>"• No hvac / cooling items captured for this building."</f>
        <v>• No hvac / cooling items captured for this building.</v>
      </c>
      <c r="F33" s="335" t="str">
        <f>IF(COUNTA(SITE_Assesment!$J$46:$J$49)=0,"• No electrical / ups items captured for this building.",IF(SITE_Assesment!$J$46&lt;&gt;"","• "&amp;SITE_Assesment!$J$46&amp;IF(COUNTA(SITE_Assesment!$J$47:$J$49)&gt;0,CHAR(10),""),"")&amp;IF(SITE_Assesment!$J$47&lt;&gt;"","• "&amp;SITE_Assesment!$J$47&amp;IF(COUNTA(SITE_Assesment!$J$48:$J$49)&gt;0,CHAR(10),""),"")&amp;IF(SITE_Assesment!$J$48&lt;&gt;"","• "&amp;SITE_Assesment!$J$48&amp;IF(COUNTA(SITE_Assesment!$J$49:$J$49)&gt;0,CHAR(10),""),"")&amp;IF(SITE_Assesment!$J$49&lt;&gt;"","• "&amp;SITE_Assesment!$J$49,""))</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G33" s="335" t="str">
        <f>IF(COUNTA(SITE_Assesment!$J$53:$J$56)=0,"• No telecom / fiber items captured for this building.",IF(SITE_Assesment!$J$53&lt;&gt;"","• "&amp;SITE_Assesment!$J$53&amp;IF(COUNTA(SITE_Assesment!$J$54:$J$56)&gt;0,CHAR(10),""),"")&amp;IF(SITE_Assesment!$J$54&lt;&gt;"","• "&amp;SITE_Assesment!$J$54&amp;IF(COUNTA(SITE_Assesment!$J$55:$J$56)&gt;0,CHAR(10),""),"")&amp;IF(SITE_Assesment!$J$55&lt;&gt;"","• "&amp;SITE_Assesment!$J$55&amp;IF(COUNTA(SITE_Assesment!$J$56:$J$56)&gt;0,CHAR(10),""),"")&amp;IF(SITE_Assesment!$J$56&lt;&gt;"","• "&amp;SITE_Assesment!$J$56,""))</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H33" s="335" t="str">
        <f>IF(COUNTA(SITE_Assesment!$J$60:$J$62)=0,"• No security / pacs / cctv items captured for this building.",IF(SITE_Assesment!$J$60&lt;&gt;"","• "&amp;SITE_Assesment!$J$60&amp;IF(COUNTA(SITE_Assesment!$J$61:$J$62)&gt;0,CHAR(10),""),"")&amp;IF(SITE_Assesment!$J$61&lt;&gt;"","• "&amp;SITE_Assesment!$J$61&amp;IF(COUNTA(SITE_Assesment!$J$62:$J$62)&gt;0,CHAR(10),""),"")&amp;IF(SITE_Assesment!$J$62&lt;&gt;"","• "&amp;SITE_Assesment!$J$62,""))</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I33" s="335" t="str">
        <f>IF(COUNTA(SITE_Assesment!$A$66:$A$73)=0,"• No owner risks items captured for this building.",IF(SITE_Assesment!$A$66&lt;&gt;"","• "&amp;SITE_Assesment!$A$66&amp;" — "&amp;SITE_Assesment!$C$66&amp;" ["&amp;SITE_Assesment!$I$66&amp;"]"&amp;IF(SITE_Assesment!$J$66&lt;&gt;""," — "&amp;SITE_Assesment!$J$66,""),"")&amp;IF(SITE_Assesment!$A$67&lt;&gt;"",IF(COUNTA(SITE_Assesment!$A$66:$A$66)&gt;0,CHAR(10),"")&amp;"• "&amp;SITE_Assesment!$A$67&amp;" — "&amp;SITE_Assesment!$C$67&amp;" ["&amp;SITE_Assesment!$I$67&amp;"]"&amp;IF(SITE_Assesment!$J$67&lt;&gt;""," — "&amp;SITE_Assesment!$J$67,""),"")&amp;IF(SITE_Assesment!$A$68&lt;&gt;"",IF(COUNTA(SITE_Assesment!$A$66:$A$67)&gt;0,CHAR(10),"")&amp;"• "&amp;SITE_Assesment!$A$68&amp;" — "&amp;SITE_Assesment!$C$68&amp;" ["&amp;SITE_Assesment!$I$68&amp;"]"&amp;IF(SITE_Assesment!$J$68&lt;&gt;""," — "&amp;SITE_Assesment!$J$68,""),"")&amp;IF(SITE_Assesment!$A$69&lt;&gt;"",IF(COUNTA(SITE_Assesment!$A$66:$A$68)&gt;0,CHAR(10),"")&amp;"• "&amp;SITE_Assesment!$A$69&amp;" — "&amp;SITE_Assesment!$C$69&amp;" ["&amp;SITE_Assesment!$I$69&amp;"]"&amp;IF(SITE_Assesment!$J$69&lt;&gt;""," — "&amp;SITE_Assesment!$J$69,""),"")&amp;IF(SITE_Assesment!$A$70&lt;&gt;"",IF(COUNTA(SITE_Assesment!$A$66:$A$69)&gt;0,CHAR(10),"")&amp;"• "&amp;SITE_Assesment!$A$70&amp;" — "&amp;SITE_Assesment!$C$70&amp;" ["&amp;SITE_Assesment!$I$70&amp;"]"&amp;IF(SITE_Assesment!$J$70&lt;&gt;""," — "&amp;SITE_Assesment!$J$70,""),"")&amp;IF(SITE_Assesment!$A$71&lt;&gt;"",IF(COUNTA(SITE_Assesment!$A$66:$A$70)&gt;0,CHAR(10),"")&amp;"• "&amp;SITE_Assesment!$A$71&amp;" — "&amp;SITE_Assesment!$C$71&amp;" ["&amp;SITE_Assesment!$I$71&amp;"]"&amp;IF(SITE_Assesment!$J$71&lt;&gt;""," — "&amp;SITE_Assesment!$J$71,""),"")&amp;IF(SITE_Assesment!$A$72&lt;&gt;"",IF(COUNTA(SITE_Assesment!$A$66:$A$71)&gt;0,CHAR(10),"")&amp;"• "&amp;SITE_Assesment!$A$72&amp;" — "&amp;SITE_Assesment!$C$72&amp;" ["&amp;SITE_Assesment!$I$72&amp;"]"&amp;IF(SITE_Assesment!$J$72&lt;&gt;""," — "&amp;SITE_Assesment!$J$72,""),"")&amp;IF(SITE_Assesment!$A$73&lt;&gt;"",IF(COUNTA(SITE_Assesment!$A$66:$A$72)&gt;0,CHAR(10),"")&amp;"• "&amp;SITE_Assesment!$A$73&amp;" — "&amp;SITE_Assesment!$C$73&amp;" ["&amp;SITE_Assesment!$I$73&amp;"]"&amp;IF(SITE_Assesment!$J$73&lt;&gt;""," — "&amp;SITE_Assesment!$J$73,""),""))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J33" s="335" t="str">
        <f>IF(COUNTA(SITE_Assesment!$A$77:$A$84)=0,"• No open questions items captured for this building.",IF(SITE_Assesment!$A$77&lt;&gt;"","• "&amp;SITE_Assesment!$A$77&amp;" — "&amp;SITE_Assesment!$B$77&amp;" ["&amp;SITE_Assesment!$D$77&amp;"]"&amp;IF(SITE_Assesment!$G$77&lt;&gt;""," Impact: "&amp;SITE_Assesment!$G$77,"")&amp;IF(SITE_Assesment!$J$77&lt;&gt;""," — "&amp;SITE_Assesment!$J$77,""),"")&amp;IF(SITE_Assesment!$A$78&lt;&gt;"",IF(COUNTA(SITE_Assesment!$A$77:$A$77)&gt;0,CHAR(10),"")&amp;"• "&amp;SITE_Assesment!$A$78&amp;" — "&amp;SITE_Assesment!$B$78&amp;" ["&amp;SITE_Assesment!$D$78&amp;"]"&amp;IF(SITE_Assesment!$G$78&lt;&gt;""," Impact: "&amp;SITE_Assesment!$G$78,"")&amp;IF(SITE_Assesment!$J$78&lt;&gt;""," — "&amp;SITE_Assesment!$J$78,""),"")&amp;IF(SITE_Assesment!$A$79&lt;&gt;"",IF(COUNTA(SITE_Assesment!$A$77:$A$78)&gt;0,CHAR(10),"")&amp;"• "&amp;SITE_Assesment!$A$79&amp;" — "&amp;SITE_Assesment!$B$79&amp;" ["&amp;SITE_Assesment!$D$79&amp;"]"&amp;IF(SITE_Assesment!$G$79&lt;&gt;""," Impact: "&amp;SITE_Assesment!$G$79,"")&amp;IF(SITE_Assesment!$J$79&lt;&gt;""," — "&amp;SITE_Assesment!$J$79,""),"")&amp;IF(SITE_Assesment!$A$80&lt;&gt;"",IF(COUNTA(SITE_Assesment!$A$77:$A$79)&gt;0,CHAR(10),"")&amp;"• "&amp;SITE_Assesment!$A$80&amp;" — "&amp;SITE_Assesment!$B$80&amp;" ["&amp;SITE_Assesment!$D$80&amp;"]"&amp;IF(SITE_Assesment!$G$80&lt;&gt;""," Impact: "&amp;SITE_Assesment!$G$80,"")&amp;IF(SITE_Assesment!$J$80&lt;&gt;""," — "&amp;SITE_Assesment!$J$80,""),"")&amp;IF(SITE_Assesment!$A$81&lt;&gt;"",IF(COUNTA(SITE_Assesment!$A$77:$A$80)&gt;0,CHAR(10),"")&amp;"• "&amp;SITE_Assesment!$A$81&amp;" — "&amp;SITE_Assesment!$B$81&amp;" ["&amp;SITE_Assesment!$D$81&amp;"]"&amp;IF(SITE_Assesment!$G$81&lt;&gt;""," Impact: "&amp;SITE_Assesment!$G$81,"")&amp;IF(SITE_Assesment!$J$81&lt;&gt;""," — "&amp;SITE_Assesment!$J$81,""),"")&amp;IF(SITE_Assesment!$A$82&lt;&gt;"",IF(COUNTA(SITE_Assesment!$A$77:$A$81)&gt;0,CHAR(10),"")&amp;"• "&amp;SITE_Assesment!$A$82&amp;" — "&amp;SITE_Assesment!$B$82&amp;" ["&amp;SITE_Assesment!$D$82&amp;"]"&amp;IF(SITE_Assesment!$G$82&lt;&gt;""," Impact: "&amp;SITE_Assesment!$G$82,"")&amp;IF(SITE_Assesment!$J$82&lt;&gt;""," — "&amp;SITE_Assesment!$J$82,""),"")&amp;IF(SITE_Assesment!$A$83&lt;&gt;"",IF(COUNTA(SITE_Assesment!$A$77:$A$82)&gt;0,CHAR(10),"")&amp;"• "&amp;SITE_Assesment!$A$83&amp;" — "&amp;SITE_Assesment!$B$83&amp;" ["&amp;SITE_Assesment!$D$83&amp;"]"&amp;IF(SITE_Assesment!$G$83&lt;&gt;""," Impact: "&amp;SITE_Assesment!$G$83,"")&amp;IF(SITE_Assesment!$J$83&lt;&gt;""," — "&amp;SITE_Assesment!$J$83,""),"")&amp;IF(SITE_Assesment!$A$84&lt;&gt;"",IF(COUNTA(SITE_Assesment!$A$77:$A$83)&gt;0,CHAR(10),"")&amp;"• "&amp;SITE_Assesment!$A$84&amp;" — "&amp;SITE_Assesment!$B$84&amp;" ["&amp;SITE_Assesment!$D$84&amp;"]"&amp;IF(SITE_Assesment!$G$84&lt;&gt;""," Impact: "&amp;SITE_Assesment!$G$84,"")&amp;IF(SITE_Assesment!$J$84&lt;&gt;""," — "&amp;SITE_Assesment!$J$84,""),""))</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c r="K33" s="335" t="str">
        <f>IFERROR(SITE_Assesment!$H$4,"")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4" customHeight="1">
      <c r="A35" s="548" t="s">
        <v>5458</v>
      </c>
      <c r="B35" s="548"/>
      <c r="C35" s="548"/>
      <c r="D35" s="548"/>
      <c r="E35" s="548"/>
      <c r="F35" s="548"/>
      <c r="G35" s="548"/>
      <c r="H35" s="548"/>
      <c r="I35" s="548"/>
      <c r="J35" s="548"/>
      <c r="K35" s="54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workbookViewId="0">
      <selection activeCell="D6" sqref="D6"/>
    </sheetView>
  </sheetViews>
  <sheetFormatPr defaultRowHeight="12.75"/>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15" customHeight="1">
      <c r="A1" s="943" t="s">
        <v>5459</v>
      </c>
      <c r="B1" s="620"/>
      <c r="C1" s="620"/>
      <c r="D1" s="620"/>
      <c r="E1" s="620"/>
      <c r="F1" s="620"/>
      <c r="G1" s="620"/>
      <c r="H1" s="620"/>
      <c r="I1" s="620"/>
      <c r="J1" s="620"/>
      <c r="K1" s="620"/>
    </row>
    <row r="2" spans="1:11" ht="17.45" customHeight="1">
      <c r="A2" s="941" t="s">
        <v>5460</v>
      </c>
      <c r="B2" s="620"/>
      <c r="C2" s="620"/>
      <c r="D2" s="620"/>
      <c r="E2" s="620"/>
      <c r="F2" s="620"/>
      <c r="G2" s="620"/>
      <c r="H2" s="620"/>
      <c r="I2" s="620"/>
      <c r="J2" s="620"/>
      <c r="K2" s="620"/>
    </row>
    <row r="4" spans="1:11" ht="25.35" customHeight="1">
      <c r="A4" s="183" t="s">
        <v>224</v>
      </c>
      <c r="B4" s="183" t="s">
        <v>142</v>
      </c>
      <c r="C4" s="183" t="s">
        <v>5461</v>
      </c>
      <c r="D4" s="183" t="s">
        <v>5462</v>
      </c>
      <c r="E4" s="183" t="s">
        <v>5463</v>
      </c>
      <c r="F4" s="183" t="s">
        <v>5403</v>
      </c>
      <c r="H4" s="942" t="s">
        <v>5464</v>
      </c>
      <c r="I4" s="620"/>
      <c r="J4" s="620"/>
      <c r="K4" s="620"/>
    </row>
    <row r="5" spans="1:11" ht="21.4" customHeight="1">
      <c r="A5" s="176">
        <f>IFERROR(LARGE($K$15:$K$44,1),"")</f>
        <v>25.003599999999999</v>
      </c>
      <c r="B5" s="176" t="str">
        <f>IFERROR(INDEX($A$15:$A$44,MATCH($A5,$K$15:$K$44,0)),"")</f>
        <v>61</v>
      </c>
      <c r="C5" s="176" t="str">
        <f>IFERROR(INDEX($G$15:$G$44,MATCH($A5,$K$15:$K$44,0)),"")</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5" s="176" t="str">
        <f>IFERROR(INDEX($I$15:$I$44,MATCH($A5,$K$15:$K$44,0)),"")</f>
        <v>Complete assessment gaps</v>
      </c>
      <c r="E5" s="176" t="str">
        <f>IFERROR(HYPERLINK("#'"&amp;INDEX($B$15:$B$44,MATCH($A5,$K$15:$K$44,0))&amp;"'!A1","Open Assessment"),"")</f>
        <v>Open Assessment</v>
      </c>
      <c r="F5" s="176" t="str">
        <f>HYPERLINK("#'Command_Center'!C7","Go to Selector")</f>
        <v>Go to Selector</v>
      </c>
      <c r="H5" s="184" t="s">
        <v>161</v>
      </c>
      <c r="I5" s="184">
        <f>SUM(PMIS_Data!H3:H44)</f>
        <v>0</v>
      </c>
    </row>
    <row r="6" spans="1:11" ht="21.4" customHeight="1">
      <c r="A6" s="176">
        <f>IFERROR(LARGE($K$15:$K$44,2),"")</f>
        <v>10.0044</v>
      </c>
      <c r="B6" s="176" t="str">
        <f>IFERROR(INDEX($A$15:$A$44,MATCH($A6,$K$15:$K$44,0)),"")</f>
        <v>SITE</v>
      </c>
      <c r="C6" s="176" t="str">
        <f>IFERROR(INDEX($G$15:$G$44,MATCH($A6,$K$15:$K$44,0)),"")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6" s="176" t="str">
        <f>IFERROR(INDEX($I$15:$I$44,MATCH($A6,$K$15:$K$44,0)),"")</f>
        <v>Complete assessment gaps</v>
      </c>
      <c r="E6" s="176" t="str">
        <f>IFERROR(HYPERLINK("#'"&amp;INDEX($B$15:$B$44,MATCH($A6,$K$15:$K$44,0))&amp;"'!A1","Open Assessment"),"")</f>
        <v>Open Assessment</v>
      </c>
      <c r="F6" s="176" t="str">
        <f>HYPERLINK("#'Command_Center'!C7","Go to Selector")</f>
        <v>Go to Selector</v>
      </c>
      <c r="H6" s="184" t="s">
        <v>199</v>
      </c>
      <c r="I6" s="184">
        <f>SUM(PMIS_Data!I3:I44)</f>
        <v>0</v>
      </c>
    </row>
    <row r="7" spans="1:11" ht="21.4" customHeight="1">
      <c r="A7" s="176">
        <f>IFERROR(LARGE($K$15:$K$44,3),"")</f>
        <v>10.004300000000001</v>
      </c>
      <c r="B7" s="176" t="str">
        <f>IFERROR(INDEX($A$15:$A$44,MATCH($A7,$K$15:$K$44,0)),"")</f>
        <v>MCR</v>
      </c>
      <c r="C7" s="176" t="str">
        <f>IFERROR(INDEX($G$15:$G$44,MATCH($A7,$K$15:$K$44,0)),"")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7" s="176" t="str">
        <f>IFERROR(INDEX($I$15:$I$44,MATCH($A7,$K$15:$K$44,0)),"")</f>
        <v>Complete assessment gaps</v>
      </c>
      <c r="E7" s="176" t="str">
        <f>IFERROR(HYPERLINK("#'"&amp;INDEX($B$15:$B$44,MATCH($A7,$K$15:$K$44,0))&amp;"'!A1","Open Assessment"),"")</f>
        <v>Open Assessment</v>
      </c>
      <c r="F7" s="176" t="str">
        <f>HYPERLINK("#'Command_Center'!C7","Go to Selector")</f>
        <v>Go to Selector</v>
      </c>
      <c r="H7" s="184" t="s">
        <v>5465</v>
      </c>
      <c r="I7" s="184">
        <f>SUM(PMIS_Data!X3:X44)</f>
        <v>0</v>
      </c>
    </row>
    <row r="8" spans="1:11" ht="21.4" customHeight="1">
      <c r="A8" s="176">
        <f>IFERROR(LARGE($K$15:$K$44,4),"")</f>
        <v>10.004200000000001</v>
      </c>
      <c r="B8" s="176" t="str">
        <f>IFERROR(INDEX($A$15:$A$44,MATCH($A8,$K$15:$K$44,0)),"")</f>
        <v>BCH</v>
      </c>
      <c r="C8" s="176" t="str">
        <f>IFERROR(INDEX($G$15:$G$44,MATCH($A8,$K$15:$K$44,0)),"")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8" s="176" t="str">
        <f>IFERROR(INDEX($I$15:$I$44,MATCH($A8,$K$15:$K$44,0)),"")</f>
        <v>Complete assessment gaps</v>
      </c>
      <c r="E8" s="176" t="str">
        <f>IFERROR(HYPERLINK("#'"&amp;INDEX($B$15:$B$44,MATCH($A8,$K$15:$K$44,0))&amp;"'!A1","Open Assessment"),"")</f>
        <v>Open Assessment</v>
      </c>
      <c r="F8" s="176" t="str">
        <f>HYPERLINK("#'Command_Center'!C7","Go to Selector")</f>
        <v>Go to Selector</v>
      </c>
      <c r="H8" s="184" t="s">
        <v>538</v>
      </c>
      <c r="I8" s="185">
        <f>IFERROR(AVERAGEIF(PMIS_Data!E3:E44,"&gt;0"),0)</f>
        <v>0.5</v>
      </c>
    </row>
    <row r="9" spans="1:11" ht="21.4" customHeight="1">
      <c r="A9" s="176">
        <f>IFERROR(LARGE($K$15:$K$44,5),"")</f>
        <v>10.004099999999999</v>
      </c>
      <c r="B9" s="176" t="str">
        <f>IFERROR(INDEX($A$15:$A$44,MATCH($A9,$K$15:$K$44,0)),"")</f>
        <v>82</v>
      </c>
      <c r="C9" s="176" t="str">
        <f>IFERROR(INDEX($G$15:$G$44,MATCH($A9,$K$15:$K$44,0)),"")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9" s="176" t="str">
        <f>IFERROR(INDEX($I$15:$I$44,MATCH($A9,$K$15:$K$44,0)),"")</f>
        <v>Complete assessment gaps</v>
      </c>
      <c r="E9" s="176" t="str">
        <f>IFERROR(HYPERLINK("#'"&amp;INDEX($B$15:$B$44,MATCH($A9,$K$15:$K$44,0))&amp;"'!A1","Open Assessment"),"")</f>
        <v>Open Assessment</v>
      </c>
      <c r="F9" s="176" t="str">
        <f>HYPERLINK("#'Command_Center'!C7","Go to Selector")</f>
        <v>Go to Selector</v>
      </c>
      <c r="H9" s="184" t="s">
        <v>171</v>
      </c>
      <c r="I9" s="184">
        <f>COUNTIF(PMIS_Data!F3:F44,"No")</f>
        <v>29</v>
      </c>
    </row>
    <row r="13" spans="1:11" ht="59.1" customHeight="1">
      <c r="A13" s="186" t="s">
        <v>142</v>
      </c>
      <c r="B13" s="186" t="s">
        <v>5</v>
      </c>
      <c r="C13" s="186" t="s">
        <v>174</v>
      </c>
      <c r="D13" s="186" t="s">
        <v>161</v>
      </c>
      <c r="E13" s="186" t="s">
        <v>199</v>
      </c>
      <c r="F13" s="186" t="s">
        <v>179</v>
      </c>
      <c r="G13" s="186" t="s">
        <v>870</v>
      </c>
      <c r="H13" s="186" t="s">
        <v>5450</v>
      </c>
      <c r="I13" s="186" t="s">
        <v>5462</v>
      </c>
      <c r="J13" s="186" t="s">
        <v>5463</v>
      </c>
      <c r="K13" s="186" t="s">
        <v>5466</v>
      </c>
    </row>
    <row r="15" spans="1:11" ht="24.6" customHeight="1">
      <c r="A15" s="176" t="str">
        <f>PMIS_Data!A3</f>
        <v>01</v>
      </c>
      <c r="B15" s="176" t="str">
        <f>PMIS_Data!B3</f>
        <v>B01_Assessment</v>
      </c>
      <c r="C15" s="187">
        <f>PMIS_Data!E3</f>
        <v>0.5</v>
      </c>
      <c r="D15" s="176">
        <f>PMIS_Data!H3</f>
        <v>0</v>
      </c>
      <c r="E15" s="176">
        <f>PMIS_Data!I3</f>
        <v>0</v>
      </c>
      <c r="F15" s="176">
        <f>PMIS_Data!X3</f>
        <v>0</v>
      </c>
      <c r="G15" s="176"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88">
        <f t="shared" ref="H15:H44" si="0">IF($A15="",0,IF($F15&gt;0,50,0)+N($D15)*5+N($E15)*3+IF(N($C15)&lt;0.5,25,IF(N($C15)&lt;0.75,10,0)))</f>
        <v>10</v>
      </c>
      <c r="I15" s="176" t="str">
        <f t="shared" ref="I15:I44" si="1">IF($A15="","",IF($F15&gt;0,"Coordinate shutdown / outage risk",IF($D15&gt;0,"Resolve open risks",IF($E15&gt;0,"Close open questions",IF($C15&lt;0.8,"Complete assessment gaps","Maintain / monitor")))))</f>
        <v>Complete assessment gaps</v>
      </c>
      <c r="J15" s="176" t="str">
        <f t="shared" ref="J15:J44" si="2">IFERROR(HYPERLINK("#'"&amp;$B15&amp;"'!A1","Open"),"")</f>
        <v>Open</v>
      </c>
      <c r="K15" s="189">
        <f t="shared" ref="K15:K44" si="3">H15+ROW()/10000</f>
        <v>10.0015</v>
      </c>
    </row>
    <row r="16" spans="1:11" ht="24.6" customHeight="1">
      <c r="A16" s="176" t="str">
        <f>PMIS_Data!A4</f>
        <v>02</v>
      </c>
      <c r="B16" s="176" t="str">
        <f>PMIS_Data!B4</f>
        <v>B02_Assessment</v>
      </c>
      <c r="C16" s="187">
        <f>PMIS_Data!E4</f>
        <v>0.5</v>
      </c>
      <c r="D16" s="176">
        <f>PMIS_Data!H4</f>
        <v>0</v>
      </c>
      <c r="E16" s="176">
        <f>PMIS_Data!I4</f>
        <v>0</v>
      </c>
      <c r="F16" s="176">
        <f>PMIS_Data!X4</f>
        <v>0</v>
      </c>
      <c r="G16" s="176"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88">
        <f t="shared" si="0"/>
        <v>10</v>
      </c>
      <c r="I16" s="176" t="str">
        <f t="shared" si="1"/>
        <v>Complete assessment gaps</v>
      </c>
      <c r="J16" s="176" t="str">
        <f t="shared" si="2"/>
        <v>Open</v>
      </c>
      <c r="K16" s="189">
        <f t="shared" si="3"/>
        <v>10.0016</v>
      </c>
    </row>
    <row r="17" spans="1:11" ht="24.6" customHeight="1">
      <c r="A17" s="176" t="str">
        <f>PMIS_Data!A5</f>
        <v>03</v>
      </c>
      <c r="B17" s="176" t="str">
        <f>PMIS_Data!B5</f>
        <v>B03_Assessment</v>
      </c>
      <c r="C17" s="187">
        <f>PMIS_Data!E5</f>
        <v>0.5</v>
      </c>
      <c r="D17" s="176">
        <f>PMIS_Data!H5</f>
        <v>0</v>
      </c>
      <c r="E17" s="176">
        <f>PMIS_Data!I5</f>
        <v>0</v>
      </c>
      <c r="F17" s="176">
        <f>PMIS_Data!X5</f>
        <v>0</v>
      </c>
      <c r="G17" s="176"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88">
        <f t="shared" si="0"/>
        <v>10</v>
      </c>
      <c r="I17" s="176" t="str">
        <f t="shared" si="1"/>
        <v>Complete assessment gaps</v>
      </c>
      <c r="J17" s="176" t="str">
        <f t="shared" si="2"/>
        <v>Open</v>
      </c>
      <c r="K17" s="189">
        <f t="shared" si="3"/>
        <v>10.0017</v>
      </c>
    </row>
    <row r="18" spans="1:11" ht="24.6" customHeight="1">
      <c r="A18" s="176" t="str">
        <f>PMIS_Data!A6</f>
        <v>04</v>
      </c>
      <c r="B18" s="176" t="str">
        <f>PMIS_Data!B6</f>
        <v>B04_Assessment</v>
      </c>
      <c r="C18" s="187">
        <f>PMIS_Data!E6</f>
        <v>0.5</v>
      </c>
      <c r="D18" s="176">
        <f>PMIS_Data!H6</f>
        <v>0</v>
      </c>
      <c r="E18" s="176">
        <f>PMIS_Data!I6</f>
        <v>0</v>
      </c>
      <c r="F18" s="176">
        <f>PMIS_Data!X6</f>
        <v>0</v>
      </c>
      <c r="G18" s="176" t="str">
        <f>PMIS_Data!R6</f>
        <v>B04 has multiple TRs across basement/first/second levels; field verification, abatement coordination, cooling power, firestopping, and cutover phasing remain open.</v>
      </c>
      <c r="H18" s="188">
        <f t="shared" si="0"/>
        <v>10</v>
      </c>
      <c r="I18" s="176" t="str">
        <f t="shared" si="1"/>
        <v>Complete assessment gaps</v>
      </c>
      <c r="J18" s="176" t="str">
        <f t="shared" si="2"/>
        <v>Open</v>
      </c>
      <c r="K18" s="189">
        <f t="shared" si="3"/>
        <v>10.001799999999999</v>
      </c>
    </row>
    <row r="19" spans="1:11" ht="24.6" customHeight="1">
      <c r="A19" s="176" t="str">
        <f>PMIS_Data!A7</f>
        <v>05</v>
      </c>
      <c r="B19" s="176" t="str">
        <f>PMIS_Data!B7</f>
        <v>B05_Assessment</v>
      </c>
      <c r="C19" s="187">
        <f>PMIS_Data!E7</f>
        <v>0.5</v>
      </c>
      <c r="D19" s="176">
        <f>PMIS_Data!H7</f>
        <v>0</v>
      </c>
      <c r="E19" s="176">
        <f>PMIS_Data!I7</f>
        <v>0</v>
      </c>
      <c r="F19" s="176">
        <f>PMIS_Data!X7</f>
        <v>0</v>
      </c>
      <c r="G19" s="176" t="str">
        <f>PMIS_Data!R7</f>
        <v>Building 05 receives a Telecom Enclosure only; mechanical and fire protection scope is excluded, so TE power, telecom cutover, existing room conditions, and fire/life-safety interfaces must be verified.</v>
      </c>
      <c r="H19" s="188">
        <f t="shared" si="0"/>
        <v>10</v>
      </c>
      <c r="I19" s="176" t="str">
        <f t="shared" si="1"/>
        <v>Complete assessment gaps</v>
      </c>
      <c r="J19" s="176" t="str">
        <f t="shared" si="2"/>
        <v>Open</v>
      </c>
      <c r="K19" s="189">
        <f t="shared" si="3"/>
        <v>10.001899999999999</v>
      </c>
    </row>
    <row r="20" spans="1:11" ht="24.6" customHeight="1">
      <c r="A20" s="176" t="str">
        <f>PMIS_Data!A8</f>
        <v>06</v>
      </c>
      <c r="B20" s="176" t="str">
        <f>PMIS_Data!B8</f>
        <v>B06_Assessment</v>
      </c>
      <c r="C20" s="187">
        <f>PMIS_Data!E8</f>
        <v>0.5</v>
      </c>
      <c r="D20" s="176">
        <f>PMIS_Data!H8</f>
        <v>0</v>
      </c>
      <c r="E20" s="176">
        <f>PMIS_Data!I8</f>
        <v>0</v>
      </c>
      <c r="F20" s="176">
        <f>PMIS_Data!X8</f>
        <v>0</v>
      </c>
      <c r="G20" s="176" t="str">
        <f>PMIS_Data!R8</f>
        <v>Building 06 has active existing telecom equipment plus new TR work in Rooms 178 and 233; field verification, cutover phasing, cooling, firestopping, and emergency power remain open.</v>
      </c>
      <c r="H20" s="188">
        <f t="shared" si="0"/>
        <v>10</v>
      </c>
      <c r="I20" s="176" t="str">
        <f t="shared" si="1"/>
        <v>Complete assessment gaps</v>
      </c>
      <c r="J20" s="176" t="str">
        <f t="shared" si="2"/>
        <v>Open</v>
      </c>
      <c r="K20" s="189">
        <f t="shared" si="3"/>
        <v>10.002000000000001</v>
      </c>
    </row>
    <row r="21" spans="1:11" ht="24.6" customHeight="1">
      <c r="A21" s="176" t="str">
        <f>PMIS_Data!A9</f>
        <v>07</v>
      </c>
      <c r="B21" s="176" t="str">
        <f>PMIS_Data!B9</f>
        <v>B07_Assessment</v>
      </c>
      <c r="C21" s="187">
        <f>PMIS_Data!E9</f>
        <v>0.5</v>
      </c>
      <c r="D21" s="176">
        <f>PMIS_Data!H9</f>
        <v>0</v>
      </c>
      <c r="E21" s="176">
        <f>PMIS_Data!I9</f>
        <v>0</v>
      </c>
      <c r="F21" s="176">
        <f>PMIS_Data!X9</f>
        <v>0</v>
      </c>
      <c r="G21" s="176" t="str">
        <f>PMIS_Data!R9</f>
        <v>Building 07 includes basement TR B-18 and second-level TR 228A; field verification, active-service cutover, cooling, firestopping, rated construction, and power source confirmation remain open.</v>
      </c>
      <c r="H21" s="188">
        <f t="shared" si="0"/>
        <v>10</v>
      </c>
      <c r="I21" s="176" t="str">
        <f t="shared" si="1"/>
        <v>Complete assessment gaps</v>
      </c>
      <c r="J21" s="176" t="str">
        <f t="shared" si="2"/>
        <v>Open</v>
      </c>
      <c r="K21" s="189">
        <f t="shared" si="3"/>
        <v>10.0021</v>
      </c>
    </row>
    <row r="22" spans="1:11" ht="24.6" customHeight="1">
      <c r="A22" s="176" t="str">
        <f>PMIS_Data!A10</f>
        <v>08</v>
      </c>
      <c r="B22" s="176" t="str">
        <f>PMIS_Data!B10</f>
        <v>B08_Assessment</v>
      </c>
      <c r="C22" s="187">
        <f>PMIS_Data!E10</f>
        <v>0.5</v>
      </c>
      <c r="D22" s="176">
        <f>PMIS_Data!H10</f>
        <v>0</v>
      </c>
      <c r="E22" s="176">
        <f>PMIS_Data!I10</f>
        <v>0</v>
      </c>
      <c r="F22" s="176">
        <f>PMIS_Data!X10</f>
        <v>0</v>
      </c>
      <c r="G22" s="176" t="str">
        <f>PMIS_Data!R10</f>
        <v>Building 08 includes existing basement telecom equipment at B-15, basement TE/cabling scope at B12B, and new second-level TR 2065A; field verification, abatement, rated construction, cooling/power, firestopping, and cutover phasing remain open.</v>
      </c>
      <c r="H22" s="188">
        <f t="shared" si="0"/>
        <v>10</v>
      </c>
      <c r="I22" s="176" t="str">
        <f t="shared" si="1"/>
        <v>Complete assessment gaps</v>
      </c>
      <c r="J22" s="176" t="str">
        <f t="shared" si="2"/>
        <v>Open</v>
      </c>
      <c r="K22" s="189">
        <f t="shared" si="3"/>
        <v>10.0022</v>
      </c>
    </row>
    <row r="23" spans="1:11" ht="24.6" customHeight="1">
      <c r="A23" s="176" t="str">
        <f>PMIS_Data!A11</f>
        <v>09</v>
      </c>
      <c r="B23" s="176" t="str">
        <f>PMIS_Data!B11</f>
        <v>B09_Assessment</v>
      </c>
      <c r="C23" s="187">
        <f>PMIS_Data!E11</f>
        <v>0.5</v>
      </c>
      <c r="D23" s="176">
        <f>PMIS_Data!H11</f>
        <v>0</v>
      </c>
      <c r="E23" s="176">
        <f>PMIS_Data!I11</f>
        <v>0</v>
      </c>
      <c r="F23" s="176">
        <f>PMIS_Data!X11</f>
        <v>0</v>
      </c>
      <c r="G23" s="176" t="str">
        <f>PMIS_Data!R11</f>
        <v>Building 09 includes three telecom spaces across basement, first, and second levels; field verification, hazardous material coordination, active service cutover, cooling, power/panel source, firestopping, and rated wall/door work remain open.</v>
      </c>
      <c r="H23" s="188">
        <f t="shared" si="0"/>
        <v>10</v>
      </c>
      <c r="I23" s="176" t="str">
        <f t="shared" si="1"/>
        <v>Complete assessment gaps</v>
      </c>
      <c r="J23" s="176" t="str">
        <f t="shared" si="2"/>
        <v>Open</v>
      </c>
      <c r="K23" s="189">
        <f t="shared" si="3"/>
        <v>10.0023</v>
      </c>
    </row>
    <row r="24" spans="1:11" ht="24.6" customHeight="1">
      <c r="A24" s="176" t="str">
        <f>PMIS_Data!A12</f>
        <v>10</v>
      </c>
      <c r="B24" s="176" t="str">
        <f>PMIS_Data!B12</f>
        <v>B10_Assessment</v>
      </c>
      <c r="C24" s="187">
        <f>PMIS_Data!E12</f>
        <v>0.5</v>
      </c>
      <c r="D24" s="176">
        <f>PMIS_Data!H12</f>
        <v>0</v>
      </c>
      <c r="E24" s="176">
        <f>PMIS_Data!I12</f>
        <v>0</v>
      </c>
      <c r="F24" s="176">
        <f>PMIS_Data!X12</f>
        <v>0</v>
      </c>
      <c r="G24" s="176" t="str">
        <f>PMIS_Data!R12</f>
        <v>Building 10 scope centers on attic Telecom Room 200A with related basement electrical source rooms B24/B25, attic hazardous material abatement, dedicated cooling, new telecom panels, rack/UPS/PDU equipment, firestopping, and cutover coordination.</v>
      </c>
      <c r="H24" s="188">
        <f t="shared" si="0"/>
        <v>10</v>
      </c>
      <c r="I24" s="176" t="str">
        <f t="shared" si="1"/>
        <v>Complete assessment gaps</v>
      </c>
      <c r="J24" s="176" t="str">
        <f t="shared" si="2"/>
        <v>Open</v>
      </c>
      <c r="K24" s="189">
        <f t="shared" si="3"/>
        <v>10.0024</v>
      </c>
    </row>
    <row r="25" spans="1:11" ht="24.6" customHeight="1">
      <c r="A25" s="176" t="str">
        <f>PMIS_Data!A13</f>
        <v>12</v>
      </c>
      <c r="B25" s="176" t="str">
        <f>PMIS_Data!B13</f>
        <v>B12_Assessment</v>
      </c>
      <c r="C25" s="187">
        <f>PMIS_Data!E13</f>
        <v>0.5</v>
      </c>
      <c r="D25" s="176">
        <f>PMIS_Data!H13</f>
        <v>0</v>
      </c>
      <c r="E25" s="176">
        <f>PMIS_Data!I13</f>
        <v>0</v>
      </c>
      <c r="F25" s="176">
        <f>PMIS_Data!X13</f>
        <v>0</v>
      </c>
      <c r="G25" s="176"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88">
        <f t="shared" si="0"/>
        <v>10</v>
      </c>
      <c r="I25" s="176" t="str">
        <f t="shared" si="1"/>
        <v>Complete assessment gaps</v>
      </c>
      <c r="J25" s="176" t="str">
        <f t="shared" si="2"/>
        <v>Open</v>
      </c>
      <c r="K25" s="189">
        <f t="shared" si="3"/>
        <v>10.0025</v>
      </c>
    </row>
    <row r="26" spans="1:11" ht="24.6" customHeight="1">
      <c r="A26" s="176" t="str">
        <f>PMIS_Data!A14</f>
        <v>13</v>
      </c>
      <c r="B26" s="176" t="str">
        <f>PMIS_Data!B14</f>
        <v>B13_Assessment</v>
      </c>
      <c r="C26" s="187">
        <f>PMIS_Data!E14</f>
        <v>0.5</v>
      </c>
      <c r="D26" s="176">
        <f>PMIS_Data!H14</f>
        <v>0</v>
      </c>
      <c r="E26" s="176">
        <f>PMIS_Data!I14</f>
        <v>0</v>
      </c>
      <c r="F26" s="176">
        <f>PMIS_Data!X14</f>
        <v>0</v>
      </c>
      <c r="G26" s="176"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88">
        <f t="shared" si="0"/>
        <v>10</v>
      </c>
      <c r="I26" s="176" t="str">
        <f t="shared" si="1"/>
        <v>Complete assessment gaps</v>
      </c>
      <c r="J26" s="176" t="str">
        <f t="shared" si="2"/>
        <v>Open</v>
      </c>
      <c r="K26" s="189">
        <f t="shared" si="3"/>
        <v>10.002599999999999</v>
      </c>
    </row>
    <row r="27" spans="1:11" ht="24.6" customHeight="1">
      <c r="A27" s="176" t="str">
        <f>PMIS_Data!A15</f>
        <v>14</v>
      </c>
      <c r="B27" s="176" t="str">
        <f>PMIS_Data!B15</f>
        <v>B14_Assessment</v>
      </c>
      <c r="C27" s="187">
        <f>PMIS_Data!E15</f>
        <v>0.5</v>
      </c>
      <c r="D27" s="176">
        <f>PMIS_Data!H15</f>
        <v>0</v>
      </c>
      <c r="E27" s="176">
        <f>PMIS_Data!I15</f>
        <v>0</v>
      </c>
      <c r="F27" s="176">
        <f>PMIS_Data!X15</f>
        <v>0</v>
      </c>
      <c r="G27" s="176"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88">
        <f t="shared" si="0"/>
        <v>10</v>
      </c>
      <c r="I27" s="176" t="str">
        <f t="shared" si="1"/>
        <v>Complete assessment gaps</v>
      </c>
      <c r="J27" s="176" t="str">
        <f t="shared" si="2"/>
        <v>Open</v>
      </c>
      <c r="K27" s="189">
        <f t="shared" si="3"/>
        <v>10.002700000000001</v>
      </c>
    </row>
    <row r="28" spans="1:11" ht="24.6" customHeight="1">
      <c r="A28" s="176" t="str">
        <f>PMIS_Data!A16</f>
        <v>15</v>
      </c>
      <c r="B28" s="176" t="str">
        <f>PMIS_Data!B16</f>
        <v>B15_Assessment</v>
      </c>
      <c r="C28" s="187">
        <f>PMIS_Data!E16</f>
        <v>0.5</v>
      </c>
      <c r="D28" s="176">
        <f>PMIS_Data!H16</f>
        <v>0</v>
      </c>
      <c r="E28" s="176">
        <f>PMIS_Data!I16</f>
        <v>0</v>
      </c>
      <c r="F28" s="176">
        <f>PMIS_Data!X16</f>
        <v>0</v>
      </c>
      <c r="G28" s="176"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88">
        <f t="shared" si="0"/>
        <v>10</v>
      </c>
      <c r="I28" s="176" t="str">
        <f t="shared" si="1"/>
        <v>Complete assessment gaps</v>
      </c>
      <c r="J28" s="176" t="str">
        <f t="shared" si="2"/>
        <v>Open</v>
      </c>
      <c r="K28" s="189">
        <f t="shared" si="3"/>
        <v>10.002800000000001</v>
      </c>
    </row>
    <row r="29" spans="1:11" ht="24.6" customHeight="1">
      <c r="A29" s="176" t="str">
        <f>PMIS_Data!A17</f>
        <v>16</v>
      </c>
      <c r="B29" s="176" t="str">
        <f>PMIS_Data!B17</f>
        <v>B16_Assessment</v>
      </c>
      <c r="C29" s="187">
        <f>PMIS_Data!E17</f>
        <v>0.5</v>
      </c>
      <c r="D29" s="176">
        <f>PMIS_Data!H17</f>
        <v>0</v>
      </c>
      <c r="E29" s="176">
        <f>PMIS_Data!I17</f>
        <v>0</v>
      </c>
      <c r="F29" s="176">
        <f>PMIS_Data!X17</f>
        <v>0</v>
      </c>
      <c r="G29" s="176"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88">
        <f t="shared" si="0"/>
        <v>10</v>
      </c>
      <c r="I29" s="176" t="str">
        <f t="shared" si="1"/>
        <v>Complete assessment gaps</v>
      </c>
      <c r="J29" s="176" t="str">
        <f t="shared" si="2"/>
        <v>Open</v>
      </c>
      <c r="K29" s="189">
        <f t="shared" si="3"/>
        <v>10.0029</v>
      </c>
    </row>
    <row r="30" spans="1:11" ht="24.6" customHeight="1">
      <c r="A30" s="176" t="str">
        <f>PMIS_Data!A18</f>
        <v>17</v>
      </c>
      <c r="B30" s="176" t="str">
        <f>PMIS_Data!B18</f>
        <v>B17_Assessment</v>
      </c>
      <c r="C30" s="187">
        <f>PMIS_Data!E18</f>
        <v>0.5</v>
      </c>
      <c r="D30" s="176">
        <f>PMIS_Data!H18</f>
        <v>0</v>
      </c>
      <c r="E30" s="176">
        <f>PMIS_Data!I18</f>
        <v>0</v>
      </c>
      <c r="F30" s="176">
        <f>PMIS_Data!X18</f>
        <v>0</v>
      </c>
      <c r="G30" s="176"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88">
        <f t="shared" si="0"/>
        <v>10</v>
      </c>
      <c r="I30" s="176" t="str">
        <f t="shared" si="1"/>
        <v>Complete assessment gaps</v>
      </c>
      <c r="J30" s="176" t="str">
        <f t="shared" si="2"/>
        <v>Open</v>
      </c>
      <c r="K30" s="189">
        <f t="shared" si="3"/>
        <v>10.003</v>
      </c>
    </row>
    <row r="31" spans="1:11" ht="24.6" customHeight="1">
      <c r="A31" s="176" t="str">
        <f>PMIS_Data!A19</f>
        <v>18</v>
      </c>
      <c r="B31" s="176" t="str">
        <f>PMIS_Data!B19</f>
        <v>B18_Assessment</v>
      </c>
      <c r="C31" s="187">
        <f>PMIS_Data!E19</f>
        <v>0.5</v>
      </c>
      <c r="D31" s="176">
        <f>PMIS_Data!H19</f>
        <v>0</v>
      </c>
      <c r="E31" s="176">
        <f>PMIS_Data!I19</f>
        <v>0</v>
      </c>
      <c r="F31" s="176">
        <f>PMIS_Data!X19</f>
        <v>0</v>
      </c>
      <c r="G31" s="176"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88">
        <f t="shared" si="0"/>
        <v>10</v>
      </c>
      <c r="I31" s="176" t="str">
        <f t="shared" si="1"/>
        <v>Complete assessment gaps</v>
      </c>
      <c r="J31" s="176" t="str">
        <f t="shared" si="2"/>
        <v>Open</v>
      </c>
      <c r="K31" s="189">
        <f t="shared" si="3"/>
        <v>10.0031</v>
      </c>
    </row>
    <row r="32" spans="1:11" ht="24.6" customHeight="1">
      <c r="A32" s="176" t="str">
        <f>PMIS_Data!A20</f>
        <v>20</v>
      </c>
      <c r="B32" s="176" t="str">
        <f>PMIS_Data!B20</f>
        <v>B20_Assessment</v>
      </c>
      <c r="C32" s="187">
        <f>PMIS_Data!E20</f>
        <v>0.5</v>
      </c>
      <c r="D32" s="176">
        <f>PMIS_Data!H20</f>
        <v>0</v>
      </c>
      <c r="E32" s="176">
        <f>PMIS_Data!I20</f>
        <v>0</v>
      </c>
      <c r="F32" s="176">
        <f>PMIS_Data!X20</f>
        <v>0</v>
      </c>
      <c r="G32" s="176"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88">
        <f t="shared" si="0"/>
        <v>10</v>
      </c>
      <c r="I32" s="176" t="str">
        <f t="shared" si="1"/>
        <v>Complete assessment gaps</v>
      </c>
      <c r="J32" s="176" t="str">
        <f t="shared" si="2"/>
        <v>Open</v>
      </c>
      <c r="K32" s="189">
        <f t="shared" si="3"/>
        <v>10.0032</v>
      </c>
    </row>
    <row r="33" spans="1:11" ht="24.6" customHeight="1">
      <c r="A33" s="176" t="str">
        <f>PMIS_Data!A21</f>
        <v>21</v>
      </c>
      <c r="B33" s="176" t="str">
        <f>PMIS_Data!B21</f>
        <v>B21_Assessment</v>
      </c>
      <c r="C33" s="187">
        <f>PMIS_Data!E21</f>
        <v>0.5</v>
      </c>
      <c r="D33" s="176">
        <f>PMIS_Data!H21</f>
        <v>0</v>
      </c>
      <c r="E33" s="176">
        <f>PMIS_Data!I21</f>
        <v>0</v>
      </c>
      <c r="F33" s="176">
        <f>PMIS_Data!X21</f>
        <v>0</v>
      </c>
      <c r="G33" s="176"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88">
        <f t="shared" si="0"/>
        <v>10</v>
      </c>
      <c r="I33" s="176" t="str">
        <f t="shared" si="1"/>
        <v>Complete assessment gaps</v>
      </c>
      <c r="J33" s="176" t="str">
        <f t="shared" si="2"/>
        <v>Open</v>
      </c>
      <c r="K33" s="189">
        <f t="shared" si="3"/>
        <v>10.003299999999999</v>
      </c>
    </row>
    <row r="34" spans="1:11" ht="24.6" customHeight="1">
      <c r="A34" s="176" t="str">
        <f>PMIS_Data!A22</f>
        <v>22</v>
      </c>
      <c r="B34" s="176" t="str">
        <f>PMIS_Data!B22</f>
        <v>B22_Assessment</v>
      </c>
      <c r="C34" s="187">
        <f>PMIS_Data!E22</f>
        <v>0.5</v>
      </c>
      <c r="D34" s="176">
        <f>PMIS_Data!H22</f>
        <v>0</v>
      </c>
      <c r="E34" s="176">
        <f>PMIS_Data!I22</f>
        <v>0</v>
      </c>
      <c r="F34" s="176">
        <f>PMIS_Data!X22</f>
        <v>0</v>
      </c>
      <c r="G34" s="176"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88">
        <f t="shared" si="0"/>
        <v>10</v>
      </c>
      <c r="I34" s="176" t="str">
        <f t="shared" si="1"/>
        <v>Complete assessment gaps</v>
      </c>
      <c r="J34" s="176" t="str">
        <f t="shared" si="2"/>
        <v>Open</v>
      </c>
      <c r="K34" s="189">
        <f t="shared" si="3"/>
        <v>10.003399999999999</v>
      </c>
    </row>
    <row r="35" spans="1:11" ht="24.6" customHeight="1">
      <c r="A35" s="176" t="str">
        <f>PMIS_Data!A23</f>
        <v>33</v>
      </c>
      <c r="B35" s="176" t="str">
        <f>PMIS_Data!B23</f>
        <v>B33_Assessment</v>
      </c>
      <c r="C35" s="187">
        <f>PMIS_Data!E23</f>
        <v>0.5</v>
      </c>
      <c r="D35" s="176">
        <f>PMIS_Data!H23</f>
        <v>0</v>
      </c>
      <c r="E35" s="176">
        <f>PMIS_Data!I23</f>
        <v>0</v>
      </c>
      <c r="F35" s="176">
        <f>PMIS_Data!X23</f>
        <v>0</v>
      </c>
      <c r="G35" s="176"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88">
        <f t="shared" si="0"/>
        <v>10</v>
      </c>
      <c r="I35" s="176" t="str">
        <f t="shared" si="1"/>
        <v>Complete assessment gaps</v>
      </c>
      <c r="J35" s="176" t="str">
        <f t="shared" si="2"/>
        <v>Open</v>
      </c>
      <c r="K35" s="189">
        <f t="shared" si="3"/>
        <v>10.003500000000001</v>
      </c>
    </row>
    <row r="36" spans="1:11" ht="24.6" customHeight="1">
      <c r="A36" s="176" t="str">
        <f>PMIS_Data!A24</f>
        <v>61</v>
      </c>
      <c r="B36" s="176" t="str">
        <f>PMIS_Data!B24</f>
        <v>B61_Assessment</v>
      </c>
      <c r="C36" s="187">
        <f>PMIS_Data!E24</f>
        <v>0</v>
      </c>
      <c r="D36" s="176">
        <f>PMIS_Data!H24</f>
        <v>0</v>
      </c>
      <c r="E36" s="176">
        <f>PMIS_Data!I24</f>
        <v>0</v>
      </c>
      <c r="F36" s="176">
        <f>PMIS_Data!X24</f>
        <v>0</v>
      </c>
      <c r="G36" s="176"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88">
        <f t="shared" si="0"/>
        <v>25</v>
      </c>
      <c r="I36" s="176" t="str">
        <f t="shared" si="1"/>
        <v>Complete assessment gaps</v>
      </c>
      <c r="J36" s="176" t="str">
        <f t="shared" si="2"/>
        <v>Open</v>
      </c>
      <c r="K36" s="189">
        <f t="shared" si="3"/>
        <v>25.003599999999999</v>
      </c>
    </row>
    <row r="37" spans="1:11" ht="24.6" customHeight="1">
      <c r="A37" s="176" t="str">
        <f>PMIS_Data!A25</f>
        <v>62</v>
      </c>
      <c r="B37" s="176" t="str">
        <f>PMIS_Data!B25</f>
        <v>B62_TR_Assessment</v>
      </c>
      <c r="C37" s="187">
        <f>PMIS_Data!E25</f>
        <v>0.5</v>
      </c>
      <c r="D37" s="176">
        <f>PMIS_Data!H25</f>
        <v>0</v>
      </c>
      <c r="E37" s="176">
        <f>PMIS_Data!I25</f>
        <v>0</v>
      </c>
      <c r="F37" s="176">
        <f>PMIS_Data!X25</f>
        <v>0</v>
      </c>
      <c r="G37" s="176" t="str">
        <f>PMIS_Data!R25</f>
        <v>Cooling / emergency power not verified</v>
      </c>
      <c r="H37" s="188">
        <f t="shared" si="0"/>
        <v>10</v>
      </c>
      <c r="I37" s="176" t="str">
        <f t="shared" si="1"/>
        <v>Complete assessment gaps</v>
      </c>
      <c r="J37" s="176" t="str">
        <f t="shared" si="2"/>
        <v>Open</v>
      </c>
      <c r="K37" s="189">
        <f t="shared" si="3"/>
        <v>10.0037</v>
      </c>
    </row>
    <row r="38" spans="1:11" ht="24.6" customHeight="1">
      <c r="A38" s="176" t="str">
        <f>PMIS_Data!A26</f>
        <v>70</v>
      </c>
      <c r="B38" s="176" t="str">
        <f>PMIS_Data!B26</f>
        <v>B70_TR_Assessment</v>
      </c>
      <c r="C38" s="187">
        <f>PMIS_Data!E26</f>
        <v>0.5</v>
      </c>
      <c r="D38" s="176">
        <f>PMIS_Data!H26</f>
        <v>0</v>
      </c>
      <c r="E38" s="176">
        <f>PMIS_Data!I26</f>
        <v>0</v>
      </c>
      <c r="F38" s="176">
        <f>PMIS_Data!X26</f>
        <v>0</v>
      </c>
      <c r="G38" s="176" t="str">
        <f>PMIS_Data!R26</f>
        <v>Cooling / emergency power and existing TR phasing not verified</v>
      </c>
      <c r="H38" s="188">
        <f t="shared" si="0"/>
        <v>10</v>
      </c>
      <c r="I38" s="176" t="str">
        <f t="shared" si="1"/>
        <v>Complete assessment gaps</v>
      </c>
      <c r="J38" s="176" t="str">
        <f t="shared" si="2"/>
        <v>Open</v>
      </c>
      <c r="K38" s="189">
        <f t="shared" si="3"/>
        <v>10.0038</v>
      </c>
    </row>
    <row r="39" spans="1:11" ht="24.6" customHeight="1">
      <c r="A39" s="176" t="str">
        <f>PMIS_Data!A27</f>
        <v>78</v>
      </c>
      <c r="B39" s="176" t="str">
        <f>PMIS_Data!B27</f>
        <v>B78_Assessment</v>
      </c>
      <c r="C39" s="187">
        <f>PMIS_Data!E27</f>
        <v>0.5</v>
      </c>
      <c r="D39" s="176">
        <f>PMIS_Data!H27</f>
        <v>0</v>
      </c>
      <c r="E39" s="176">
        <f>PMIS_Data!I27</f>
        <v>0</v>
      </c>
      <c r="F39" s="176">
        <f>PMIS_Data!X27</f>
        <v>0</v>
      </c>
      <c r="G39" s="176"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88">
        <f t="shared" si="0"/>
        <v>10</v>
      </c>
      <c r="I39" s="176" t="str">
        <f t="shared" si="1"/>
        <v>Complete assessment gaps</v>
      </c>
      <c r="J39" s="176" t="str">
        <f t="shared" si="2"/>
        <v>Open</v>
      </c>
      <c r="K39" s="189">
        <f t="shared" si="3"/>
        <v>10.0039</v>
      </c>
    </row>
    <row r="40" spans="1:11" ht="24.6" customHeight="1">
      <c r="A40" s="176" t="str">
        <f>PMIS_Data!A28</f>
        <v>80</v>
      </c>
      <c r="B40" s="176" t="str">
        <f>PMIS_Data!B28</f>
        <v>B80_Assessment</v>
      </c>
      <c r="C40" s="187">
        <f>PMIS_Data!E28</f>
        <v>0.5</v>
      </c>
      <c r="D40" s="176">
        <f>PMIS_Data!H28</f>
        <v>0</v>
      </c>
      <c r="E40" s="176">
        <f>PMIS_Data!I28</f>
        <v>0</v>
      </c>
      <c r="F40" s="176">
        <f>PMIS_Data!X28</f>
        <v>0</v>
      </c>
      <c r="G40" s="176"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88">
        <f t="shared" si="0"/>
        <v>10</v>
      </c>
      <c r="I40" s="176" t="str">
        <f t="shared" si="1"/>
        <v>Complete assessment gaps</v>
      </c>
      <c r="J40" s="176" t="str">
        <f t="shared" si="2"/>
        <v>Open</v>
      </c>
      <c r="K40" s="189">
        <f t="shared" si="3"/>
        <v>10.004</v>
      </c>
    </row>
    <row r="41" spans="1:11" ht="24.6" customHeight="1">
      <c r="A41" s="176" t="str">
        <f>PMIS_Data!A29</f>
        <v>82</v>
      </c>
      <c r="B41" s="176" t="str">
        <f>PMIS_Data!B29</f>
        <v>B82_Assessment</v>
      </c>
      <c r="C41" s="187">
        <f>PMIS_Data!E29</f>
        <v>0.5</v>
      </c>
      <c r="D41" s="176">
        <f>PMIS_Data!H29</f>
        <v>0</v>
      </c>
      <c r="E41" s="176">
        <f>PMIS_Data!I29</f>
        <v>0</v>
      </c>
      <c r="F41" s="176">
        <f>PMIS_Data!X29</f>
        <v>0</v>
      </c>
      <c r="G41" s="176"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88">
        <f t="shared" si="0"/>
        <v>10</v>
      </c>
      <c r="I41" s="176" t="str">
        <f t="shared" si="1"/>
        <v>Complete assessment gaps</v>
      </c>
      <c r="J41" s="176" t="str">
        <f t="shared" si="2"/>
        <v>Open</v>
      </c>
      <c r="K41" s="189">
        <f t="shared" si="3"/>
        <v>10.004099999999999</v>
      </c>
    </row>
    <row r="42" spans="1:11" ht="24.6" customHeight="1">
      <c r="A42" s="176" t="str">
        <f>PMIS_Data!A30</f>
        <v>BCH</v>
      </c>
      <c r="B42" s="176" t="str">
        <f>PMIS_Data!B30</f>
        <v>BCH_Assessment</v>
      </c>
      <c r="C42" s="187">
        <f>PMIS_Data!E30</f>
        <v>0.5</v>
      </c>
      <c r="D42" s="176">
        <f>PMIS_Data!H30</f>
        <v>0</v>
      </c>
      <c r="E42" s="176">
        <f>PMIS_Data!I30</f>
        <v>0</v>
      </c>
      <c r="F42" s="176">
        <f>PMIS_Data!X30</f>
        <v>0</v>
      </c>
      <c r="G42" s="176"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88">
        <f t="shared" si="0"/>
        <v>10</v>
      </c>
      <c r="I42" s="176" t="str">
        <f t="shared" si="1"/>
        <v>Complete assessment gaps</v>
      </c>
      <c r="J42" s="176" t="str">
        <f t="shared" si="2"/>
        <v>Open</v>
      </c>
      <c r="K42" s="189">
        <f t="shared" si="3"/>
        <v>10.004200000000001</v>
      </c>
    </row>
    <row r="43" spans="1:11" ht="24.6" customHeight="1">
      <c r="A43" s="176" t="str">
        <f>PMIS_Data!A31</f>
        <v>MCR</v>
      </c>
      <c r="B43" s="176" t="str">
        <f>PMIS_Data!B31</f>
        <v>MCR_Assessment</v>
      </c>
      <c r="C43" s="187">
        <f>PMIS_Data!E31</f>
        <v>0.5</v>
      </c>
      <c r="D43" s="176">
        <f>PMIS_Data!H31</f>
        <v>0</v>
      </c>
      <c r="E43" s="176">
        <f>PMIS_Data!I31</f>
        <v>0</v>
      </c>
      <c r="F43" s="176">
        <f>PMIS_Data!X31</f>
        <v>0</v>
      </c>
      <c r="G43" s="176"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88">
        <f t="shared" si="0"/>
        <v>10</v>
      </c>
      <c r="I43" s="176" t="str">
        <f t="shared" si="1"/>
        <v>Complete assessment gaps</v>
      </c>
      <c r="J43" s="176" t="str">
        <f t="shared" si="2"/>
        <v>Open</v>
      </c>
      <c r="K43" s="189">
        <f t="shared" si="3"/>
        <v>10.004300000000001</v>
      </c>
    </row>
    <row r="44" spans="1:11" ht="24.6" customHeight="1">
      <c r="A44" s="176" t="str">
        <f>PMIS_Data!A32</f>
        <v>SITE</v>
      </c>
      <c r="B44" s="176" t="str">
        <f>PMIS_Data!B32</f>
        <v>SITE_Assesment</v>
      </c>
      <c r="C44" s="187">
        <f>PMIS_Data!E32</f>
        <v>0.5</v>
      </c>
      <c r="D44" s="176">
        <f>PMIS_Data!H32</f>
        <v>0</v>
      </c>
      <c r="E44" s="176">
        <f>PMIS_Data!I32</f>
        <v>0</v>
      </c>
      <c r="F44" s="176">
        <f>PMIS_Data!X32</f>
        <v>0</v>
      </c>
      <c r="G44" s="176"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88">
        <f t="shared" si="0"/>
        <v>10</v>
      </c>
      <c r="I44" s="176" t="str">
        <f t="shared" si="1"/>
        <v>Complete assessment gaps</v>
      </c>
      <c r="J44" s="176" t="str">
        <f t="shared" si="2"/>
        <v>Open</v>
      </c>
      <c r="K44" s="189">
        <f t="shared" si="3"/>
        <v>10.0044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0"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68</vt:i4>
      </vt:variant>
      <vt:variant>
        <vt:lpstr>Named Ranges</vt:lpstr>
      </vt:variant>
      <vt:variant>
        <vt:i4>16</vt:i4>
      </vt:variant>
    </vt:vector>
  </HeadingPairs>
  <TitlesOfParts>
    <vt:vector size="84"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B61_Assessment</vt:lpstr>
      <vt:lpstr>CM_PM Operations</vt:lpstr>
      <vt:lpstr>COR_Report</vt:lpstr>
      <vt:lpstr>Project_Register</vt:lpstr>
      <vt:lpstr>Shutdown_Tracker</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2026-08-17T14:01:09Z</dcterms:modified>
</cp:coreProperties>
</file>