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opkins/Documents/work/ECA/ECRP_2020/"/>
    </mc:Choice>
  </mc:AlternateContent>
  <xr:revisionPtr revIDLastSave="0" documentId="13_ncr:1_{881275D2-DB8B-1A4F-BF9B-DB380B20C535}" xr6:coauthVersionLast="36" xr6:coauthVersionMax="46" xr10:uidLastSave="{00000000-0000-0000-0000-000000000000}"/>
  <bookViews>
    <workbookView xWindow="0" yWindow="500" windowWidth="33600" windowHeight="18800" xr2:uid="{3AFC02E5-C7C5-4F36-9776-E3A8A5BAA508}"/>
  </bookViews>
  <sheets>
    <sheet name="forMe" sheetId="1" r:id="rId1"/>
    <sheet name="forPandas" sheetId="2" r:id="rId2"/>
    <sheet name="forNorm" sheetId="4" r:id="rId3"/>
  </sheets>
  <definedNames>
    <definedName name="FTE">forPandas!$A:$A</definedName>
    <definedName name="Loaded">forPandas!$E:$E</definedName>
    <definedName name="Months">forPandas!$B:$B</definedName>
    <definedName name="MS">forPandas!$3:$3</definedName>
    <definedName name="Overhead">forPandas!$D:$D</definedName>
    <definedName name="PI">forPandas!$1:$1</definedName>
    <definedName name="Postdoc">forPandas!$2:$2</definedName>
    <definedName name="Totals">forPandas!$5:$5</definedName>
    <definedName name="Travel">forPandas!$4:$4</definedName>
    <definedName name="Unloaded">forPandas!$C:$C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0" i="1" l="1"/>
  <c r="W20" i="1"/>
  <c r="I20" i="1"/>
  <c r="I19" i="1"/>
  <c r="B20" i="1"/>
  <c r="B19" i="1"/>
  <c r="C19" i="1"/>
  <c r="G19" i="4" l="1"/>
  <c r="F19" i="4"/>
  <c r="E19" i="4"/>
  <c r="D19" i="4"/>
  <c r="F2" i="2"/>
  <c r="B24" i="1" l="1"/>
  <c r="A6" i="2" s="1"/>
  <c r="I24" i="1"/>
  <c r="F6" i="2" s="1"/>
  <c r="P24" i="1"/>
  <c r="K6" i="2" s="1"/>
  <c r="AD24" i="1"/>
  <c r="U6" i="2" s="1"/>
  <c r="W24" i="1"/>
  <c r="P6" i="2" s="1"/>
  <c r="U3" i="2"/>
  <c r="U4" i="2"/>
  <c r="V4" i="2"/>
  <c r="W4" i="2"/>
  <c r="X4" i="2"/>
  <c r="Y4" i="2"/>
  <c r="G7" i="4" s="1"/>
  <c r="U5" i="2"/>
  <c r="V5" i="2"/>
  <c r="W5" i="2"/>
  <c r="G20" i="4" s="1"/>
  <c r="U2" i="2"/>
  <c r="A4" i="2"/>
  <c r="B4" i="2"/>
  <c r="A5" i="2"/>
  <c r="B5" i="2"/>
  <c r="P3" i="2"/>
  <c r="P4" i="2"/>
  <c r="Q4" i="2"/>
  <c r="R4" i="2"/>
  <c r="S4" i="2"/>
  <c r="T4" i="2"/>
  <c r="F7" i="4" s="1"/>
  <c r="P5" i="2"/>
  <c r="Q5" i="2"/>
  <c r="R5" i="2"/>
  <c r="F20" i="4" s="1"/>
  <c r="P2" i="2"/>
  <c r="K3" i="2"/>
  <c r="K4" i="2"/>
  <c r="L4" i="2"/>
  <c r="M4" i="2"/>
  <c r="N4" i="2"/>
  <c r="O4" i="2"/>
  <c r="E7" i="4" s="1"/>
  <c r="K5" i="2"/>
  <c r="L5" i="2"/>
  <c r="M5" i="2"/>
  <c r="E20" i="4" s="1"/>
  <c r="K2" i="2"/>
  <c r="F3" i="2"/>
  <c r="F4" i="2"/>
  <c r="G4" i="2"/>
  <c r="H4" i="2"/>
  <c r="I4" i="2"/>
  <c r="J4" i="2"/>
  <c r="D7" i="4" s="1"/>
  <c r="F5" i="2"/>
  <c r="G5" i="2"/>
  <c r="H5" i="2"/>
  <c r="D20" i="4" s="1"/>
  <c r="A2" i="2"/>
  <c r="C4" i="2"/>
  <c r="B19" i="4" s="1"/>
  <c r="H19" i="4" s="1"/>
  <c r="C5" i="2"/>
  <c r="C20" i="4" s="1"/>
  <c r="A3" i="2"/>
  <c r="E22" i="1"/>
  <c r="D5" i="2" s="1"/>
  <c r="E21" i="1"/>
  <c r="D4" i="2" s="1"/>
  <c r="D3" i="2"/>
  <c r="D2" i="2"/>
  <c r="C3" i="2"/>
  <c r="C2" i="2"/>
  <c r="H20" i="4" l="1"/>
  <c r="B18" i="4"/>
  <c r="B17" i="4"/>
  <c r="B2" i="2"/>
  <c r="B21" i="4" l="1"/>
  <c r="B35" i="1"/>
  <c r="B34" i="1"/>
  <c r="S22" i="1"/>
  <c r="AG21" i="1"/>
  <c r="AH21" i="1" s="1"/>
  <c r="V3" i="2"/>
  <c r="AE19" i="1"/>
  <c r="Z21" i="1"/>
  <c r="AA21" i="1" s="1"/>
  <c r="Q3" i="2"/>
  <c r="X19" i="1"/>
  <c r="S21" i="1"/>
  <c r="T21" i="1" s="1"/>
  <c r="Q20" i="1"/>
  <c r="L3" i="2" s="1"/>
  <c r="Q19" i="1"/>
  <c r="G3" i="2"/>
  <c r="J19" i="1"/>
  <c r="C20" i="1"/>
  <c r="T22" i="1" l="1"/>
  <c r="O5" i="2" s="1"/>
  <c r="E8" i="4" s="1"/>
  <c r="N5" i="2"/>
  <c r="V2" i="2"/>
  <c r="AE24" i="1"/>
  <c r="V6" i="2" s="1"/>
  <c r="X24" i="1"/>
  <c r="Q6" i="2" s="1"/>
  <c r="Q2" i="2"/>
  <c r="B3" i="2"/>
  <c r="C24" i="1"/>
  <c r="B6" i="2" s="1"/>
  <c r="J24" i="1"/>
  <c r="G6" i="2" s="1"/>
  <c r="G2" i="2"/>
  <c r="Q24" i="1"/>
  <c r="L6" i="2" s="1"/>
  <c r="L2" i="2"/>
  <c r="C35" i="1"/>
  <c r="D36" i="1"/>
  <c r="J19" i="4" s="1"/>
  <c r="C34" i="1"/>
  <c r="D37" i="1"/>
  <c r="J20" i="4" s="1"/>
  <c r="B39" i="1"/>
  <c r="X5" i="2"/>
  <c r="Z22" i="1"/>
  <c r="S5" i="2" s="1"/>
  <c r="L21" i="1"/>
  <c r="E36" i="1" s="1"/>
  <c r="L22" i="1"/>
  <c r="F22" i="1"/>
  <c r="E5" i="2" s="1"/>
  <c r="C8" i="4" s="1"/>
  <c r="F21" i="1"/>
  <c r="E4" i="2" s="1"/>
  <c r="B7" i="4" s="1"/>
  <c r="H7" i="4" s="1"/>
  <c r="M22" i="1" l="1"/>
  <c r="J5" i="2" s="1"/>
  <c r="D8" i="4" s="1"/>
  <c r="I5" i="2"/>
  <c r="C39" i="1"/>
  <c r="E37" i="1"/>
  <c r="AH22" i="1"/>
  <c r="Y5" i="2" s="1"/>
  <c r="G8" i="4" s="1"/>
  <c r="AA22" i="1"/>
  <c r="T5" i="2" s="1"/>
  <c r="F8" i="4" s="1"/>
  <c r="M21" i="1"/>
  <c r="F36" i="1" s="1"/>
  <c r="J7" i="4" s="1"/>
  <c r="H8" i="4" l="1"/>
  <c r="F37" i="1"/>
  <c r="J8" i="4" s="1"/>
  <c r="I6" i="1"/>
  <c r="H6" i="1"/>
  <c r="I5" i="1"/>
  <c r="I4" i="1"/>
  <c r="F5" i="1"/>
  <c r="G5" i="1"/>
  <c r="J6" i="1" l="1"/>
  <c r="H5" i="1"/>
  <c r="J5" i="1" s="1"/>
  <c r="K5" i="1" s="1"/>
  <c r="K6" i="1"/>
  <c r="G4" i="1"/>
  <c r="F4" i="1"/>
  <c r="H4" i="1" s="1"/>
  <c r="J4" i="1" s="1"/>
  <c r="S2" i="2" l="1"/>
  <c r="X2" i="2"/>
  <c r="R2" i="2"/>
  <c r="W2" i="2"/>
  <c r="G17" i="4" s="1"/>
  <c r="M2" i="2"/>
  <c r="H2" i="2"/>
  <c r="L6" i="1"/>
  <c r="M6" i="1" s="1"/>
  <c r="S3" i="2"/>
  <c r="I3" i="2"/>
  <c r="X3" i="2"/>
  <c r="N3" i="2"/>
  <c r="M3" i="2"/>
  <c r="R3" i="2"/>
  <c r="W3" i="2"/>
  <c r="G18" i="4" s="1"/>
  <c r="H3" i="2"/>
  <c r="L5" i="1"/>
  <c r="M5" i="1" s="1"/>
  <c r="K4" i="1"/>
  <c r="G21" i="4" l="1"/>
  <c r="F18" i="4"/>
  <c r="E18" i="4"/>
  <c r="E17" i="4"/>
  <c r="F17" i="4"/>
  <c r="D17" i="4"/>
  <c r="C17" i="4"/>
  <c r="D18" i="4"/>
  <c r="C18" i="4"/>
  <c r="T20" i="1"/>
  <c r="O3" i="2" s="1"/>
  <c r="D35" i="1"/>
  <c r="J18" i="4" s="1"/>
  <c r="D34" i="1"/>
  <c r="J17" i="4" s="1"/>
  <c r="F20" i="1"/>
  <c r="E3" i="2" s="1"/>
  <c r="E35" i="1"/>
  <c r="Y24" i="1"/>
  <c r="R6" i="2" s="1"/>
  <c r="AH20" i="1"/>
  <c r="Y3" i="2" s="1"/>
  <c r="G6" i="4" s="1"/>
  <c r="K24" i="1"/>
  <c r="H6" i="2" s="1"/>
  <c r="Z24" i="1"/>
  <c r="S6" i="2" s="1"/>
  <c r="AG24" i="1"/>
  <c r="X6" i="2" s="1"/>
  <c r="AH19" i="1"/>
  <c r="Y2" i="2" s="1"/>
  <c r="G5" i="4" s="1"/>
  <c r="AF24" i="1"/>
  <c r="W6" i="2" s="1"/>
  <c r="M20" i="1"/>
  <c r="J3" i="2" s="1"/>
  <c r="AA20" i="1"/>
  <c r="T3" i="2" s="1"/>
  <c r="R24" i="1"/>
  <c r="M6" i="2" s="1"/>
  <c r="L4" i="1"/>
  <c r="M4" i="1" s="1"/>
  <c r="D24" i="1"/>
  <c r="C6" i="2" s="1"/>
  <c r="G9" i="4" l="1"/>
  <c r="E21" i="4"/>
  <c r="F21" i="4"/>
  <c r="F6" i="4"/>
  <c r="E6" i="4"/>
  <c r="D6" i="4"/>
  <c r="D21" i="4"/>
  <c r="H17" i="4"/>
  <c r="H18" i="4"/>
  <c r="C21" i="4"/>
  <c r="B6" i="4"/>
  <c r="C6" i="4"/>
  <c r="J21" i="4"/>
  <c r="L24" i="1"/>
  <c r="I6" i="2" s="1"/>
  <c r="I2" i="2"/>
  <c r="S24" i="1"/>
  <c r="N6" i="2" s="1"/>
  <c r="N2" i="2"/>
  <c r="D39" i="1"/>
  <c r="E34" i="1"/>
  <c r="E39" i="1" s="1"/>
  <c r="E24" i="1"/>
  <c r="D6" i="2" s="1"/>
  <c r="F35" i="1"/>
  <c r="J6" i="4" s="1"/>
  <c r="AH24" i="1"/>
  <c r="Y6" i="2" s="1"/>
  <c r="M19" i="1"/>
  <c r="T19" i="1"/>
  <c r="AA19" i="1"/>
  <c r="F19" i="1"/>
  <c r="E2" i="2" s="1"/>
  <c r="H21" i="4" l="1"/>
  <c r="AA24" i="1"/>
  <c r="T6" i="2" s="1"/>
  <c r="T2" i="2"/>
  <c r="F5" i="4" s="1"/>
  <c r="F9" i="4" s="1"/>
  <c r="H6" i="4"/>
  <c r="B5" i="4"/>
  <c r="B9" i="4" s="1"/>
  <c r="M24" i="1"/>
  <c r="J6" i="2" s="1"/>
  <c r="J2" i="2"/>
  <c r="T24" i="1"/>
  <c r="O6" i="2" s="1"/>
  <c r="O2" i="2"/>
  <c r="E5" i="4" s="1"/>
  <c r="F24" i="1"/>
  <c r="E6" i="2" s="1"/>
  <c r="F34" i="1"/>
  <c r="D5" i="4" l="1"/>
  <c r="D9" i="4" s="1"/>
  <c r="C5" i="4"/>
  <c r="C9" i="4" s="1"/>
  <c r="E9" i="4"/>
  <c r="F39" i="1"/>
  <c r="J5" i="4"/>
  <c r="J9" i="4" s="1"/>
  <c r="H5" i="4" l="1"/>
  <c r="H9" i="4" s="1"/>
</calcChain>
</file>

<file path=xl/sharedStrings.xml><?xml version="1.0" encoding="utf-8"?>
<sst xmlns="http://schemas.openxmlformats.org/spreadsheetml/2006/main" count="204" uniqueCount="96">
  <si>
    <t>PB</t>
  </si>
  <si>
    <t>Rate</t>
  </si>
  <si>
    <t>DMA</t>
  </si>
  <si>
    <t>DA</t>
  </si>
  <si>
    <t>Subtotal</t>
  </si>
  <si>
    <t>Hours</t>
  </si>
  <si>
    <t>OH</t>
  </si>
  <si>
    <t>Total</t>
  </si>
  <si>
    <t>Per Hour Loaded</t>
  </si>
  <si>
    <t>Person 1</t>
  </si>
  <si>
    <t>Person 2</t>
  </si>
  <si>
    <t>Person 3</t>
  </si>
  <si>
    <t>Travel/M&amp;S</t>
  </si>
  <si>
    <t>Postdoc</t>
  </si>
  <si>
    <t>Travel</t>
  </si>
  <si>
    <t>Unloaded</t>
  </si>
  <si>
    <t>Totals</t>
  </si>
  <si>
    <t>CERN trip cost</t>
  </si>
  <si>
    <t>Domestic trip cost</t>
  </si>
  <si>
    <t>Nominal postdocs</t>
  </si>
  <si>
    <t>Initial postdocs</t>
  </si>
  <si>
    <t>GPU machine cost</t>
  </si>
  <si>
    <t>Inflation</t>
  </si>
  <si>
    <t>FTE</t>
  </si>
  <si>
    <t>Months</t>
  </si>
  <si>
    <t>Promotion to RD3 is assumed as of FY24</t>
  </si>
  <si>
    <t>PI travel</t>
  </si>
  <si>
    <t>2 trips to CERN</t>
  </si>
  <si>
    <t>0.5 FTE postdoc</t>
  </si>
  <si>
    <t>1 trip to CERN</t>
  </si>
  <si>
    <t>Travel notes:</t>
  </si>
  <si>
    <t>1.0 FTE postdoc</t>
  </si>
  <si>
    <t>1 domestic conference</t>
  </si>
  <si>
    <t>Conference talks are foreseen due to pMSSM-based search publication</t>
  </si>
  <si>
    <t>1 domestic conference (based on Geant4 results)</t>
  </si>
  <si>
    <t>1 domestic conference (Geant4 based)</t>
  </si>
  <si>
    <t>Totals over 5 years</t>
  </si>
  <si>
    <t>PI</t>
  </si>
  <si>
    <t>M&amp;S</t>
  </si>
  <si>
    <t>the 0.5 FTE will come from current ATLAS postdoc</t>
  </si>
  <si>
    <t>2 trip to CERN</t>
  </si>
  <si>
    <t>New full time postdoc hire to take over from 0.5 FTE ATLAS postdoc</t>
  </si>
  <si>
    <t>0.5 FTE ATLAS postdoc contract ends</t>
  </si>
  <si>
    <t>Year1 FTE</t>
  </si>
  <si>
    <t>Year1 Months</t>
  </si>
  <si>
    <t>Year1 Unloaded</t>
  </si>
  <si>
    <t>Year1 Overheads</t>
  </si>
  <si>
    <t>Year1 Totals</t>
  </si>
  <si>
    <t>Year2 FTE</t>
  </si>
  <si>
    <t>Year2 Months</t>
  </si>
  <si>
    <t>Year2 Unloaded</t>
  </si>
  <si>
    <t>Year2 Overheads</t>
  </si>
  <si>
    <t>Year2 Totals</t>
  </si>
  <si>
    <t>Year3 FTE</t>
  </si>
  <si>
    <t>Year3 Months</t>
  </si>
  <si>
    <t>Year3 Unloaded</t>
  </si>
  <si>
    <t>Year3 Overheads</t>
  </si>
  <si>
    <t>Year3 Totals</t>
  </si>
  <si>
    <t>Year4 FTE</t>
  </si>
  <si>
    <t>Year4 Months</t>
  </si>
  <si>
    <t>Year4 Unloaded</t>
  </si>
  <si>
    <t>Year4 Overheads</t>
  </si>
  <si>
    <t>Year4 Totals</t>
  </si>
  <si>
    <t>Year5 FTE</t>
  </si>
  <si>
    <t>Year5 Months</t>
  </si>
  <si>
    <t>Year5 Unloaded</t>
  </si>
  <si>
    <t>Year5 Overheads</t>
  </si>
  <si>
    <t>Year5 Totals</t>
  </si>
  <si>
    <t>Budget Period 1 + 2 months</t>
  </si>
  <si>
    <t>Bud 2</t>
  </si>
  <si>
    <t>2 months</t>
  </si>
  <si>
    <t>12 months</t>
  </si>
  <si>
    <t>10 months</t>
  </si>
  <si>
    <t>August start</t>
  </si>
  <si>
    <t>Year 1(21)</t>
  </si>
  <si>
    <t>Year 2(22)</t>
  </si>
  <si>
    <t>Year 3(23)</t>
  </si>
  <si>
    <t>Year 4</t>
  </si>
  <si>
    <t>Year 5</t>
  </si>
  <si>
    <t>Year 6</t>
  </si>
  <si>
    <t>Loaded</t>
  </si>
  <si>
    <t>Totals from my worksheet</t>
  </si>
  <si>
    <t>1 FTE from new postdocs</t>
  </si>
  <si>
    <t>Postdoc hired in FY21-22 contract ended</t>
  </si>
  <si>
    <t>1.5 FTE postdoc</t>
  </si>
  <si>
    <t>3 trips to CERN</t>
  </si>
  <si>
    <t>0.5 FTE of new ATLAS postdoc</t>
  </si>
  <si>
    <t>1 trips to CERN</t>
  </si>
  <si>
    <t>BP1</t>
  </si>
  <si>
    <t>BP2</t>
  </si>
  <si>
    <t>BP3</t>
  </si>
  <si>
    <t>BP4</t>
  </si>
  <si>
    <t>BP5</t>
  </si>
  <si>
    <t>0.5 FTE from postdocs that are hired six months into FY22</t>
  </si>
  <si>
    <t>2 months of FY21 is included and all of FY22 is included in BP1</t>
  </si>
  <si>
    <t>Fringe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</si>
</sst>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000%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44" fontId="0" fillId="0" borderId="0" xfId="1" applyFont="1"/>
    <xf numFmtId="4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164" fontId="0" fillId="2" borderId="3" xfId="2" applyNumberFormat="1" applyFont="1" applyFill="1" applyBorder="1"/>
    <xf numFmtId="0" fontId="2" fillId="0" borderId="0" xfId="0" applyFont="1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0" fontId="3" fillId="0" borderId="0" xfId="0" applyFont="1"/>
    <xf numFmtId="165" fontId="3" fillId="0" borderId="0" xfId="0" applyNumberFormat="1" applyFont="1"/>
    <xf numFmtId="0" fontId="2" fillId="0" borderId="4" xfId="0" applyFont="1" applyBorder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Timeline of budget (loaded)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v>PI</c:v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Lit>
              <c:ptCount val="5"/>
              <c:pt idx="0">
                <c:v>FY21</c:v>
              </c:pt>
              <c:pt idx="1">
                <c:v>FY22</c:v>
              </c:pt>
              <c:pt idx="2">
                <c:v>FY23</c:v>
              </c:pt>
              <c:pt idx="3">
                <c:v>FY24</c:v>
              </c:pt>
              <c:pt idx="4">
                <c:v>FY25</c:v>
              </c:pt>
            </c:strLit>
          </c:cat>
          <c:val>
            <c:numRef>
              <c:f>(forMe!$F$19,forMe!$M$19,forMe!$T$19,forMe!$AA$19,forMe!$AH$19)</c:f>
              <c:numCache>
                <c:formatCode>"$"#,##0.00</c:formatCode>
                <c:ptCount val="5"/>
                <c:pt idx="0">
                  <c:v>158108</c:v>
                </c:pt>
                <c:pt idx="1">
                  <c:v>124893</c:v>
                </c:pt>
                <c:pt idx="2">
                  <c:v>137283</c:v>
                </c:pt>
                <c:pt idx="3">
                  <c:v>142593</c:v>
                </c:pt>
                <c:pt idx="4">
                  <c:v>148111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84-5142-9636-8718C84DACD0}"/>
            </c:ext>
          </c:extLst>
        </c:ser>
        <c:ser>
          <c:idx val="1"/>
          <c:order val="1"/>
          <c:tx>
            <c:v>Postdoc</c:v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Lit>
              <c:ptCount val="5"/>
              <c:pt idx="0">
                <c:v>FY21</c:v>
              </c:pt>
              <c:pt idx="1">
                <c:v>FY22</c:v>
              </c:pt>
              <c:pt idx="2">
                <c:v>FY23</c:v>
              </c:pt>
              <c:pt idx="3">
                <c:v>FY24</c:v>
              </c:pt>
              <c:pt idx="4">
                <c:v>FY25</c:v>
              </c:pt>
            </c:strLit>
          </c:cat>
          <c:val>
            <c:numRef>
              <c:f>(forMe!$F$20,forMe!$M$20,forMe!$T$20,forMe!$AA$20,forMe!$AH$20)</c:f>
              <c:numCache>
                <c:formatCode>"$"#,##0.00</c:formatCode>
                <c:ptCount val="5"/>
                <c:pt idx="0">
                  <c:v>98791</c:v>
                </c:pt>
                <c:pt idx="1">
                  <c:v>158892</c:v>
                </c:pt>
                <c:pt idx="2">
                  <c:v>248320</c:v>
                </c:pt>
                <c:pt idx="3">
                  <c:v>206986</c:v>
                </c:pt>
                <c:pt idx="4">
                  <c:v>134811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84-5142-9636-8718C84DACD0}"/>
            </c:ext>
          </c:extLst>
        </c:ser>
        <c:ser>
          <c:idx val="2"/>
          <c:order val="2"/>
          <c:tx>
            <c:v>Material</c:v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Lit>
              <c:ptCount val="5"/>
              <c:pt idx="0">
                <c:v>FY21</c:v>
              </c:pt>
              <c:pt idx="1">
                <c:v>FY22</c:v>
              </c:pt>
              <c:pt idx="2">
                <c:v>FY23</c:v>
              </c:pt>
              <c:pt idx="3">
                <c:v>FY24</c:v>
              </c:pt>
              <c:pt idx="4">
                <c:v>FY25</c:v>
              </c:pt>
            </c:strLit>
          </c:cat>
          <c:val>
            <c:numRef>
              <c:f>(forMe!$F$21,forMe!$M$21,forMe!$T$21,forMe!$AA$21,forMe!$AH$21)</c:f>
              <c:numCache>
                <c:formatCode>"$"#,##0.00</c:formatCode>
                <c:ptCount val="5"/>
                <c:pt idx="0">
                  <c:v>25462.773000000001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84-5142-9636-8718C84DACD0}"/>
            </c:ext>
          </c:extLst>
        </c:ser>
        <c:ser>
          <c:idx val="3"/>
          <c:order val="3"/>
          <c:tx>
            <c:v>Travel</c:v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Lit>
              <c:ptCount val="5"/>
              <c:pt idx="0">
                <c:v>FY21</c:v>
              </c:pt>
              <c:pt idx="1">
                <c:v>FY22</c:v>
              </c:pt>
              <c:pt idx="2">
                <c:v>FY23</c:v>
              </c:pt>
              <c:pt idx="3">
                <c:v>FY24</c:v>
              </c:pt>
              <c:pt idx="4">
                <c:v>FY25</c:v>
              </c:pt>
            </c:strLit>
          </c:cat>
          <c:val>
            <c:numRef>
              <c:f>(forMe!$F$22,forMe!$M$22,forMe!$T$22,forMe!$AA$22,forMe!$AH$22)</c:f>
              <c:numCache>
                <c:formatCode>"$"#,##0.00</c:formatCode>
                <c:ptCount val="5"/>
                <c:pt idx="0">
                  <c:v>7275.0779999999995</c:v>
                </c:pt>
                <c:pt idx="1">
                  <c:v>21825.234</c:v>
                </c:pt>
                <c:pt idx="2">
                  <c:v>27281.5425</c:v>
                </c:pt>
                <c:pt idx="3">
                  <c:v>25462.773000000001</c:v>
                </c:pt>
                <c:pt idx="4">
                  <c:v>16500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384-5142-9636-8718C84DAC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964944"/>
        <c:axId val="57972640"/>
      </c:areaChart>
      <c:catAx>
        <c:axId val="566964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72640"/>
        <c:crosses val="autoZero"/>
        <c:auto val="1"/>
        <c:lblAlgn val="ctr"/>
        <c:lblOffset val="100"/>
        <c:noMultiLvlLbl val="0"/>
      </c:catAx>
      <c:valAx>
        <c:axId val="5797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964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482598</xdr:colOff>
      <xdr:row>32</xdr:row>
      <xdr:rowOff>122767</xdr:rowOff>
    </xdr:from>
    <xdr:to>
      <xdr:col>13</xdr:col>
      <xdr:colOff>211666</xdr:colOff>
      <xdr:row>55</xdr:row>
      <xdr:rowOff>118534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1473F2-A062-934B-AA5F-9FC3A895C2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27E3A-FCCE-4651-9757-0AAA140CCF2F}">
  <dimension ref="A3:AH40"/>
  <sheetViews>
    <sheetView tabSelected="1" topLeftCell="A11" zoomScale="150" zoomScaleNormal="150" workbookViewId="0">
      <selection activeCell="E21" sqref="E21"/>
    </sheetView>
  </sheetViews>
  <sheetFormatPr baseColWidth="10" defaultColWidth="8.83203125" defaultRowHeight="15" x14ac:dyDescent="0.2"/>
  <cols>
    <col min="1" max="1" width="17.1640625" customWidth="1"/>
    <col min="2" max="2" width="13.33203125" customWidth="1"/>
    <col min="3" max="3" width="9.5" customWidth="1"/>
    <col min="4" max="4" width="12.6640625" bestFit="1" customWidth="1"/>
    <col min="5" max="5" width="11" customWidth="1"/>
    <col min="6" max="6" width="12.1640625" bestFit="1" customWidth="1"/>
    <col min="8" max="8" width="13.83203125" customWidth="1"/>
    <col min="9" max="9" width="13.33203125" customWidth="1"/>
    <col min="10" max="12" width="12.1640625" bestFit="1" customWidth="1"/>
    <col min="13" max="13" width="14.6640625" bestFit="1" customWidth="1"/>
    <col min="14" max="14" width="11.1640625" bestFit="1" customWidth="1"/>
    <col min="15" max="15" width="14.6640625" customWidth="1"/>
    <col min="16" max="16" width="14" customWidth="1"/>
    <col min="18" max="21" width="11.1640625" bestFit="1" customWidth="1"/>
    <col min="22" max="22" width="16.33203125" customWidth="1"/>
    <col min="23" max="23" width="14.83203125" customWidth="1"/>
    <col min="24" max="27" width="11.1640625" bestFit="1" customWidth="1"/>
    <col min="29" max="29" width="16.33203125" customWidth="1"/>
    <col min="30" max="30" width="15" customWidth="1"/>
    <col min="32" max="34" width="11.1640625" bestFit="1" customWidth="1"/>
  </cols>
  <sheetData>
    <row r="3" spans="1:13" x14ac:dyDescent="0.2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4</v>
      </c>
      <c r="K3" t="s">
        <v>6</v>
      </c>
      <c r="L3" t="s">
        <v>7</v>
      </c>
      <c r="M3" t="s">
        <v>8</v>
      </c>
    </row>
    <row r="4" spans="1:13" x14ac:dyDescent="0.2">
      <c r="C4" t="s">
        <v>9</v>
      </c>
      <c r="D4">
        <v>14</v>
      </c>
      <c r="E4">
        <v>78.849999999999994</v>
      </c>
      <c r="F4">
        <f>E4*0.275</f>
        <v>21.68375</v>
      </c>
      <c r="G4">
        <f>23</f>
        <v>23</v>
      </c>
      <c r="H4" s="1">
        <f>SUM(E4:G4)</f>
        <v>123.53375</v>
      </c>
      <c r="I4">
        <f>2096*(1-0.135)</f>
        <v>1813.04</v>
      </c>
      <c r="J4" s="2">
        <f>H4*I4</f>
        <v>223971.63009999998</v>
      </c>
      <c r="K4" s="2">
        <f>J4*0.522135</f>
        <v>116943.42708226349</v>
      </c>
      <c r="L4" s="2">
        <f>SUM(J4:K4)</f>
        <v>340915.05718226347</v>
      </c>
      <c r="M4" s="2">
        <f>L4/I4</f>
        <v>188.03504455624997</v>
      </c>
    </row>
    <row r="5" spans="1:13" x14ac:dyDescent="0.2">
      <c r="C5" t="s">
        <v>10</v>
      </c>
      <c r="D5">
        <v>15</v>
      </c>
      <c r="E5">
        <v>87.9</v>
      </c>
      <c r="F5">
        <f>E5*0.275</f>
        <v>24.172500000000003</v>
      </c>
      <c r="G5">
        <f>23</f>
        <v>23</v>
      </c>
      <c r="H5" s="1">
        <f>SUM(E5:G5)</f>
        <v>135.07249999999999</v>
      </c>
      <c r="I5">
        <f>2096*(1-0.135)</f>
        <v>1813.04</v>
      </c>
      <c r="J5" s="2">
        <f>H5*I5</f>
        <v>244891.84539999999</v>
      </c>
      <c r="K5" s="2">
        <f>J5*0.522135</f>
        <v>127866.60369792899</v>
      </c>
      <c r="L5" s="2">
        <f>SUM(J5:K5)</f>
        <v>372758.449097929</v>
      </c>
      <c r="M5" s="2">
        <f>L5/I5</f>
        <v>205.5985797875</v>
      </c>
    </row>
    <row r="6" spans="1:13" x14ac:dyDescent="0.2">
      <c r="C6" t="s">
        <v>11</v>
      </c>
      <c r="D6">
        <v>41</v>
      </c>
      <c r="E6">
        <v>45.95</v>
      </c>
      <c r="F6">
        <v>0</v>
      </c>
      <c r="G6">
        <v>0</v>
      </c>
      <c r="H6" s="1">
        <f>SUM(E6:G6)</f>
        <v>45.95</v>
      </c>
      <c r="I6">
        <f>2096*(1-0.085)</f>
        <v>1917.8400000000001</v>
      </c>
      <c r="J6" s="2">
        <f>H6*I6</f>
        <v>88124.748000000007</v>
      </c>
      <c r="K6" s="2">
        <f>J6*0.522135</f>
        <v>46013.015296980004</v>
      </c>
      <c r="L6" s="2">
        <f>SUM(J6:K6)</f>
        <v>134137.76329698</v>
      </c>
      <c r="M6" s="2">
        <f>L6/I6</f>
        <v>69.942103250000002</v>
      </c>
    </row>
    <row r="7" spans="1:13" ht="16" thickBot="1" x14ac:dyDescent="0.25"/>
    <row r="8" spans="1:13" ht="16" thickBot="1" x14ac:dyDescent="0.25">
      <c r="A8" s="3" t="s">
        <v>12</v>
      </c>
      <c r="B8" s="4"/>
      <c r="C8" s="4"/>
      <c r="D8" s="4"/>
      <c r="E8" s="4"/>
      <c r="F8" s="5">
        <v>0.21251300000000001</v>
      </c>
      <c r="H8" t="s">
        <v>22</v>
      </c>
      <c r="I8">
        <v>1.042</v>
      </c>
    </row>
    <row r="10" spans="1:13" x14ac:dyDescent="0.2">
      <c r="A10" t="s">
        <v>17</v>
      </c>
      <c r="D10" s="7">
        <v>3000</v>
      </c>
    </row>
    <row r="11" spans="1:13" x14ac:dyDescent="0.2">
      <c r="A11" t="s">
        <v>18</v>
      </c>
      <c r="D11" s="7">
        <v>1500</v>
      </c>
    </row>
    <row r="12" spans="1:13" x14ac:dyDescent="0.2">
      <c r="D12" s="9"/>
    </row>
    <row r="13" spans="1:13" x14ac:dyDescent="0.2">
      <c r="A13" t="s">
        <v>19</v>
      </c>
      <c r="D13">
        <v>1.5</v>
      </c>
    </row>
    <row r="14" spans="1:13" x14ac:dyDescent="0.2">
      <c r="A14" t="s">
        <v>20</v>
      </c>
      <c r="D14">
        <v>0.5</v>
      </c>
    </row>
    <row r="15" spans="1:13" x14ac:dyDescent="0.2">
      <c r="A15" t="s">
        <v>21</v>
      </c>
      <c r="D15" s="7">
        <v>20000</v>
      </c>
    </row>
    <row r="17" spans="1:34" x14ac:dyDescent="0.2">
      <c r="D17" s="6" t="s">
        <v>88</v>
      </c>
      <c r="K17" s="6" t="s">
        <v>89</v>
      </c>
      <c r="R17" s="6" t="s">
        <v>90</v>
      </c>
      <c r="Y17" s="6" t="s">
        <v>91</v>
      </c>
      <c r="AF17" s="6" t="s">
        <v>92</v>
      </c>
    </row>
    <row r="18" spans="1:34" x14ac:dyDescent="0.2">
      <c r="B18" s="6" t="s">
        <v>23</v>
      </c>
      <c r="C18" s="6" t="s">
        <v>24</v>
      </c>
      <c r="D18" s="6" t="s">
        <v>15</v>
      </c>
      <c r="E18" s="6" t="s">
        <v>95</v>
      </c>
      <c r="F18" s="6" t="s">
        <v>16</v>
      </c>
      <c r="I18" s="6" t="s">
        <v>23</v>
      </c>
      <c r="J18" s="6" t="s">
        <v>24</v>
      </c>
      <c r="K18" s="6" t="s">
        <v>15</v>
      </c>
      <c r="L18" s="6" t="s">
        <v>95</v>
      </c>
      <c r="M18" s="6" t="s">
        <v>16</v>
      </c>
      <c r="N18" s="6"/>
      <c r="P18" s="6" t="s">
        <v>23</v>
      </c>
      <c r="Q18" s="6" t="s">
        <v>24</v>
      </c>
      <c r="R18" s="6" t="s">
        <v>15</v>
      </c>
      <c r="S18" s="6" t="s">
        <v>95</v>
      </c>
      <c r="T18" s="6" t="s">
        <v>16</v>
      </c>
      <c r="U18" s="6"/>
      <c r="W18" s="6" t="s">
        <v>23</v>
      </c>
      <c r="X18" s="6" t="s">
        <v>24</v>
      </c>
      <c r="Y18" s="6" t="s">
        <v>15</v>
      </c>
      <c r="Z18" s="6" t="s">
        <v>95</v>
      </c>
      <c r="AA18" s="6" t="s">
        <v>16</v>
      </c>
      <c r="AD18" s="6" t="s">
        <v>23</v>
      </c>
      <c r="AE18" s="6" t="s">
        <v>24</v>
      </c>
      <c r="AF18" s="6" t="s">
        <v>15</v>
      </c>
      <c r="AG18" s="6" t="s">
        <v>95</v>
      </c>
      <c r="AH18" s="6" t="s">
        <v>16</v>
      </c>
    </row>
    <row r="19" spans="1:34" x14ac:dyDescent="0.2">
      <c r="A19" t="s">
        <v>37</v>
      </c>
      <c r="B19">
        <f>8.2/12</f>
        <v>0.68333333333333324</v>
      </c>
      <c r="C19">
        <f>B19*12</f>
        <v>8.1999999999999993</v>
      </c>
      <c r="D19" s="7">
        <v>121622</v>
      </c>
      <c r="E19" s="7">
        <v>36486</v>
      </c>
      <c r="F19" s="7">
        <f>SUM(D19:E19)</f>
        <v>158108</v>
      </c>
      <c r="H19" t="s">
        <v>37</v>
      </c>
      <c r="I19">
        <f>6.2/12</f>
        <v>0.51666666666666672</v>
      </c>
      <c r="J19">
        <f>I19*12</f>
        <v>6.2000000000000011</v>
      </c>
      <c r="K19" s="7">
        <v>96072</v>
      </c>
      <c r="L19" s="7">
        <v>28821</v>
      </c>
      <c r="M19" s="7">
        <f>SUM(K19:L19)</f>
        <v>124893</v>
      </c>
      <c r="N19" s="7"/>
      <c r="O19" t="s">
        <v>37</v>
      </c>
      <c r="P19">
        <v>0.5</v>
      </c>
      <c r="Q19">
        <f>P19*12</f>
        <v>6</v>
      </c>
      <c r="R19" s="7">
        <v>105602</v>
      </c>
      <c r="S19" s="7">
        <v>31681</v>
      </c>
      <c r="T19" s="7">
        <f>SUM(R19:S19)</f>
        <v>137283</v>
      </c>
      <c r="U19" s="7"/>
      <c r="V19" t="s">
        <v>37</v>
      </c>
      <c r="W19">
        <v>0.5</v>
      </c>
      <c r="X19">
        <f>W19*12</f>
        <v>6</v>
      </c>
      <c r="Y19" s="7">
        <v>109687</v>
      </c>
      <c r="Z19" s="7">
        <v>32906</v>
      </c>
      <c r="AA19" s="7">
        <f>SUM(Y19:Z19)</f>
        <v>142593</v>
      </c>
      <c r="AC19" t="s">
        <v>37</v>
      </c>
      <c r="AD19">
        <v>0.5</v>
      </c>
      <c r="AE19">
        <f>AD19*12</f>
        <v>6</v>
      </c>
      <c r="AF19" s="7">
        <v>113932</v>
      </c>
      <c r="AG19" s="7">
        <v>34179</v>
      </c>
      <c r="AH19" s="7">
        <f>SUM(AF19:AG19)</f>
        <v>148111</v>
      </c>
    </row>
    <row r="20" spans="1:34" x14ac:dyDescent="0.2">
      <c r="A20" t="s">
        <v>13</v>
      </c>
      <c r="B20">
        <f>13/12</f>
        <v>1.0833333333333333</v>
      </c>
      <c r="C20">
        <f>B20*12</f>
        <v>13</v>
      </c>
      <c r="D20" s="7">
        <v>75993</v>
      </c>
      <c r="E20" s="7">
        <v>22798</v>
      </c>
      <c r="F20" s="7">
        <f>SUM(D20:E20)</f>
        <v>98791</v>
      </c>
      <c r="H20" t="s">
        <v>13</v>
      </c>
      <c r="I20">
        <f>J20/12</f>
        <v>1.6666666666666667</v>
      </c>
      <c r="J20">
        <v>20</v>
      </c>
      <c r="K20" s="7">
        <v>122225</v>
      </c>
      <c r="L20" s="7">
        <v>36667</v>
      </c>
      <c r="M20" s="7">
        <f>SUM(K20:L20)</f>
        <v>158892</v>
      </c>
      <c r="N20" s="7"/>
      <c r="O20" t="s">
        <v>13</v>
      </c>
      <c r="P20">
        <v>2.5</v>
      </c>
      <c r="Q20">
        <f>P20*12</f>
        <v>30</v>
      </c>
      <c r="R20" s="7">
        <v>191015</v>
      </c>
      <c r="S20" s="7">
        <v>57305</v>
      </c>
      <c r="T20" s="7">
        <f>SUM(R20:S20)</f>
        <v>248320</v>
      </c>
      <c r="U20" s="7"/>
      <c r="V20" t="s">
        <v>13</v>
      </c>
      <c r="W20">
        <f>X20/12</f>
        <v>2</v>
      </c>
      <c r="X20">
        <v>24</v>
      </c>
      <c r="Y20" s="7">
        <v>159220</v>
      </c>
      <c r="Z20" s="7">
        <v>47766</v>
      </c>
      <c r="AA20" s="7">
        <f>SUM(Y20:Z20)</f>
        <v>206986</v>
      </c>
      <c r="AC20" t="s">
        <v>13</v>
      </c>
      <c r="AD20">
        <f>AE20/12</f>
        <v>1.25</v>
      </c>
      <c r="AE20">
        <v>15</v>
      </c>
      <c r="AF20" s="7">
        <v>103701</v>
      </c>
      <c r="AG20" s="7">
        <v>31110</v>
      </c>
      <c r="AH20" s="7">
        <f>SUM(AF20:AG20)</f>
        <v>134811</v>
      </c>
    </row>
    <row r="21" spans="1:34" x14ac:dyDescent="0.2">
      <c r="A21" t="s">
        <v>38</v>
      </c>
      <c r="D21" s="7">
        <v>21000</v>
      </c>
      <c r="E21" s="7">
        <f>D21*forMe!$F$8</f>
        <v>4462.7730000000001</v>
      </c>
      <c r="F21" s="7">
        <f>SUM(D21:E21)</f>
        <v>25462.773000000001</v>
      </c>
      <c r="H21" t="s">
        <v>38</v>
      </c>
      <c r="K21" s="7">
        <v>0</v>
      </c>
      <c r="L21" s="7">
        <f>K21*$F$8</f>
        <v>0</v>
      </c>
      <c r="M21" s="7">
        <f>SUM(K21:L21)</f>
        <v>0</v>
      </c>
      <c r="N21" s="7"/>
      <c r="O21" t="s">
        <v>38</v>
      </c>
      <c r="R21" s="7">
        <v>0</v>
      </c>
      <c r="S21" s="7">
        <f>R21*$F$8</f>
        <v>0</v>
      </c>
      <c r="T21" s="7">
        <f>SUM(R21:S21)</f>
        <v>0</v>
      </c>
      <c r="U21" s="7"/>
      <c r="V21" t="s">
        <v>38</v>
      </c>
      <c r="Y21" s="7">
        <v>0</v>
      </c>
      <c r="Z21" s="7">
        <f>Y21*$F$8</f>
        <v>0</v>
      </c>
      <c r="AA21" s="7">
        <f>SUM(Y21:Z21)</f>
        <v>0</v>
      </c>
      <c r="AC21" t="s">
        <v>38</v>
      </c>
      <c r="AF21" s="7">
        <v>0</v>
      </c>
      <c r="AG21" s="7">
        <f>AF21*$F$8</f>
        <v>0</v>
      </c>
      <c r="AH21" s="7">
        <f>SUM(AF21:AG21)</f>
        <v>0</v>
      </c>
    </row>
    <row r="22" spans="1:34" x14ac:dyDescent="0.2">
      <c r="A22" t="s">
        <v>14</v>
      </c>
      <c r="D22" s="7">
        <v>6000</v>
      </c>
      <c r="E22" s="7">
        <f>D22*forMe!$F$8</f>
        <v>1275.078</v>
      </c>
      <c r="F22" s="7">
        <f>SUM(D22:E22)</f>
        <v>7275.0779999999995</v>
      </c>
      <c r="H22" t="s">
        <v>14</v>
      </c>
      <c r="K22" s="7">
        <v>18000</v>
      </c>
      <c r="L22" s="7">
        <f>K22*$F$8</f>
        <v>3825.2339999999999</v>
      </c>
      <c r="M22" s="7">
        <f>SUM(K22:L22)</f>
        <v>21825.234</v>
      </c>
      <c r="N22" s="7"/>
      <c r="O22" t="s">
        <v>14</v>
      </c>
      <c r="R22" s="7">
        <v>22500</v>
      </c>
      <c r="S22" s="7">
        <f>R22*$F$8</f>
        <v>4781.5425000000005</v>
      </c>
      <c r="T22" s="7">
        <f>SUM(R22:S22)</f>
        <v>27281.5425</v>
      </c>
      <c r="U22" s="7"/>
      <c r="V22" t="s">
        <v>14</v>
      </c>
      <c r="Y22" s="7">
        <v>21000</v>
      </c>
      <c r="Z22" s="7">
        <f>Y22*$F$8</f>
        <v>4462.7730000000001</v>
      </c>
      <c r="AA22" s="7">
        <f>SUM(Y22:Z22)</f>
        <v>25462.773000000001</v>
      </c>
      <c r="AC22" t="s">
        <v>14</v>
      </c>
      <c r="AF22" s="7">
        <v>16500</v>
      </c>
      <c r="AG22" s="7">
        <v>0</v>
      </c>
      <c r="AH22" s="7">
        <f>SUM(AF22:AG22)</f>
        <v>16500</v>
      </c>
    </row>
    <row r="24" spans="1:34" x14ac:dyDescent="0.2">
      <c r="A24" t="s">
        <v>16</v>
      </c>
      <c r="B24">
        <f>SUM(B19:B20)</f>
        <v>1.7666666666666666</v>
      </c>
      <c r="C24">
        <f>SUM(C19:C20)</f>
        <v>21.2</v>
      </c>
      <c r="D24" s="7">
        <f>SUM(D19:D22)</f>
        <v>224615</v>
      </c>
      <c r="E24" s="7">
        <f>SUM(E19:E22)</f>
        <v>65021.851000000002</v>
      </c>
      <c r="F24" s="7">
        <f>SUM(F19:F22)</f>
        <v>289636.85099999997</v>
      </c>
      <c r="H24" t="s">
        <v>16</v>
      </c>
      <c r="I24">
        <f>SUM(I19:I20)</f>
        <v>2.1833333333333336</v>
      </c>
      <c r="J24">
        <f>SUM(J19:J20)</f>
        <v>26.200000000000003</v>
      </c>
      <c r="K24" s="7">
        <f>SUM(K19:K22)</f>
        <v>236297</v>
      </c>
      <c r="L24" s="7">
        <f>SUM(L19:L22)</f>
        <v>69313.233999999997</v>
      </c>
      <c r="M24" s="7">
        <f>SUM(M19:M22)</f>
        <v>305610.234</v>
      </c>
      <c r="N24" s="7"/>
      <c r="O24" t="s">
        <v>16</v>
      </c>
      <c r="P24">
        <f>SUM(P19:P20)</f>
        <v>3</v>
      </c>
      <c r="Q24">
        <f>SUM(Q19:Q20)</f>
        <v>36</v>
      </c>
      <c r="R24" s="7">
        <f>SUM(R19:R22)</f>
        <v>319117</v>
      </c>
      <c r="S24" s="7">
        <f>SUM(S19:S22)</f>
        <v>93767.542499999996</v>
      </c>
      <c r="T24" s="7">
        <f>SUM(T19:T22)</f>
        <v>412884.54249999998</v>
      </c>
      <c r="U24" s="7"/>
      <c r="V24" t="s">
        <v>16</v>
      </c>
      <c r="W24">
        <f>SUM(W19:W20)</f>
        <v>2.5</v>
      </c>
      <c r="X24">
        <f>SUM(X19:X20)</f>
        <v>30</v>
      </c>
      <c r="Y24" s="7">
        <f>SUM(Y19:Y22)</f>
        <v>289907</v>
      </c>
      <c r="Z24" s="7">
        <f>SUM(Z19:Z22)</f>
        <v>85134.773000000001</v>
      </c>
      <c r="AA24" s="7">
        <f>SUM(AA19:AA22)</f>
        <v>375041.77299999999</v>
      </c>
      <c r="AC24" t="s">
        <v>16</v>
      </c>
      <c r="AD24">
        <f>SUM(AD19:AD20)</f>
        <v>1.75</v>
      </c>
      <c r="AE24">
        <f>SUM(AE19:AE20)</f>
        <v>21</v>
      </c>
      <c r="AF24" s="7">
        <f>SUM(AF19:AF22)</f>
        <v>234133</v>
      </c>
      <c r="AG24" s="7">
        <f>SUM(AG19:AG22)</f>
        <v>65289</v>
      </c>
      <c r="AH24" s="7">
        <f>SUM(AH19:AH22)</f>
        <v>299422</v>
      </c>
    </row>
    <row r="26" spans="1:34" x14ac:dyDescent="0.2">
      <c r="A26" t="s">
        <v>30</v>
      </c>
      <c r="H26" t="s">
        <v>30</v>
      </c>
      <c r="O26" t="s">
        <v>30</v>
      </c>
      <c r="V26" t="s">
        <v>30</v>
      </c>
      <c r="AC26" t="s">
        <v>30</v>
      </c>
    </row>
    <row r="27" spans="1:34" x14ac:dyDescent="0.2">
      <c r="A27" t="s">
        <v>26</v>
      </c>
      <c r="B27" t="s">
        <v>87</v>
      </c>
      <c r="H27" t="s">
        <v>26</v>
      </c>
      <c r="I27" t="s">
        <v>27</v>
      </c>
      <c r="J27" t="s">
        <v>34</v>
      </c>
      <c r="O27" t="s">
        <v>26</v>
      </c>
      <c r="P27" t="s">
        <v>27</v>
      </c>
      <c r="Q27" t="s">
        <v>32</v>
      </c>
      <c r="V27" t="s">
        <v>26</v>
      </c>
      <c r="W27" t="s">
        <v>27</v>
      </c>
      <c r="AC27" t="s">
        <v>26</v>
      </c>
      <c r="AD27" t="s">
        <v>87</v>
      </c>
      <c r="AE27" t="s">
        <v>32</v>
      </c>
    </row>
    <row r="28" spans="1:34" x14ac:dyDescent="0.2">
      <c r="A28" t="s">
        <v>28</v>
      </c>
      <c r="B28" t="s">
        <v>29</v>
      </c>
      <c r="H28" t="s">
        <v>84</v>
      </c>
      <c r="I28" t="s">
        <v>85</v>
      </c>
      <c r="J28" t="s">
        <v>34</v>
      </c>
      <c r="O28" t="s">
        <v>31</v>
      </c>
      <c r="P28" t="s">
        <v>40</v>
      </c>
      <c r="Q28" t="s">
        <v>35</v>
      </c>
      <c r="V28" t="s">
        <v>31</v>
      </c>
      <c r="W28" t="s">
        <v>27</v>
      </c>
      <c r="AC28" t="s">
        <v>31</v>
      </c>
      <c r="AD28" t="s">
        <v>40</v>
      </c>
      <c r="AE28" t="s">
        <v>35</v>
      </c>
    </row>
    <row r="29" spans="1:34" x14ac:dyDescent="0.2">
      <c r="A29" t="s">
        <v>94</v>
      </c>
      <c r="H29" t="s">
        <v>39</v>
      </c>
      <c r="O29" t="s">
        <v>31</v>
      </c>
      <c r="P29" t="s">
        <v>27</v>
      </c>
      <c r="Q29" t="s">
        <v>32</v>
      </c>
      <c r="V29" t="s">
        <v>31</v>
      </c>
      <c r="W29" t="s">
        <v>27</v>
      </c>
      <c r="AC29" t="s">
        <v>28</v>
      </c>
      <c r="AD29" t="s">
        <v>29</v>
      </c>
      <c r="AE29" t="s">
        <v>35</v>
      </c>
    </row>
    <row r="30" spans="1:34" x14ac:dyDescent="0.2">
      <c r="A30" t="s">
        <v>39</v>
      </c>
      <c r="H30" t="s">
        <v>82</v>
      </c>
      <c r="O30" t="s">
        <v>33</v>
      </c>
      <c r="V30" t="s">
        <v>86</v>
      </c>
      <c r="W30" t="s">
        <v>29</v>
      </c>
      <c r="AC30" t="s">
        <v>83</v>
      </c>
    </row>
    <row r="31" spans="1:34" x14ac:dyDescent="0.2">
      <c r="A31" t="s">
        <v>93</v>
      </c>
      <c r="O31" t="s">
        <v>41</v>
      </c>
      <c r="V31" t="s">
        <v>25</v>
      </c>
    </row>
    <row r="32" spans="1:34" x14ac:dyDescent="0.2">
      <c r="A32" s="6" t="s">
        <v>36</v>
      </c>
      <c r="O32" t="s">
        <v>42</v>
      </c>
    </row>
    <row r="33" spans="1:15" x14ac:dyDescent="0.2">
      <c r="O33" t="s">
        <v>86</v>
      </c>
    </row>
    <row r="34" spans="1:15" x14ac:dyDescent="0.2">
      <c r="A34" t="s">
        <v>37</v>
      </c>
      <c r="B34" s="8">
        <f t="shared" ref="B34:F35" si="0">B19+I19+P19+W19+AD19</f>
        <v>2.7</v>
      </c>
      <c r="C34" s="8">
        <f t="shared" si="0"/>
        <v>32.4</v>
      </c>
      <c r="D34" s="7">
        <f t="shared" si="0"/>
        <v>546915</v>
      </c>
      <c r="E34" s="7">
        <f t="shared" si="0"/>
        <v>164073</v>
      </c>
      <c r="F34" s="7">
        <f t="shared" si="0"/>
        <v>710988</v>
      </c>
    </row>
    <row r="35" spans="1:15" x14ac:dyDescent="0.2">
      <c r="A35" t="s">
        <v>13</v>
      </c>
      <c r="B35" s="8">
        <f t="shared" si="0"/>
        <v>8.5</v>
      </c>
      <c r="C35" s="8">
        <f t="shared" si="0"/>
        <v>102</v>
      </c>
      <c r="D35" s="7">
        <f t="shared" si="0"/>
        <v>652154</v>
      </c>
      <c r="E35" s="7">
        <f t="shared" si="0"/>
        <v>195646</v>
      </c>
      <c r="F35" s="7">
        <f t="shared" si="0"/>
        <v>847800</v>
      </c>
    </row>
    <row r="36" spans="1:15" x14ac:dyDescent="0.2">
      <c r="A36" t="s">
        <v>38</v>
      </c>
      <c r="B36" s="8"/>
      <c r="C36" s="8"/>
      <c r="D36" s="7">
        <f t="shared" ref="D36:F37" si="1">D21+K21+R21+Y21+AF21</f>
        <v>21000</v>
      </c>
      <c r="E36" s="7">
        <f t="shared" si="1"/>
        <v>4462.7730000000001</v>
      </c>
      <c r="F36" s="7">
        <f t="shared" si="1"/>
        <v>25462.773000000001</v>
      </c>
    </row>
    <row r="37" spans="1:15" x14ac:dyDescent="0.2">
      <c r="A37" t="s">
        <v>14</v>
      </c>
      <c r="B37" s="8"/>
      <c r="C37" s="8"/>
      <c r="D37" s="7">
        <f t="shared" si="1"/>
        <v>84000</v>
      </c>
      <c r="E37" s="7">
        <f t="shared" si="1"/>
        <v>14344.627500000002</v>
      </c>
      <c r="F37" s="7">
        <f t="shared" si="1"/>
        <v>98344.627500000002</v>
      </c>
    </row>
    <row r="38" spans="1:15" x14ac:dyDescent="0.2">
      <c r="B38" s="8"/>
      <c r="C38" s="8"/>
      <c r="D38" s="7"/>
      <c r="E38" s="7"/>
    </row>
    <row r="39" spans="1:15" x14ac:dyDescent="0.2">
      <c r="A39" t="s">
        <v>7</v>
      </c>
      <c r="B39" s="8">
        <f>SUM(B34:B37)</f>
        <v>11.2</v>
      </c>
      <c r="C39" s="8">
        <f>SUM(C34:C37)</f>
        <v>134.4</v>
      </c>
      <c r="D39" s="7">
        <f>SUM(D34:D37)</f>
        <v>1304069</v>
      </c>
      <c r="E39" s="7">
        <f>SUM(E34:E37)</f>
        <v>378526.40049999999</v>
      </c>
      <c r="F39" s="7">
        <f>SUM(F34:F37)</f>
        <v>1682595.4005</v>
      </c>
    </row>
    <row r="40" spans="1:15" x14ac:dyDescent="0.2">
      <c r="B40" s="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DF7DF-B4F3-1E4E-8C82-FF4F83A98371}">
  <dimension ref="A1:AH11"/>
  <sheetViews>
    <sheetView topLeftCell="B1" zoomScale="150" zoomScaleNormal="150" workbookViewId="0">
      <selection activeCell="E2" sqref="E2"/>
    </sheetView>
  </sheetViews>
  <sheetFormatPr baseColWidth="10" defaultRowHeight="15" x14ac:dyDescent="0.2"/>
  <cols>
    <col min="4" max="4" width="11.1640625" bestFit="1" customWidth="1"/>
    <col min="6" max="6" width="11.1640625" bestFit="1" customWidth="1"/>
  </cols>
  <sheetData>
    <row r="1" spans="1:34" x14ac:dyDescent="0.2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</row>
    <row r="2" spans="1:34" x14ac:dyDescent="0.2">
      <c r="A2" s="10">
        <f>forMe!B19</f>
        <v>0.68333333333333324</v>
      </c>
      <c r="B2" s="10">
        <f>forMe!C19</f>
        <v>8.1999999999999993</v>
      </c>
      <c r="C2" s="11">
        <f>forMe!D19</f>
        <v>121622</v>
      </c>
      <c r="D2" s="11">
        <f>forMe!E19</f>
        <v>36486</v>
      </c>
      <c r="E2" s="11">
        <f>forMe!F19</f>
        <v>158108</v>
      </c>
      <c r="F2">
        <f>forMe!I19</f>
        <v>0.51666666666666672</v>
      </c>
      <c r="G2">
        <f>forMe!J19</f>
        <v>6.2000000000000011</v>
      </c>
      <c r="H2">
        <f>forMe!K19</f>
        <v>96072</v>
      </c>
      <c r="I2">
        <f>forMe!L19</f>
        <v>28821</v>
      </c>
      <c r="J2">
        <f>forMe!M19</f>
        <v>124893</v>
      </c>
      <c r="K2">
        <f>forMe!P19</f>
        <v>0.5</v>
      </c>
      <c r="L2">
        <f>forMe!Q19</f>
        <v>6</v>
      </c>
      <c r="M2">
        <f>forMe!R19</f>
        <v>105602</v>
      </c>
      <c r="N2">
        <f>forMe!S19</f>
        <v>31681</v>
      </c>
      <c r="O2">
        <f>forMe!T19</f>
        <v>137283</v>
      </c>
      <c r="P2">
        <f>forMe!W19</f>
        <v>0.5</v>
      </c>
      <c r="Q2">
        <f>forMe!X19</f>
        <v>6</v>
      </c>
      <c r="R2">
        <f>forMe!Y19</f>
        <v>109687</v>
      </c>
      <c r="S2">
        <f>forMe!Z19</f>
        <v>32906</v>
      </c>
      <c r="T2">
        <f>forMe!AA19</f>
        <v>142593</v>
      </c>
      <c r="U2">
        <f>forMe!AD19</f>
        <v>0.5</v>
      </c>
      <c r="V2">
        <f>forMe!AE19</f>
        <v>6</v>
      </c>
      <c r="W2">
        <f>forMe!AF19</f>
        <v>113932</v>
      </c>
      <c r="X2">
        <f>forMe!AG19</f>
        <v>34179</v>
      </c>
      <c r="Y2">
        <f>forMe!AH19</f>
        <v>148111</v>
      </c>
    </row>
    <row r="3" spans="1:34" x14ac:dyDescent="0.2">
      <c r="A3" s="10">
        <f>forMe!B20</f>
        <v>1.0833333333333333</v>
      </c>
      <c r="B3" s="10">
        <f>forMe!C20</f>
        <v>13</v>
      </c>
      <c r="C3" s="11">
        <f>forMe!D20</f>
        <v>75993</v>
      </c>
      <c r="D3" s="11">
        <f>forMe!E20</f>
        <v>22798</v>
      </c>
      <c r="E3" s="11">
        <f>forMe!F20</f>
        <v>98791</v>
      </c>
      <c r="F3">
        <f>forMe!I20</f>
        <v>1.6666666666666667</v>
      </c>
      <c r="G3">
        <f>forMe!J20</f>
        <v>20</v>
      </c>
      <c r="H3">
        <f>forMe!K20</f>
        <v>122225</v>
      </c>
      <c r="I3">
        <f>forMe!L20</f>
        <v>36667</v>
      </c>
      <c r="J3">
        <f>forMe!M20</f>
        <v>158892</v>
      </c>
      <c r="K3">
        <f>forMe!P20</f>
        <v>2.5</v>
      </c>
      <c r="L3">
        <f>forMe!Q20</f>
        <v>30</v>
      </c>
      <c r="M3">
        <f>forMe!R20</f>
        <v>191015</v>
      </c>
      <c r="N3">
        <f>forMe!S20</f>
        <v>57305</v>
      </c>
      <c r="O3">
        <f>forMe!T20</f>
        <v>248320</v>
      </c>
      <c r="P3">
        <f>forMe!W20</f>
        <v>2</v>
      </c>
      <c r="Q3">
        <f>forMe!X20</f>
        <v>24</v>
      </c>
      <c r="R3">
        <f>forMe!Y20</f>
        <v>159220</v>
      </c>
      <c r="S3">
        <f>forMe!Z20</f>
        <v>47766</v>
      </c>
      <c r="T3">
        <f>forMe!AA20</f>
        <v>206986</v>
      </c>
      <c r="U3">
        <f>forMe!AD20</f>
        <v>1.25</v>
      </c>
      <c r="V3">
        <f>forMe!AE20</f>
        <v>15</v>
      </c>
      <c r="W3">
        <f>forMe!AF20</f>
        <v>103701</v>
      </c>
      <c r="X3">
        <f>forMe!AG20</f>
        <v>31110</v>
      </c>
      <c r="Y3">
        <f>forMe!AH20</f>
        <v>134811</v>
      </c>
    </row>
    <row r="4" spans="1:34" x14ac:dyDescent="0.2">
      <c r="A4" s="10">
        <f>forMe!B21</f>
        <v>0</v>
      </c>
      <c r="B4" s="10">
        <f>forMe!C21</f>
        <v>0</v>
      </c>
      <c r="C4" s="11">
        <f>forMe!D21</f>
        <v>21000</v>
      </c>
      <c r="D4" s="11">
        <f>forMe!E21</f>
        <v>4462.7730000000001</v>
      </c>
      <c r="E4" s="11">
        <f>forMe!F21</f>
        <v>25462.773000000001</v>
      </c>
      <c r="F4">
        <f>forMe!I21</f>
        <v>0</v>
      </c>
      <c r="G4">
        <f>forMe!J21</f>
        <v>0</v>
      </c>
      <c r="H4">
        <f>forMe!K21</f>
        <v>0</v>
      </c>
      <c r="I4">
        <f>forMe!L21</f>
        <v>0</v>
      </c>
      <c r="J4">
        <f>forMe!M21</f>
        <v>0</v>
      </c>
      <c r="K4">
        <f>forMe!P21</f>
        <v>0</v>
      </c>
      <c r="L4">
        <f>forMe!Q21</f>
        <v>0</v>
      </c>
      <c r="M4">
        <f>forMe!R21</f>
        <v>0</v>
      </c>
      <c r="N4">
        <f>forMe!S21</f>
        <v>0</v>
      </c>
      <c r="O4">
        <f>forMe!T21</f>
        <v>0</v>
      </c>
      <c r="P4">
        <f>forMe!W21</f>
        <v>0</v>
      </c>
      <c r="Q4">
        <f>forMe!X21</f>
        <v>0</v>
      </c>
      <c r="R4">
        <f>forMe!Y21</f>
        <v>0</v>
      </c>
      <c r="S4">
        <f>forMe!Z21</f>
        <v>0</v>
      </c>
      <c r="T4">
        <f>forMe!AA21</f>
        <v>0</v>
      </c>
      <c r="U4">
        <f>forMe!AD21</f>
        <v>0</v>
      </c>
      <c r="V4">
        <f>forMe!AE21</f>
        <v>0</v>
      </c>
      <c r="W4">
        <f>forMe!AF21</f>
        <v>0</v>
      </c>
      <c r="X4">
        <f>forMe!AG21</f>
        <v>0</v>
      </c>
      <c r="Y4">
        <f>forMe!AH21</f>
        <v>0</v>
      </c>
    </row>
    <row r="5" spans="1:34" x14ac:dyDescent="0.2">
      <c r="A5" s="10">
        <f>forMe!B22</f>
        <v>0</v>
      </c>
      <c r="B5" s="10">
        <f>forMe!C22</f>
        <v>0</v>
      </c>
      <c r="C5" s="11">
        <f>forMe!D22</f>
        <v>6000</v>
      </c>
      <c r="D5" s="11">
        <f>forMe!E22</f>
        <v>1275.078</v>
      </c>
      <c r="E5" s="11">
        <f>forMe!F22</f>
        <v>7275.0779999999995</v>
      </c>
      <c r="F5">
        <f>forMe!I22</f>
        <v>0</v>
      </c>
      <c r="G5">
        <f>forMe!J22</f>
        <v>0</v>
      </c>
      <c r="H5">
        <f>forMe!K22</f>
        <v>18000</v>
      </c>
      <c r="I5">
        <f>forMe!L22</f>
        <v>3825.2339999999999</v>
      </c>
      <c r="J5">
        <f>forMe!M22</f>
        <v>21825.234</v>
      </c>
      <c r="K5">
        <f>forMe!P22</f>
        <v>0</v>
      </c>
      <c r="L5">
        <f>forMe!Q22</f>
        <v>0</v>
      </c>
      <c r="M5">
        <f>forMe!R22</f>
        <v>22500</v>
      </c>
      <c r="N5">
        <f>forMe!S22</f>
        <v>4781.5425000000005</v>
      </c>
      <c r="O5">
        <f>forMe!T22</f>
        <v>27281.5425</v>
      </c>
      <c r="P5">
        <f>forMe!W22</f>
        <v>0</v>
      </c>
      <c r="Q5">
        <f>forMe!X22</f>
        <v>0</v>
      </c>
      <c r="R5">
        <f>forMe!Y22</f>
        <v>21000</v>
      </c>
      <c r="S5">
        <f>forMe!Z22</f>
        <v>4462.7730000000001</v>
      </c>
      <c r="T5">
        <f>forMe!AA22</f>
        <v>25462.773000000001</v>
      </c>
      <c r="U5">
        <f>forMe!AD22</f>
        <v>0</v>
      </c>
      <c r="V5">
        <f>forMe!AE22</f>
        <v>0</v>
      </c>
      <c r="W5">
        <f>forMe!AF22</f>
        <v>16500</v>
      </c>
      <c r="X5">
        <f>forMe!AG22</f>
        <v>0</v>
      </c>
      <c r="Y5">
        <f>forMe!AH22</f>
        <v>16500</v>
      </c>
      <c r="Z5" s="6"/>
      <c r="AA5" s="6"/>
      <c r="AD5" s="6"/>
      <c r="AE5" s="6"/>
      <c r="AF5" s="6"/>
      <c r="AG5" s="6"/>
      <c r="AH5" s="6"/>
    </row>
    <row r="6" spans="1:34" x14ac:dyDescent="0.2">
      <c r="A6" s="10">
        <f>forMe!B24</f>
        <v>1.7666666666666666</v>
      </c>
      <c r="B6" s="10">
        <f>forMe!C24</f>
        <v>21.2</v>
      </c>
      <c r="C6" s="11">
        <f>forMe!D24</f>
        <v>224615</v>
      </c>
      <c r="D6" s="11">
        <f>forMe!E24</f>
        <v>65021.851000000002</v>
      </c>
      <c r="E6" s="11">
        <f>forMe!F24</f>
        <v>289636.85099999997</v>
      </c>
      <c r="F6">
        <f>forMe!I24</f>
        <v>2.1833333333333336</v>
      </c>
      <c r="G6">
        <f>forMe!J24</f>
        <v>26.200000000000003</v>
      </c>
      <c r="H6">
        <f>forMe!K24</f>
        <v>236297</v>
      </c>
      <c r="I6">
        <f>forMe!L24</f>
        <v>69313.233999999997</v>
      </c>
      <c r="J6">
        <f>forMe!M24</f>
        <v>305610.234</v>
      </c>
      <c r="K6">
        <f>forMe!P24</f>
        <v>3</v>
      </c>
      <c r="L6">
        <f>forMe!Q24</f>
        <v>36</v>
      </c>
      <c r="M6">
        <f>forMe!R24</f>
        <v>319117</v>
      </c>
      <c r="N6">
        <f>forMe!S24</f>
        <v>93767.542499999996</v>
      </c>
      <c r="O6">
        <f>forMe!T24</f>
        <v>412884.54249999998</v>
      </c>
      <c r="P6">
        <f>forMe!W24</f>
        <v>2.5</v>
      </c>
      <c r="Q6">
        <f>forMe!X24</f>
        <v>30</v>
      </c>
      <c r="R6">
        <f>forMe!Y24</f>
        <v>289907</v>
      </c>
      <c r="S6">
        <f>forMe!Z24</f>
        <v>85134.773000000001</v>
      </c>
      <c r="T6">
        <f>forMe!AA24</f>
        <v>375041.77299999999</v>
      </c>
      <c r="U6">
        <f>forMe!AD24</f>
        <v>1.75</v>
      </c>
      <c r="V6">
        <f>forMe!AE24</f>
        <v>21</v>
      </c>
      <c r="W6">
        <f>forMe!AF24</f>
        <v>234133</v>
      </c>
      <c r="X6">
        <f>forMe!AG24</f>
        <v>65289</v>
      </c>
      <c r="Y6">
        <f>forMe!AH24</f>
        <v>299422</v>
      </c>
      <c r="Z6" s="7"/>
      <c r="AA6" s="7"/>
      <c r="AF6" s="7"/>
      <c r="AG6" s="7"/>
      <c r="AH6" s="7"/>
    </row>
    <row r="7" spans="1:34" x14ac:dyDescent="0.2">
      <c r="K7" s="7"/>
      <c r="L7" s="7"/>
      <c r="M7" s="7"/>
      <c r="N7" s="7"/>
      <c r="R7" s="7"/>
      <c r="S7" s="7"/>
      <c r="T7" s="7"/>
      <c r="U7" s="7"/>
      <c r="Y7" s="7"/>
      <c r="Z7" s="7"/>
      <c r="AA7" s="7"/>
      <c r="AF7" s="7"/>
      <c r="AG7" s="7"/>
      <c r="AH7" s="7"/>
    </row>
    <row r="8" spans="1:34" x14ac:dyDescent="0.2">
      <c r="K8" s="7"/>
      <c r="L8" s="7"/>
      <c r="M8" s="7"/>
      <c r="N8" s="7"/>
      <c r="R8" s="7"/>
      <c r="S8" s="7"/>
      <c r="T8" s="7"/>
      <c r="U8" s="7"/>
      <c r="Y8" s="7"/>
      <c r="Z8" s="7"/>
      <c r="AA8" s="7"/>
      <c r="AF8" s="7"/>
      <c r="AG8" s="7"/>
      <c r="AH8" s="7"/>
    </row>
    <row r="9" spans="1:34" x14ac:dyDescent="0.2">
      <c r="D9" s="7"/>
      <c r="E9" s="7"/>
      <c r="F9" s="7"/>
      <c r="K9" s="7"/>
      <c r="L9" s="7"/>
      <c r="M9" s="7"/>
      <c r="N9" s="7"/>
      <c r="R9" s="7"/>
      <c r="S9" s="7"/>
      <c r="T9" s="7"/>
      <c r="U9" s="7"/>
      <c r="Y9" s="7"/>
      <c r="Z9" s="7"/>
      <c r="AA9" s="7"/>
      <c r="AF9" s="7"/>
      <c r="AG9" s="7"/>
      <c r="AH9" s="7"/>
    </row>
    <row r="11" spans="1:34" x14ac:dyDescent="0.2">
      <c r="D11" s="7"/>
      <c r="E11" s="7"/>
      <c r="F11" s="7"/>
      <c r="K11" s="7"/>
      <c r="L11" s="7"/>
      <c r="M11" s="7"/>
      <c r="N11" s="7"/>
      <c r="R11" s="7"/>
      <c r="S11" s="7"/>
      <c r="T11" s="7"/>
      <c r="U11" s="7"/>
      <c r="Y11" s="7"/>
      <c r="Z11" s="7"/>
      <c r="AA11" s="7"/>
      <c r="AF11" s="7"/>
      <c r="AG11" s="7"/>
      <c r="AH1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27474-FB00-7F4F-9350-B49C0482D754}">
  <dimension ref="A1:J21"/>
  <sheetViews>
    <sheetView zoomScale="150" zoomScaleNormal="150" workbookViewId="0">
      <selection activeCell="G21" sqref="G21"/>
    </sheetView>
  </sheetViews>
  <sheetFormatPr baseColWidth="10" defaultRowHeight="15" x14ac:dyDescent="0.2"/>
  <cols>
    <col min="2" max="2" width="11.1640625" bestFit="1" customWidth="1"/>
    <col min="3" max="3" width="12.1640625" bestFit="1" customWidth="1"/>
    <col min="4" max="4" width="12.33203125" customWidth="1"/>
    <col min="5" max="5" width="13" customWidth="1"/>
    <col min="6" max="6" width="14" customWidth="1"/>
    <col min="7" max="7" width="13.6640625" customWidth="1"/>
    <col min="8" max="8" width="13.83203125" customWidth="1"/>
    <col min="10" max="10" width="12.6640625" bestFit="1" customWidth="1"/>
  </cols>
  <sheetData>
    <row r="1" spans="1:10" ht="16" thickBot="1" x14ac:dyDescent="0.25">
      <c r="A1" s="6" t="s">
        <v>80</v>
      </c>
      <c r="B1" s="14" t="s">
        <v>68</v>
      </c>
      <c r="C1" s="15"/>
      <c r="D1" s="12" t="s">
        <v>69</v>
      </c>
      <c r="E1" s="6"/>
    </row>
    <row r="2" spans="1:10" x14ac:dyDescent="0.2">
      <c r="B2" t="s">
        <v>70</v>
      </c>
      <c r="C2" t="s">
        <v>71</v>
      </c>
      <c r="D2" t="s">
        <v>71</v>
      </c>
      <c r="E2" t="s">
        <v>71</v>
      </c>
      <c r="F2" t="s">
        <v>71</v>
      </c>
      <c r="G2" t="s">
        <v>72</v>
      </c>
      <c r="H2" t="s">
        <v>7</v>
      </c>
    </row>
    <row r="3" spans="1:10" x14ac:dyDescent="0.2">
      <c r="B3" t="s">
        <v>73</v>
      </c>
    </row>
    <row r="4" spans="1:10" x14ac:dyDescent="0.2">
      <c r="A4" s="6"/>
      <c r="B4" s="6" t="s">
        <v>74</v>
      </c>
      <c r="C4" s="6" t="s">
        <v>75</v>
      </c>
      <c r="D4" s="6" t="s">
        <v>76</v>
      </c>
      <c r="E4" s="6" t="s">
        <v>77</v>
      </c>
      <c r="F4" s="6" t="s">
        <v>78</v>
      </c>
      <c r="G4" s="6" t="s">
        <v>79</v>
      </c>
      <c r="H4" s="6"/>
      <c r="J4" s="6" t="s">
        <v>81</v>
      </c>
    </row>
    <row r="5" spans="1:10" x14ac:dyDescent="0.2">
      <c r="A5" s="13" t="s">
        <v>37</v>
      </c>
      <c r="B5" s="1">
        <f>(2/12)*forPandas!E2</f>
        <v>26351.333333333332</v>
      </c>
      <c r="C5" s="1">
        <f>forPandas!E2*(10/12)+(2/12)*forPandas!J2</f>
        <v>152572.16666666669</v>
      </c>
      <c r="D5" s="1">
        <f>forPandas!J2*(10/12)+(2/12)*forPandas!O2</f>
        <v>126958</v>
      </c>
      <c r="E5" s="1">
        <f>forPandas!O2*(10/12)+(2/12)*forPandas!T2</f>
        <v>138168</v>
      </c>
      <c r="F5" s="1">
        <f>forPandas!T2*(10/12)+(2/12)*forPandas!Y2</f>
        <v>143512.66666666666</v>
      </c>
      <c r="G5" s="1">
        <f>forPandas!Y2*(10/12)</f>
        <v>123425.83333333334</v>
      </c>
      <c r="H5" s="2">
        <f t="shared" ref="H5:H8" si="0">SUM(B5:G5)</f>
        <v>710988</v>
      </c>
      <c r="J5" s="7">
        <f>forMe!F34</f>
        <v>710988</v>
      </c>
    </row>
    <row r="6" spans="1:10" x14ac:dyDescent="0.2">
      <c r="A6" t="s">
        <v>13</v>
      </c>
      <c r="B6" s="1">
        <f>(2/12)*forPandas!E3</f>
        <v>16465.166666666664</v>
      </c>
      <c r="C6" s="1">
        <f>forPandas!E3*(10/12)+(2/12)*forPandas!J3</f>
        <v>108807.83333333334</v>
      </c>
      <c r="D6" s="1">
        <f>forPandas!J3*(10/12)+(2/12)*forPandas!O3</f>
        <v>173796.66666666666</v>
      </c>
      <c r="E6" s="1">
        <f>forPandas!O3*(10/12)+(2/12)*forPandas!T3</f>
        <v>241431</v>
      </c>
      <c r="F6" s="1">
        <f>forPandas!T3*(10/12)+(2/12)*forPandas!Y3</f>
        <v>194956.83333333334</v>
      </c>
      <c r="G6" s="1">
        <f>forPandas!Y3*(10/12)</f>
        <v>112342.5</v>
      </c>
      <c r="H6" s="2">
        <f t="shared" si="0"/>
        <v>847800</v>
      </c>
      <c r="J6" s="7">
        <f>forMe!F35</f>
        <v>847800</v>
      </c>
    </row>
    <row r="7" spans="1:10" x14ac:dyDescent="0.2">
      <c r="A7" t="s">
        <v>38</v>
      </c>
      <c r="B7" s="1">
        <f>forPandas!E4</f>
        <v>25462.773000000001</v>
      </c>
      <c r="C7" s="1">
        <v>0</v>
      </c>
      <c r="D7" s="1">
        <f>forPandas!J4</f>
        <v>0</v>
      </c>
      <c r="E7" s="1">
        <f>forPandas!O4</f>
        <v>0</v>
      </c>
      <c r="F7" s="1">
        <f>forPandas!T4</f>
        <v>0</v>
      </c>
      <c r="G7" s="1">
        <f>forPandas!Y4</f>
        <v>0</v>
      </c>
      <c r="H7" s="2">
        <f>SUM(B7:G7)</f>
        <v>25462.773000000001</v>
      </c>
      <c r="J7" s="7">
        <f>forMe!F36</f>
        <v>25462.773000000001</v>
      </c>
    </row>
    <row r="8" spans="1:10" x14ac:dyDescent="0.2">
      <c r="A8" t="s">
        <v>14</v>
      </c>
      <c r="B8" s="1">
        <v>0</v>
      </c>
      <c r="C8" s="1">
        <f>forPandas!E5</f>
        <v>7275.0779999999995</v>
      </c>
      <c r="D8" s="1">
        <f>forPandas!J5</f>
        <v>21825.234</v>
      </c>
      <c r="E8" s="1">
        <f>forPandas!O5</f>
        <v>27281.5425</v>
      </c>
      <c r="F8" s="1">
        <f>forPandas!T5</f>
        <v>25462.773000000001</v>
      </c>
      <c r="G8" s="1">
        <f>forPandas!Y5</f>
        <v>16500</v>
      </c>
      <c r="H8" s="2">
        <f t="shared" si="0"/>
        <v>98344.627500000002</v>
      </c>
      <c r="J8" s="7">
        <f>forMe!F37</f>
        <v>98344.627500000002</v>
      </c>
    </row>
    <row r="9" spans="1:10" x14ac:dyDescent="0.2">
      <c r="A9" s="6" t="s">
        <v>7</v>
      </c>
      <c r="B9" s="2">
        <f>SUM(B5:B8)</f>
        <v>68279.273000000001</v>
      </c>
      <c r="C9" s="2">
        <f t="shared" ref="C9:G9" si="1">SUM(C5:C8)</f>
        <v>268655.07800000004</v>
      </c>
      <c r="D9" s="2">
        <f t="shared" si="1"/>
        <v>322579.90066666662</v>
      </c>
      <c r="E9" s="2">
        <f t="shared" si="1"/>
        <v>406880.54249999998</v>
      </c>
      <c r="F9" s="2">
        <f t="shared" si="1"/>
        <v>363932.27299999999</v>
      </c>
      <c r="G9" s="2">
        <f t="shared" si="1"/>
        <v>252268.33333333334</v>
      </c>
      <c r="H9" s="2">
        <f>SUM(H5:H8)</f>
        <v>1682595.4005</v>
      </c>
      <c r="J9" s="7">
        <f>SUM(J5:J8)</f>
        <v>1682595.4005</v>
      </c>
    </row>
    <row r="12" spans="1:10" ht="16" thickBot="1" x14ac:dyDescent="0.25"/>
    <row r="13" spans="1:10" ht="16" thickBot="1" x14ac:dyDescent="0.25">
      <c r="A13" s="6" t="s">
        <v>15</v>
      </c>
      <c r="B13" s="14" t="s">
        <v>68</v>
      </c>
      <c r="C13" s="15"/>
      <c r="D13" s="12" t="s">
        <v>69</v>
      </c>
      <c r="E13" s="6"/>
    </row>
    <row r="14" spans="1:10" x14ac:dyDescent="0.2">
      <c r="B14" t="s">
        <v>70</v>
      </c>
      <c r="C14" t="s">
        <v>71</v>
      </c>
      <c r="D14" t="s">
        <v>71</v>
      </c>
      <c r="E14" t="s">
        <v>71</v>
      </c>
      <c r="F14" t="s">
        <v>71</v>
      </c>
      <c r="G14" t="s">
        <v>72</v>
      </c>
      <c r="H14" t="s">
        <v>7</v>
      </c>
    </row>
    <row r="15" spans="1:10" x14ac:dyDescent="0.2">
      <c r="B15" t="s">
        <v>73</v>
      </c>
    </row>
    <row r="16" spans="1:10" x14ac:dyDescent="0.2">
      <c r="A16" s="6"/>
      <c r="B16" s="6" t="s">
        <v>74</v>
      </c>
      <c r="C16" s="6" t="s">
        <v>75</v>
      </c>
      <c r="D16" s="6" t="s">
        <v>76</v>
      </c>
      <c r="E16" s="6" t="s">
        <v>77</v>
      </c>
      <c r="F16" s="6" t="s">
        <v>78</v>
      </c>
      <c r="G16" s="6" t="s">
        <v>79</v>
      </c>
      <c r="H16" s="6"/>
      <c r="J16" s="6" t="s">
        <v>81</v>
      </c>
    </row>
    <row r="17" spans="1:10" x14ac:dyDescent="0.2">
      <c r="A17" s="13" t="s">
        <v>37</v>
      </c>
      <c r="B17" s="1">
        <f>(2/12)*forPandas!C2</f>
        <v>20270.333333333332</v>
      </c>
      <c r="C17" s="1">
        <f>forPandas!C2*(10/12)+(2/12)*forPandas!H2</f>
        <v>117363.66666666667</v>
      </c>
      <c r="D17" s="1">
        <f>forPandas!H2*(10/12)+(2/12)*forPandas!M2</f>
        <v>97660.333333333328</v>
      </c>
      <c r="E17" s="1">
        <f>forPandas!M2*(10/12)+(2/12)*forPandas!R2</f>
        <v>106282.83333333334</v>
      </c>
      <c r="F17" s="1">
        <f>forPandas!R2*(10/12)+(2/12)*forPandas!W2</f>
        <v>110394.5</v>
      </c>
      <c r="G17" s="1">
        <f>forPandas!W2*(10/12)</f>
        <v>94943.333333333343</v>
      </c>
      <c r="H17" s="2">
        <f t="shared" ref="H17" si="2">SUM(B17:G17)</f>
        <v>546915</v>
      </c>
      <c r="J17" s="7">
        <f>forMe!D34</f>
        <v>546915</v>
      </c>
    </row>
    <row r="18" spans="1:10" x14ac:dyDescent="0.2">
      <c r="A18" t="s">
        <v>13</v>
      </c>
      <c r="B18" s="1">
        <f>(2/12)*forPandas!C3</f>
        <v>12665.5</v>
      </c>
      <c r="C18" s="1">
        <f>forPandas!C3*(10/12)+(2/12)*forPandas!H3</f>
        <v>83698.333333333328</v>
      </c>
      <c r="D18" s="1">
        <f>forPandas!H3*(10/12)+(2/12)*forPandas!M3</f>
        <v>133690</v>
      </c>
      <c r="E18" s="1">
        <f>forPandas!M3*(10/12)+(2/12)*forPandas!R3</f>
        <v>185715.83333333334</v>
      </c>
      <c r="F18" s="1">
        <f>forPandas!R3*(10/12)+(2/12)*forPandas!W3</f>
        <v>149966.83333333334</v>
      </c>
      <c r="G18" s="1">
        <f>forPandas!W3*(10/12)</f>
        <v>86417.5</v>
      </c>
      <c r="H18" s="2">
        <f t="shared" ref="H18" si="3">SUM(B18:G18)</f>
        <v>652154</v>
      </c>
      <c r="J18" s="7">
        <f>forMe!D35</f>
        <v>652154</v>
      </c>
    </row>
    <row r="19" spans="1:10" x14ac:dyDescent="0.2">
      <c r="A19" t="s">
        <v>38</v>
      </c>
      <c r="B19" s="1">
        <f>forPandas!C4</f>
        <v>21000</v>
      </c>
      <c r="C19" s="1">
        <v>0</v>
      </c>
      <c r="D19" s="1">
        <f>forPandas!J16</f>
        <v>0</v>
      </c>
      <c r="E19" s="1">
        <f>forPandas!O16</f>
        <v>0</v>
      </c>
      <c r="F19" s="1">
        <f>forPandas!T16</f>
        <v>0</v>
      </c>
      <c r="G19" s="1">
        <f>forPandas!Y16</f>
        <v>0</v>
      </c>
      <c r="H19" s="2">
        <f>SUM(B19:G19)</f>
        <v>21000</v>
      </c>
      <c r="J19" s="7">
        <f>forMe!D36</f>
        <v>21000</v>
      </c>
    </row>
    <row r="20" spans="1:10" x14ac:dyDescent="0.2">
      <c r="A20" t="s">
        <v>14</v>
      </c>
      <c r="B20" s="1">
        <v>0</v>
      </c>
      <c r="C20" s="1">
        <f>forPandas!C5</f>
        <v>6000</v>
      </c>
      <c r="D20" s="1">
        <f>forPandas!H5</f>
        <v>18000</v>
      </c>
      <c r="E20" s="1">
        <f>forPandas!M5</f>
        <v>22500</v>
      </c>
      <c r="F20" s="1">
        <f>forPandas!R5</f>
        <v>21000</v>
      </c>
      <c r="G20" s="1">
        <f>forPandas!W5</f>
        <v>16500</v>
      </c>
      <c r="H20" s="2">
        <f t="shared" ref="H20" si="4">SUM(B20:G20)</f>
        <v>84000</v>
      </c>
      <c r="J20" s="7">
        <f>forMe!D37</f>
        <v>84000</v>
      </c>
    </row>
    <row r="21" spans="1:10" x14ac:dyDescent="0.2">
      <c r="A21" s="6" t="s">
        <v>7</v>
      </c>
      <c r="B21" s="2">
        <f>SUM(B17:B20)</f>
        <v>53935.833333333328</v>
      </c>
      <c r="C21" s="2">
        <f t="shared" ref="C21:G21" si="5">SUM(C17:C20)</f>
        <v>207062</v>
      </c>
      <c r="D21" s="2">
        <f t="shared" si="5"/>
        <v>249350.33333333331</v>
      </c>
      <c r="E21" s="2">
        <f t="shared" si="5"/>
        <v>314498.66666666669</v>
      </c>
      <c r="F21" s="2">
        <f t="shared" si="5"/>
        <v>281361.33333333337</v>
      </c>
      <c r="G21" s="2">
        <f t="shared" si="5"/>
        <v>197860.83333333334</v>
      </c>
      <c r="H21" s="2">
        <f>SUM(H17:H20)</f>
        <v>1304069</v>
      </c>
      <c r="J21" s="7">
        <f>SUM(J17:J20)</f>
        <v>1304069</v>
      </c>
    </row>
  </sheetData>
  <mergeCells count="2">
    <mergeCell ref="B1:C1"/>
    <mergeCell ref="B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forMe</vt:lpstr>
      <vt:lpstr>forPandas</vt:lpstr>
      <vt:lpstr>forNorm</vt:lpstr>
      <vt:lpstr>FTE</vt:lpstr>
      <vt:lpstr>Loaded</vt:lpstr>
      <vt:lpstr>Months</vt:lpstr>
      <vt:lpstr>MS</vt:lpstr>
      <vt:lpstr>Overhead</vt:lpstr>
      <vt:lpstr>PI</vt:lpstr>
      <vt:lpstr>Postdoc</vt:lpstr>
      <vt:lpstr>Totals</vt:lpstr>
      <vt:lpstr>Travel</vt:lpstr>
      <vt:lpstr>Unloaded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Rendon, Norm</dc:creator>
  <cp:lastModifiedBy>Hopkins, Walter Howard</cp:lastModifiedBy>
  <dcterms:created xsi:type="dcterms:W3CDTF">2020-11-05T19:25:02Z</dcterms:created>
  <dcterms:modified xsi:type="dcterms:W3CDTF">2021-01-29T18:59:25Z</dcterms:modified>
</cp:coreProperties>
</file>