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740" activeTab="1"/>
  </bookViews>
  <sheets>
    <sheet name="Treasury Bond Pricing" sheetId="1" r:id="rId1"/>
    <sheet name="Bootstrapping" sheetId="2" r:id="rId2"/>
    <sheet name="Pricing New Bond" sheetId="3" r:id="rId3"/>
  </sheets>
  <definedNames>
    <definedName name="_cpn2">'Treasury Bond Pricing'!$H$16</definedName>
    <definedName name="_cpn3">'Treasury Bond Pricing'!$H$17</definedName>
    <definedName name="_mat1">'Treasury Bond Pricing'!$C$6</definedName>
    <definedName name="_mat2">'Treasury Bond Pricing'!$C$7</definedName>
    <definedName name="_mat3">'Treasury Bond Pricing'!$C$8</definedName>
    <definedName name="a_0">Bootstrapping!$E$39</definedName>
    <definedName name="a_1">Bootstrapping!$E$40</definedName>
    <definedName name="a_2">Bootstrapping!$E$41</definedName>
    <definedName name="AsOfDate">'Treasury Bond Pricing'!$C$2</definedName>
    <definedName name="b_0">Bootstrapping!$F$39</definedName>
    <definedName name="b_1">Bootstrapping!$F$40</definedName>
    <definedName name="b_2">Bootstrapping!$F$41</definedName>
    <definedName name="c_0">Bootstrapping!$G$39</definedName>
    <definedName name="c_1">Bootstrapping!$G$40</definedName>
    <definedName name="c_2">Bootstrapping!$G$41</definedName>
    <definedName name="cap_fctr0">Bootstrapping!$D$4</definedName>
    <definedName name="cap_fctr1">Bootstrapping!$D$8</definedName>
    <definedName name="cap_fctr2">Bootstrapping!$D$19</definedName>
    <definedName name="cap_fctr3">Bootstrapping!$D$32</definedName>
    <definedName name="Capit_Factor">Bootstrapping!$D$4:$D$32</definedName>
    <definedName name="cf_1">Bootstrapping!$F$4:$F$32</definedName>
    <definedName name="cf_2">Bootstrapping!$G$4:$G$32</definedName>
    <definedName name="cf_3">Bootstrapping!$H$4:$H$32</definedName>
    <definedName name="coupon">'Pricing New Bond'!$C$4</definedName>
    <definedName name="d_0">Bootstrapping!$H$39</definedName>
    <definedName name="d_1">Bootstrapping!$H$40</definedName>
    <definedName name="d_2">Bootstrapping!$H$41</definedName>
    <definedName name="d_yld">'Treasury Bond Pricing'!$G$6</definedName>
    <definedName name="date">Bootstrapping!$B$4:$B$32</definedName>
    <definedName name="delta0">Bootstrapping!$B$39</definedName>
    <definedName name="delta0_prime">Bootstrapping!$C$39</definedName>
    <definedName name="delta1">Bootstrapping!$B$40</definedName>
    <definedName name="delta1_prime">Bootstrapping!$C$40</definedName>
    <definedName name="delta2">Bootstrapping!$B$41</definedName>
    <definedName name="delta2_prime">Bootstrapping!$C$41</definedName>
    <definedName name="dscnt">Bootstrapping!$E$4:$E$32</definedName>
    <definedName name="f0_prime">Bootstrapping!$D$39</definedName>
    <definedName name="f1_prime">Bootstrapping!$D$40</definedName>
    <definedName name="f2_prime">Bootstrapping!$D$41</definedName>
    <definedName name="f3_prime">Bootstrapping!$D$42</definedName>
    <definedName name="price1">'Treasury Bond Pricing'!$G$12</definedName>
    <definedName name="price2">'Treasury Bond Pricing'!$K$16</definedName>
    <definedName name="price3">'Treasury Bond Pricing'!$K$17</definedName>
    <definedName name="principal">'Pricing New Bond'!$F$4</definedName>
    <definedName name="t">'Pricing New Bond'!$E$9:$E$27</definedName>
    <definedName name="time">Bootstrapping!$C$4:$C$32</definedName>
    <definedName name="time0">Bootstrapping!$C$4</definedName>
    <definedName name="time1">Bootstrapping!$C$8</definedName>
    <definedName name="time2">Bootstrapping!$C$19</definedName>
    <definedName name="time3">Bootstrapping!$C$32</definedName>
  </definedNames>
  <calcPr calcId="144525" iterate="1" iterateCount="1000" iterateDelta="1e-7" concurrentCalc="0"/>
</workbook>
</file>

<file path=xl/sharedStrings.xml><?xml version="1.0" encoding="utf-8"?>
<sst xmlns="http://schemas.openxmlformats.org/spreadsheetml/2006/main" count="64">
  <si>
    <t>As-Of Date</t>
  </si>
  <si>
    <t>Market Quotes as of 2/12/07</t>
  </si>
  <si>
    <t>Name</t>
  </si>
  <si>
    <t>Maturity</t>
  </si>
  <si>
    <t>Coupon</t>
  </si>
  <si>
    <t>Day Count</t>
  </si>
  <si>
    <t>Pay Dates</t>
  </si>
  <si>
    <t>Market Quote</t>
  </si>
  <si>
    <t>Quote</t>
  </si>
  <si>
    <t>Type</t>
  </si>
  <si>
    <t>Treasury 
Bill</t>
  </si>
  <si>
    <t>-</t>
  </si>
  <si>
    <t>Act/360</t>
  </si>
  <si>
    <t>Discount Yield</t>
  </si>
  <si>
    <t>Treasury Note/Bond</t>
  </si>
  <si>
    <t>30/360</t>
  </si>
  <si>
    <t>Jan 31 Jul 31</t>
  </si>
  <si>
    <t>99 – 27</t>
  </si>
  <si>
    <t>32 - nds</t>
  </si>
  <si>
    <t>Feb 15 Aug 15</t>
  </si>
  <si>
    <t>99 - 11</t>
  </si>
  <si>
    <t>Treasury Bill</t>
  </si>
  <si>
    <t>Dscnt Yield</t>
  </si>
  <si>
    <t>Days To Matur</t>
  </si>
  <si>
    <t>Years To Matur</t>
  </si>
  <si>
    <t>Price</t>
  </si>
  <si>
    <t>Treasury Notes/Bonds</t>
  </si>
  <si>
    <t>Bgn Pmnt Prd</t>
  </si>
  <si>
    <t>End Pmnt Prd</t>
  </si>
  <si>
    <t>Days in Pmnt Period</t>
  </si>
  <si>
    <t>Days Till Nxt Pmnt</t>
  </si>
  <si>
    <t>Accrued</t>
  </si>
  <si>
    <t>Clean Price</t>
  </si>
  <si>
    <t>Dirty Price</t>
  </si>
  <si>
    <t>Bond Cash Flows</t>
  </si>
  <si>
    <t>Node</t>
  </si>
  <si>
    <t>CF Dates</t>
  </si>
  <si>
    <t>Time (Act/365)</t>
  </si>
  <si>
    <t>Capit Factor</t>
  </si>
  <si>
    <t xml:space="preserve">Zero Bond </t>
  </si>
  <si>
    <t>Bond 1</t>
  </si>
  <si>
    <t>Bond 2</t>
  </si>
  <si>
    <t>Bond 3</t>
  </si>
  <si>
    <t>Cont Spot Rates</t>
  </si>
  <si>
    <t>Price:</t>
  </si>
  <si>
    <t>Market Price:</t>
  </si>
  <si>
    <t>Error:</t>
  </si>
  <si>
    <t>Butland Monotone Cubic Spline</t>
  </si>
  <si>
    <t>Delta</t>
  </si>
  <si>
    <t>Delta_Prime</t>
  </si>
  <si>
    <t>Slope</t>
  </si>
  <si>
    <t>a</t>
  </si>
  <si>
    <t>b</t>
  </si>
  <si>
    <t>c</t>
  </si>
  <si>
    <t>d</t>
  </si>
  <si>
    <t>Using bootstrapped curve, price the following bond as of 2/12/07</t>
  </si>
  <si>
    <t>Payment Dates</t>
  </si>
  <si>
    <t>Principal</t>
  </si>
  <si>
    <t>Mar 20, Sep 20</t>
  </si>
  <si>
    <t>Rate Interpolation and Discount Factor Computation</t>
  </si>
  <si>
    <t>Bond Pricing</t>
  </si>
  <si>
    <t>Interp Dates</t>
  </si>
  <si>
    <t>Discount Factors</t>
  </si>
  <si>
    <t>Cash Flows</t>
  </si>
</sst>
</file>

<file path=xl/styles.xml><?xml version="1.0" encoding="utf-8"?>
<styleSheet xmlns="http://schemas.openxmlformats.org/spreadsheetml/2006/main">
  <numFmts count="17">
    <numFmt numFmtId="176" formatCode="_(* #,##0.00_);_(* \(#,##0.00\);_(* &quot;-&quot;??_);_(@_)"/>
    <numFmt numFmtId="177" formatCode="m/d/yyyy;@"/>
    <numFmt numFmtId="178" formatCode="_(&quot;$&quot;* #,##0.00_);_(&quot;$&quot;* \(#,##0.00\);_(&quot;$&quot;* &quot;-&quot;??_);_(@_)"/>
    <numFmt numFmtId="179" formatCode="_(&quot;$&quot;* #,##0.00000_);_(&quot;$&quot;* \(#,##0.00000\);_(&quot;$&quot;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180" formatCode="0.000000"/>
    <numFmt numFmtId="181" formatCode="_(* #,##0.00000_);_(* \(#,##0.00000\);_(* &quot;-&quot;??_);_(@_)"/>
    <numFmt numFmtId="182" formatCode="_(* #,##0.000000_);_(* \(#,##0.000000\);_(* &quot;-&quot;??_);_(@_)"/>
    <numFmt numFmtId="183" formatCode="_(&quot;$&quot;* #,##0.0000_);_(&quot;$&quot;* \(#,##0.0000\);_(&quot;$&quot;* &quot;-&quot;??_);_(@_)"/>
    <numFmt numFmtId="184" formatCode="0.0000000000"/>
    <numFmt numFmtId="185" formatCode="0.000%"/>
    <numFmt numFmtId="186" formatCode="0.000000000"/>
    <numFmt numFmtId="187" formatCode="_(&quot;$&quot;* #,##0.000_);_(&quot;$&quot;* \(#,##0.000\);_(&quot;$&quot;* &quot;-&quot;??_);_(@_)"/>
    <numFmt numFmtId="188" formatCode="&quot;$&quot;#,##0.000000"/>
    <numFmt numFmtId="189" formatCode="#,##0.000000"/>
    <numFmt numFmtId="190" formatCode="#\ ?/?"/>
  </numFmts>
  <fonts count="28"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sz val="10"/>
      <color indexed="10"/>
      <name val="Arial"/>
      <charset val="134"/>
    </font>
    <font>
      <b/>
      <sz val="12"/>
      <name val="Arial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b/>
      <sz val="10"/>
      <color rgb="FFFF0000"/>
      <name val="Arial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7" borderId="24" applyNumberFormat="0" applyAlignment="0" applyProtection="0">
      <alignment vertical="center"/>
    </xf>
    <xf numFmtId="178" fontId="0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0" fillId="5" borderId="22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9" borderId="27" applyNumberFormat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1" fillId="6" borderId="2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/>
  </cellStyleXfs>
  <cellXfs count="123">
    <xf numFmtId="0" fontId="0" fillId="0" borderId="0" xfId="49"/>
    <xf numFmtId="0" fontId="0" fillId="0" borderId="0" xfId="49" applyAlignment="1">
      <alignment horizontal="center"/>
    </xf>
    <xf numFmtId="0" fontId="0" fillId="0" borderId="0" xfId="49" applyFill="1"/>
    <xf numFmtId="0" fontId="1" fillId="0" borderId="0" xfId="49" applyFont="1"/>
    <xf numFmtId="0" fontId="0" fillId="0" borderId="1" xfId="49" applyBorder="1" applyAlignment="1">
      <alignment horizontal="center"/>
    </xf>
    <xf numFmtId="0" fontId="0" fillId="0" borderId="2" xfId="49" applyBorder="1" applyAlignment="1">
      <alignment horizontal="center"/>
    </xf>
    <xf numFmtId="0" fontId="0" fillId="0" borderId="3" xfId="49" applyFont="1" applyBorder="1" applyAlignment="1">
      <alignment horizontal="center"/>
    </xf>
    <xf numFmtId="14" fontId="0" fillId="0" borderId="4" xfId="49" applyNumberFormat="1" applyBorder="1"/>
    <xf numFmtId="10" fontId="0" fillId="0" borderId="5" xfId="49" applyNumberFormat="1" applyBorder="1"/>
    <xf numFmtId="0" fontId="0" fillId="0" borderId="5" xfId="49" applyBorder="1" applyAlignment="1">
      <alignment horizontal="center"/>
    </xf>
    <xf numFmtId="0" fontId="0" fillId="0" borderId="5" xfId="49" applyFont="1" applyBorder="1" applyAlignment="1">
      <alignment horizontal="center"/>
    </xf>
    <xf numFmtId="178" fontId="0" fillId="0" borderId="6" xfId="4" applyFont="1" applyBorder="1"/>
    <xf numFmtId="14" fontId="0" fillId="0" borderId="0" xfId="49" applyNumberFormat="1"/>
    <xf numFmtId="0" fontId="2" fillId="0" borderId="7" xfId="49" applyFont="1" applyBorder="1" applyAlignment="1">
      <alignment horizontal="center"/>
    </xf>
    <xf numFmtId="0" fontId="2" fillId="0" borderId="8" xfId="49" applyFont="1" applyBorder="1" applyAlignment="1">
      <alignment horizontal="center"/>
    </xf>
    <xf numFmtId="0" fontId="2" fillId="0" borderId="9" xfId="49" applyFont="1" applyBorder="1" applyAlignment="1">
      <alignment horizontal="center"/>
    </xf>
    <xf numFmtId="0" fontId="0" fillId="0" borderId="0" xfId="49" applyFont="1" applyAlignment="1">
      <alignment horizontal="center"/>
    </xf>
    <xf numFmtId="0" fontId="0" fillId="0" borderId="2" xfId="49" applyFont="1" applyBorder="1" applyAlignment="1">
      <alignment horizontal="center"/>
    </xf>
    <xf numFmtId="0" fontId="0" fillId="0" borderId="3" xfId="49" applyBorder="1" applyAlignment="1">
      <alignment horizontal="center"/>
    </xf>
    <xf numFmtId="177" fontId="0" fillId="2" borderId="10" xfId="49" applyNumberFormat="1" applyFill="1" applyBorder="1"/>
    <xf numFmtId="181" fontId="0" fillId="2" borderId="0" xfId="8" applyNumberFormat="1" applyFont="1" applyFill="1" applyBorder="1"/>
    <xf numFmtId="14" fontId="0" fillId="2" borderId="0" xfId="49" applyNumberFormat="1" applyFill="1" applyBorder="1"/>
    <xf numFmtId="0" fontId="0" fillId="0" borderId="0" xfId="49" applyBorder="1"/>
    <xf numFmtId="0" fontId="0" fillId="0" borderId="11" xfId="49" applyBorder="1"/>
    <xf numFmtId="177" fontId="0" fillId="0" borderId="10" xfId="49" applyNumberFormat="1" applyBorder="1"/>
    <xf numFmtId="182" fontId="0" fillId="0" borderId="0" xfId="8" applyNumberFormat="1" applyFont="1" applyBorder="1"/>
    <xf numFmtId="14" fontId="0" fillId="0" borderId="0" xfId="49" applyNumberFormat="1" applyBorder="1"/>
    <xf numFmtId="184" fontId="0" fillId="0" borderId="11" xfId="49" applyNumberFormat="1" applyBorder="1"/>
    <xf numFmtId="178" fontId="0" fillId="0" borderId="11" xfId="4" applyFont="1" applyBorder="1"/>
    <xf numFmtId="182" fontId="0" fillId="2" borderId="0" xfId="8" applyNumberFormat="1" applyFont="1" applyFill="1" applyBorder="1"/>
    <xf numFmtId="183" fontId="0" fillId="0" borderId="11" xfId="4" applyNumberFormat="1" applyFont="1" applyBorder="1"/>
    <xf numFmtId="0" fontId="0" fillId="0" borderId="0" xfId="49" applyFill="1" applyAlignment="1">
      <alignment horizontal="center"/>
    </xf>
    <xf numFmtId="177" fontId="0" fillId="0" borderId="10" xfId="49" applyNumberFormat="1" applyFill="1" applyBorder="1"/>
    <xf numFmtId="0" fontId="0" fillId="0" borderId="10" xfId="49" applyBorder="1"/>
    <xf numFmtId="177" fontId="0" fillId="2" borderId="4" xfId="49" applyNumberFormat="1" applyFill="1" applyBorder="1"/>
    <xf numFmtId="182" fontId="0" fillId="2" borderId="5" xfId="8" applyNumberFormat="1" applyFont="1" applyFill="1" applyBorder="1"/>
    <xf numFmtId="14" fontId="0" fillId="2" borderId="5" xfId="49" applyNumberFormat="1" applyFill="1" applyBorder="1"/>
    <xf numFmtId="0" fontId="0" fillId="0" borderId="5" xfId="49" applyBorder="1"/>
    <xf numFmtId="184" fontId="0" fillId="0" borderId="6" xfId="49" applyNumberFormat="1" applyBorder="1"/>
    <xf numFmtId="0" fontId="0" fillId="0" borderId="0" xfId="49" applyFont="1" applyAlignment="1">
      <alignment horizontal="right"/>
    </xf>
    <xf numFmtId="183" fontId="3" fillId="2" borderId="9" xfId="4" applyNumberFormat="1" applyFont="1" applyFill="1" applyBorder="1"/>
    <xf numFmtId="1" fontId="0" fillId="0" borderId="0" xfId="49" applyNumberFormat="1"/>
    <xf numFmtId="0" fontId="2" fillId="0" borderId="0" xfId="49" applyFont="1"/>
    <xf numFmtId="0" fontId="2" fillId="0" borderId="0" xfId="49" applyFont="1" applyAlignment="1">
      <alignment horizontal="center"/>
    </xf>
    <xf numFmtId="0" fontId="2" fillId="0" borderId="8" xfId="49" applyFont="1" applyBorder="1"/>
    <xf numFmtId="0" fontId="2" fillId="0" borderId="12" xfId="49" applyFont="1" applyBorder="1" applyAlignment="1">
      <alignment horizontal="center"/>
    </xf>
    <xf numFmtId="177" fontId="2" fillId="3" borderId="1" xfId="49" applyNumberFormat="1" applyFont="1" applyFill="1" applyBorder="1"/>
    <xf numFmtId="0" fontId="2" fillId="3" borderId="2" xfId="49" applyFont="1" applyFill="1" applyBorder="1"/>
    <xf numFmtId="0" fontId="0" fillId="0" borderId="3" xfId="49" applyBorder="1"/>
    <xf numFmtId="0" fontId="0" fillId="0" borderId="1" xfId="49" applyBorder="1"/>
    <xf numFmtId="0" fontId="0" fillId="0" borderId="2" xfId="49" applyBorder="1"/>
    <xf numFmtId="186" fontId="0" fillId="0" borderId="11" xfId="49" applyNumberFormat="1" applyBorder="1"/>
    <xf numFmtId="178" fontId="0" fillId="0" borderId="0" xfId="4" applyFont="1" applyBorder="1"/>
    <xf numFmtId="187" fontId="0" fillId="0" borderId="11" xfId="4" applyNumberFormat="1" applyFont="1" applyBorder="1"/>
    <xf numFmtId="187" fontId="0" fillId="0" borderId="0" xfId="4" applyNumberFormat="1" applyFont="1" applyBorder="1"/>
    <xf numFmtId="177" fontId="2" fillId="3" borderId="10" xfId="49" applyNumberFormat="1" applyFont="1" applyFill="1" applyBorder="1"/>
    <xf numFmtId="0" fontId="2" fillId="3" borderId="0" xfId="49" applyFont="1" applyFill="1" applyBorder="1"/>
    <xf numFmtId="182" fontId="2" fillId="3" borderId="0" xfId="8" applyNumberFormat="1" applyFont="1" applyFill="1" applyBorder="1"/>
    <xf numFmtId="178" fontId="0" fillId="0" borderId="10" xfId="4" applyFont="1" applyBorder="1"/>
    <xf numFmtId="186" fontId="0" fillId="0" borderId="0" xfId="49" applyNumberFormat="1" applyBorder="1"/>
    <xf numFmtId="177" fontId="2" fillId="3" borderId="4" xfId="49" applyNumberFormat="1" applyFont="1" applyFill="1" applyBorder="1"/>
    <xf numFmtId="0" fontId="2" fillId="3" borderId="5" xfId="49" applyFont="1" applyFill="1" applyBorder="1"/>
    <xf numFmtId="182" fontId="2" fillId="3" borderId="5" xfId="8" applyNumberFormat="1" applyFont="1" applyFill="1" applyBorder="1"/>
    <xf numFmtId="186" fontId="0" fillId="0" borderId="6" xfId="49" applyNumberFormat="1" applyBorder="1"/>
    <xf numFmtId="0" fontId="0" fillId="0" borderId="4" xfId="49" applyBorder="1"/>
    <xf numFmtId="178" fontId="0" fillId="0" borderId="5" xfId="4" applyFont="1" applyBorder="1"/>
    <xf numFmtId="177" fontId="0" fillId="0" borderId="0" xfId="49" applyNumberFormat="1"/>
    <xf numFmtId="0" fontId="2" fillId="0" borderId="0" xfId="49" applyFont="1" applyAlignment="1">
      <alignment horizontal="right"/>
    </xf>
    <xf numFmtId="179" fontId="0" fillId="0" borderId="0" xfId="4" applyNumberFormat="1" applyFont="1"/>
    <xf numFmtId="188" fontId="0" fillId="0" borderId="0" xfId="4" applyNumberFormat="1" applyFont="1"/>
    <xf numFmtId="0" fontId="2" fillId="0" borderId="5" xfId="49" applyFont="1" applyBorder="1" applyAlignment="1">
      <alignment horizontal="center"/>
    </xf>
    <xf numFmtId="0" fontId="2" fillId="0" borderId="1" xfId="49" applyFont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2" fillId="0" borderId="3" xfId="49" applyFont="1" applyBorder="1" applyAlignment="1">
      <alignment horizontal="center"/>
    </xf>
    <xf numFmtId="0" fontId="0" fillId="0" borderId="10" xfId="49" applyFont="1" applyBorder="1" applyAlignment="1">
      <alignment horizontal="center"/>
    </xf>
    <xf numFmtId="0" fontId="0" fillId="0" borderId="0" xfId="49" applyFont="1" applyBorder="1" applyAlignment="1">
      <alignment horizontal="center"/>
    </xf>
    <xf numFmtId="189" fontId="0" fillId="0" borderId="0" xfId="8" applyNumberFormat="1" applyFont="1" applyBorder="1"/>
    <xf numFmtId="180" fontId="0" fillId="0" borderId="0" xfId="49" applyNumberFormat="1" applyFont="1" applyBorder="1" applyAlignment="1">
      <alignment horizontal="right"/>
    </xf>
    <xf numFmtId="189" fontId="0" fillId="0" borderId="11" xfId="8" applyNumberFormat="1" applyFont="1" applyBorder="1"/>
    <xf numFmtId="0" fontId="0" fillId="0" borderId="10" xfId="49" applyBorder="1" applyAlignment="1">
      <alignment horizontal="center"/>
    </xf>
    <xf numFmtId="0" fontId="0" fillId="0" borderId="4" xfId="49" applyBorder="1" applyAlignment="1">
      <alignment horizontal="center"/>
    </xf>
    <xf numFmtId="180" fontId="0" fillId="0" borderId="5" xfId="49" applyNumberFormat="1" applyBorder="1"/>
    <xf numFmtId="0" fontId="0" fillId="0" borderId="6" xfId="49" applyBorder="1"/>
    <xf numFmtId="0" fontId="2" fillId="0" borderId="0" xfId="49" applyFont="1" applyFill="1" applyBorder="1" applyAlignment="1">
      <alignment horizontal="center"/>
    </xf>
    <xf numFmtId="10" fontId="0" fillId="0" borderId="0" xfId="11" applyNumberFormat="1" applyFont="1"/>
    <xf numFmtId="0" fontId="4" fillId="0" borderId="0" xfId="49" applyFont="1"/>
    <xf numFmtId="14" fontId="2" fillId="0" borderId="0" xfId="49" applyNumberFormat="1" applyFont="1" applyAlignment="1">
      <alignment horizontal="center"/>
    </xf>
    <xf numFmtId="0" fontId="1" fillId="0" borderId="13" xfId="49" applyFont="1" applyBorder="1" applyAlignment="1">
      <alignment horizontal="center"/>
    </xf>
    <xf numFmtId="0" fontId="5" fillId="0" borderId="14" xfId="49" applyFont="1" applyBorder="1" applyAlignment="1">
      <alignment horizontal="center" wrapText="1"/>
    </xf>
    <xf numFmtId="0" fontId="5" fillId="0" borderId="15" xfId="49" applyFont="1" applyBorder="1" applyAlignment="1">
      <alignment horizontal="center" wrapText="1"/>
    </xf>
    <xf numFmtId="0" fontId="5" fillId="0" borderId="16" xfId="49" applyFont="1" applyBorder="1" applyAlignment="1">
      <alignment horizontal="center" wrapText="1"/>
    </xf>
    <xf numFmtId="0" fontId="5" fillId="0" borderId="17" xfId="49" applyFont="1" applyBorder="1" applyAlignment="1">
      <alignment horizontal="center" wrapText="1"/>
    </xf>
    <xf numFmtId="0" fontId="5" fillId="0" borderId="18" xfId="49" applyFont="1" applyBorder="1" applyAlignment="1">
      <alignment horizontal="center" wrapText="1"/>
    </xf>
    <xf numFmtId="0" fontId="0" fillId="0" borderId="0" xfId="49" applyAlignment="1">
      <alignment horizontal="center" vertical="center"/>
    </xf>
    <xf numFmtId="0" fontId="5" fillId="0" borderId="19" xfId="49" applyFont="1" applyBorder="1" applyAlignment="1">
      <alignment horizontal="center" wrapText="1"/>
    </xf>
    <xf numFmtId="14" fontId="5" fillId="0" borderId="18" xfId="49" applyNumberFormat="1" applyFont="1" applyBorder="1" applyAlignment="1">
      <alignment horizontal="center" vertical="center" wrapText="1"/>
    </xf>
    <xf numFmtId="0" fontId="5" fillId="0" borderId="18" xfId="49" applyFont="1" applyBorder="1" applyAlignment="1">
      <alignment horizontal="center" vertical="center" wrapText="1"/>
    </xf>
    <xf numFmtId="10" fontId="5" fillId="0" borderId="18" xfId="49" applyNumberFormat="1" applyFont="1" applyBorder="1" applyAlignment="1">
      <alignment horizontal="center" vertical="center" wrapText="1"/>
    </xf>
    <xf numFmtId="0" fontId="5" fillId="0" borderId="14" xfId="49" applyFont="1" applyBorder="1" applyAlignment="1">
      <alignment horizontal="center" vertical="center" wrapText="1"/>
    </xf>
    <xf numFmtId="0" fontId="5" fillId="0" borderId="20" xfId="49" applyFont="1" applyBorder="1" applyAlignment="1">
      <alignment horizontal="center" wrapText="1"/>
    </xf>
    <xf numFmtId="190" fontId="5" fillId="0" borderId="18" xfId="49" applyNumberFormat="1" applyFont="1" applyBorder="1" applyAlignment="1">
      <alignment horizontal="center" vertical="center" wrapText="1"/>
    </xf>
    <xf numFmtId="14" fontId="5" fillId="0" borderId="20" xfId="49" applyNumberFormat="1" applyFont="1" applyBorder="1" applyAlignment="1">
      <alignment horizontal="center" vertical="center" wrapText="1"/>
    </xf>
    <xf numFmtId="190" fontId="5" fillId="0" borderId="20" xfId="49" applyNumberFormat="1" applyFont="1" applyBorder="1" applyAlignment="1">
      <alignment horizontal="center" vertical="center" wrapText="1"/>
    </xf>
    <xf numFmtId="0" fontId="5" fillId="0" borderId="20" xfId="49" applyFont="1" applyBorder="1" applyAlignment="1">
      <alignment horizontal="center" vertical="center" wrapText="1"/>
    </xf>
    <xf numFmtId="16" fontId="5" fillId="0" borderId="18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/>
    </xf>
    <xf numFmtId="0" fontId="6" fillId="0" borderId="1" xfId="49" applyFont="1" applyFill="1" applyBorder="1" applyAlignment="1">
      <alignment horizontal="center" wrapText="1"/>
    </xf>
    <xf numFmtId="14" fontId="0" fillId="0" borderId="5" xfId="49" applyNumberFormat="1" applyBorder="1"/>
    <xf numFmtId="185" fontId="0" fillId="0" borderId="5" xfId="11" applyNumberFormat="1" applyFont="1" applyBorder="1"/>
    <xf numFmtId="179" fontId="7" fillId="3" borderId="6" xfId="4" applyNumberFormat="1" applyFont="1" applyFill="1" applyBorder="1"/>
    <xf numFmtId="0" fontId="1" fillId="0" borderId="5" xfId="49" applyFont="1" applyBorder="1" applyAlignment="1">
      <alignment horizontal="center"/>
    </xf>
    <xf numFmtId="0" fontId="2" fillId="0" borderId="2" xfId="49" applyFont="1" applyBorder="1" applyAlignment="1">
      <alignment horizontal="center" wrapText="1"/>
    </xf>
    <xf numFmtId="14" fontId="0" fillId="0" borderId="10" xfId="49" applyNumberFormat="1" applyBorder="1"/>
    <xf numFmtId="1" fontId="0" fillId="0" borderId="0" xfId="49" applyNumberFormat="1" applyBorder="1"/>
    <xf numFmtId="185" fontId="0" fillId="0" borderId="0" xfId="11" applyNumberFormat="1" applyFont="1" applyBorder="1"/>
    <xf numFmtId="177" fontId="0" fillId="0" borderId="4" xfId="49" applyNumberFormat="1" applyBorder="1"/>
    <xf numFmtId="177" fontId="0" fillId="0" borderId="5" xfId="49" applyNumberFormat="1" applyBorder="1"/>
    <xf numFmtId="1" fontId="0" fillId="0" borderId="5" xfId="49" applyNumberFormat="1" applyBorder="1"/>
    <xf numFmtId="0" fontId="2" fillId="0" borderId="3" xfId="49" applyFont="1" applyBorder="1" applyAlignment="1">
      <alignment horizontal="center" wrapText="1"/>
    </xf>
    <xf numFmtId="183" fontId="0" fillId="0" borderId="0" xfId="4" applyNumberFormat="1" applyFont="1" applyBorder="1"/>
    <xf numFmtId="183" fontId="7" fillId="3" borderId="11" xfId="4" applyNumberFormat="1" applyFont="1" applyFill="1" applyBorder="1"/>
    <xf numFmtId="183" fontId="0" fillId="0" borderId="5" xfId="4" applyNumberFormat="1" applyFont="1" applyBorder="1"/>
    <xf numFmtId="183" fontId="7" fillId="3" borderId="6" xfId="4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600" b="1">
                <a:solidFill>
                  <a:srgbClr val="000000"/>
                </a:solidFill>
              </a:defRPr>
            </a:pPr>
            <a:r>
              <a:rPr lang="en-US" sz="1600" b="1"/>
              <a:t>Continuous Spot Rates</a:t>
            </a:r>
            <a:endParaRPr lang="en-US" sz="1600" b="1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666920112891"/>
          <c:y val="0.138558433620455"/>
          <c:w val="0.887264885669979"/>
          <c:h val="0.796075216625319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Bootstrapping!$C$5:$C$32</c:f>
              <c:numCache>
                <c:formatCode>General</c:formatCode>
                <c:ptCount val="28"/>
                <c:pt idx="0" c:formatCode="General">
                  <c:v>0.00821917808219178</c:v>
                </c:pt>
                <c:pt idx="1" c:formatCode="General">
                  <c:v>0.463013698630137</c:v>
                </c:pt>
                <c:pt idx="2" c:formatCode="General">
                  <c:v>0.504109589041096</c:v>
                </c:pt>
                <c:pt idx="3" c:formatCode="General">
                  <c:v>0.575342465753425</c:v>
                </c:pt>
                <c:pt idx="4" c:formatCode="General">
                  <c:v>0.967123287671233</c:v>
                </c:pt>
                <c:pt idx="5" c:formatCode="General">
                  <c:v>1.00821917808219</c:v>
                </c:pt>
                <c:pt idx="6" c:formatCode="General">
                  <c:v>1.46575342465753</c:v>
                </c:pt>
                <c:pt idx="7" c:formatCode="General">
                  <c:v>1.50684931506849</c:v>
                </c:pt>
                <c:pt idx="8" c:formatCode="General">
                  <c:v>1.96986301369863</c:v>
                </c:pt>
                <c:pt idx="9" c:formatCode="General">
                  <c:v>2.01095890410959</c:v>
                </c:pt>
                <c:pt idx="10" c:formatCode="General">
                  <c:v>2.46575342465753</c:v>
                </c:pt>
                <c:pt idx="11" c:formatCode="General">
                  <c:v>2.50684931506849</c:v>
                </c:pt>
                <c:pt idx="12" c:formatCode="General">
                  <c:v>2.96986301369863</c:v>
                </c:pt>
                <c:pt idx="13" c:formatCode="General">
                  <c:v>3.01095890410959</c:v>
                </c:pt>
                <c:pt idx="14" c:formatCode="General">
                  <c:v>3.46575342465753</c:v>
                </c:pt>
                <c:pt idx="15" c:formatCode="General">
                  <c:v>3.50684931506849</c:v>
                </c:pt>
                <c:pt idx="16" c:formatCode="General">
                  <c:v>4.01095890410959</c:v>
                </c:pt>
                <c:pt idx="17" c:formatCode="General">
                  <c:v>4.50684931506849</c:v>
                </c:pt>
                <c:pt idx="18" c:formatCode="General">
                  <c:v>5.01095890410959</c:v>
                </c:pt>
                <c:pt idx="19" c:formatCode="General">
                  <c:v>5.50958904109589</c:v>
                </c:pt>
                <c:pt idx="20" c:formatCode="0.000000000">
                  <c:v>6.01369863013699</c:v>
                </c:pt>
                <c:pt idx="21" c:formatCode="General">
                  <c:v>6.50958904109589</c:v>
                </c:pt>
                <c:pt idx="22" c:formatCode="0.000000000">
                  <c:v>7.01369863013699</c:v>
                </c:pt>
                <c:pt idx="23" c:formatCode="General">
                  <c:v>7.50958904109589</c:v>
                </c:pt>
                <c:pt idx="24" c:formatCode="0.000000000">
                  <c:v>8.01369863013699</c:v>
                </c:pt>
                <c:pt idx="25" c:formatCode="General">
                  <c:v>8.50958904109589</c:v>
                </c:pt>
                <c:pt idx="26" c:formatCode="0.000000000">
                  <c:v>9.01369863013699</c:v>
                </c:pt>
                <c:pt idx="27" c:formatCode="General">
                  <c:v>9.51232876712329</c:v>
                </c:pt>
              </c:numCache>
            </c:numRef>
          </c:xVal>
          <c:yVal>
            <c:numRef>
              <c:f>Bootstrapping!$I$5:$I$32</c:f>
              <c:numCache>
                <c:formatCode>0.00%</c:formatCode>
                <c:ptCount val="28"/>
                <c:pt idx="0">
                  <c:v>0.0460139432366343</c:v>
                </c:pt>
                <c:pt idx="1">
                  <c:v>0.0458885611740456</c:v>
                </c:pt>
                <c:pt idx="2">
                  <c:v>0.0459311966407946</c:v>
                </c:pt>
                <c:pt idx="3">
                  <c:v>0.0460262866514833</c:v>
                </c:pt>
                <c:pt idx="4">
                  <c:v>0.0462027199449976</c:v>
                </c:pt>
                <c:pt idx="5">
                  <c:v>0.0461978226535652</c:v>
                </c:pt>
                <c:pt idx="6">
                  <c:v>0.0461053975697667</c:v>
                </c:pt>
                <c:pt idx="7">
                  <c:v>0.0460991431346488</c:v>
                </c:pt>
                <c:pt idx="8">
                  <c:v>0.0461063142197903</c:v>
                </c:pt>
                <c:pt idx="9">
                  <c:v>0.0461152120476969</c:v>
                </c:pt>
                <c:pt idx="10">
                  <c:v>0.0463192137976764</c:v>
                </c:pt>
                <c:pt idx="11">
                  <c:v>0.0463476581835869</c:v>
                </c:pt>
                <c:pt idx="12">
                  <c:v>0.0467892218507159</c:v>
                </c:pt>
                <c:pt idx="13">
                  <c:v>0.0468393784700499</c:v>
                </c:pt>
                <c:pt idx="14">
                  <c:v>0.0475167629353333</c:v>
                </c:pt>
                <c:pt idx="15">
                  <c:v>0.0475890969479403</c:v>
                </c:pt>
                <c:pt idx="16">
                  <c:v>0.0485875131112452</c:v>
                </c:pt>
                <c:pt idx="17">
                  <c:v>0.049678162195774</c:v>
                </c:pt>
                <c:pt idx="18">
                  <c:v>0.0508037691415716</c:v>
                </c:pt>
                <c:pt idx="19">
                  <c:v>0.0518751167988112</c:v>
                </c:pt>
                <c:pt idx="20">
                  <c:v>0.052875907032086</c:v>
                </c:pt>
                <c:pt idx="21">
                  <c:v>0.053752698939673</c:v>
                </c:pt>
                <c:pt idx="22">
                  <c:v>0.0545149382977905</c:v>
                </c:pt>
                <c:pt idx="23">
                  <c:v>0.0551236874781669</c:v>
                </c:pt>
                <c:pt idx="24">
                  <c:v>0.0555883243180826</c:v>
                </c:pt>
                <c:pt idx="25">
                  <c:v>0.0558856137729169</c:v>
                </c:pt>
                <c:pt idx="26">
                  <c:v>0.0560189811868891</c:v>
                </c:pt>
                <c:pt idx="27">
                  <c:v>0.0559784111028427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8058240"/>
        <c:axId val="98059776"/>
      </c:scatterChart>
      <c:valAx>
        <c:axId val="98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98059776"/>
        <c:crosses val="autoZero"/>
        <c:crossBetween val="midCat"/>
      </c:valAx>
      <c:valAx>
        <c:axId val="98059776"/>
        <c:scaling>
          <c:orientation val="minMax"/>
          <c:max val="0.06"/>
          <c:min val="0.04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98058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600" b="1">
                <a:solidFill>
                  <a:srgbClr val="000000"/>
                </a:solidFill>
              </a:defRPr>
            </a:pPr>
            <a:r>
              <a:rPr lang="en-US" sz="1600" b="1"/>
              <a:t>Capitalization</a:t>
            </a:r>
            <a:r>
              <a:rPr lang="en-US" sz="1600" b="1" baseline="0"/>
              <a:t> Factor</a:t>
            </a:r>
            <a:endParaRPr lang="en-US" sz="1600" b="1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666920112891"/>
          <c:y val="0.138558433620455"/>
          <c:w val="0.887264885669979"/>
          <c:h val="0.796075216625319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Bootstrapping!$C$4:$C$32</c:f>
              <c:numCache>
                <c:formatCode>General</c:formatCode>
                <c:ptCount val="29"/>
                <c:pt idx="0" c:formatCode="General">
                  <c:v>0</c:v>
                </c:pt>
                <c:pt idx="1" c:formatCode="General">
                  <c:v>0.00821917808219178</c:v>
                </c:pt>
                <c:pt idx="2" c:formatCode="General">
                  <c:v>0.463013698630137</c:v>
                </c:pt>
                <c:pt idx="3" c:formatCode="General">
                  <c:v>0.504109589041096</c:v>
                </c:pt>
                <c:pt idx="4" c:formatCode="General">
                  <c:v>0.575342465753425</c:v>
                </c:pt>
                <c:pt idx="5" c:formatCode="General">
                  <c:v>0.967123287671233</c:v>
                </c:pt>
                <c:pt idx="6" c:formatCode="General">
                  <c:v>1.00821917808219</c:v>
                </c:pt>
                <c:pt idx="7" c:formatCode="General">
                  <c:v>1.46575342465753</c:v>
                </c:pt>
                <c:pt idx="8" c:formatCode="General">
                  <c:v>1.50684931506849</c:v>
                </c:pt>
                <c:pt idx="9" c:formatCode="General">
                  <c:v>1.96986301369863</c:v>
                </c:pt>
                <c:pt idx="10" c:formatCode="General">
                  <c:v>2.01095890410959</c:v>
                </c:pt>
                <c:pt idx="11" c:formatCode="General">
                  <c:v>2.46575342465753</c:v>
                </c:pt>
                <c:pt idx="12" c:formatCode="General">
                  <c:v>2.50684931506849</c:v>
                </c:pt>
                <c:pt idx="13" c:formatCode="General">
                  <c:v>2.96986301369863</c:v>
                </c:pt>
                <c:pt idx="14" c:formatCode="General">
                  <c:v>3.01095890410959</c:v>
                </c:pt>
                <c:pt idx="15" c:formatCode="General">
                  <c:v>3.46575342465753</c:v>
                </c:pt>
                <c:pt idx="16" c:formatCode="General">
                  <c:v>3.50684931506849</c:v>
                </c:pt>
                <c:pt idx="17" c:formatCode="General">
                  <c:v>4.01095890410959</c:v>
                </c:pt>
                <c:pt idx="18" c:formatCode="General">
                  <c:v>4.50684931506849</c:v>
                </c:pt>
                <c:pt idx="19" c:formatCode="General">
                  <c:v>5.01095890410959</c:v>
                </c:pt>
                <c:pt idx="20" c:formatCode="General">
                  <c:v>5.50958904109589</c:v>
                </c:pt>
                <c:pt idx="21" c:formatCode="0.000000000">
                  <c:v>6.01369863013699</c:v>
                </c:pt>
                <c:pt idx="22" c:formatCode="General">
                  <c:v>6.50958904109589</c:v>
                </c:pt>
                <c:pt idx="23" c:formatCode="0.000000000">
                  <c:v>7.01369863013699</c:v>
                </c:pt>
                <c:pt idx="24" c:formatCode="General">
                  <c:v>7.50958904109589</c:v>
                </c:pt>
                <c:pt idx="25" c:formatCode="0.000000000">
                  <c:v>8.01369863013699</c:v>
                </c:pt>
                <c:pt idx="26" c:formatCode="General">
                  <c:v>8.50958904109589</c:v>
                </c:pt>
                <c:pt idx="27" c:formatCode="0.000000000">
                  <c:v>9.01369863013699</c:v>
                </c:pt>
                <c:pt idx="28" c:formatCode="General">
                  <c:v>9.51232876712329</c:v>
                </c:pt>
              </c:numCache>
            </c:numRef>
          </c:xVal>
          <c:yVal>
            <c:numRef>
              <c:f>Bootstrapping!$D$4:$D$32</c:f>
              <c:numCache>
                <c:formatCode>General</c:formatCode>
                <c:ptCount val="29"/>
                <c:pt idx="0" c:formatCode="General">
                  <c:v>0</c:v>
                </c:pt>
                <c:pt idx="1" c:formatCode="_(* #,##0.000000_);_(* \(#,##0.000000\);_(* &quot;-&quot;??_);_(@_)">
                  <c:v>0.000378196793725762</c:v>
                </c:pt>
                <c:pt idx="2" c:formatCode="_(* #,##0.000000_);_(* \(#,##0.000000\);_(* &quot;-&quot;??_);_(@_)">
                  <c:v>0.0212470324340102</c:v>
                </c:pt>
                <c:pt idx="3" c:formatCode="_(* #,##0.000000_);_(* \(#,##0.000000\);_(* &quot;-&quot;??_);_(@_)">
                  <c:v>0.0231543566627567</c:v>
                </c:pt>
                <c:pt idx="4" c:formatCode="_(* #,##0.000000_);_(* \(#,##0.000000\);_(* &quot;-&quot;??_);_(@_)">
                  <c:v>0.0264808772515384</c:v>
                </c:pt>
                <c:pt idx="5" c:formatCode="_(* #,##0.000000_);_(* \(#,##0.000000\);_(* &quot;-&quot;??_);_(@_)">
                  <c:v>0.0446837264125593</c:v>
                </c:pt>
                <c:pt idx="6" c:formatCode="_(* #,##0.000000_);_(* \(#,##0.000000\);_(* &quot;-&quot;??_);_(@_)">
                  <c:v>0.0465775307849644</c:v>
                </c:pt>
                <c:pt idx="7" c:formatCode="_(* #,##0.000000_);_(* \(#,##0.000000\);_(* &quot;-&quot;??_);_(@_)">
                  <c:v>0.0675791443830827</c:v>
                </c:pt>
                <c:pt idx="8" c:formatCode="_(* #,##0.000000_);_(* \(#,##0.000000\);_(* &quot;-&quot;??_);_(@_)">
                  <c:v>0.06946446225769</c:v>
                </c:pt>
                <c:pt idx="9" c:formatCode="_(* #,##0.000000_);_(* \(#,##0.000000\);_(* &quot;-&quot;??_);_(@_)">
                  <c:v>0.0908231230795321</c:v>
                </c:pt>
                <c:pt idx="10" c:formatCode="_(* #,##0.000000_);_(* \(#,##0.000000\);_(* &quot;-&quot;??_);_(@_)">
                  <c:v>0.0927357962822179</c:v>
                </c:pt>
                <c:pt idx="11" c:formatCode="_(* #,##0.000000_);_(* \(#,##0.000000\);_(* &quot;-&quot;??_);_(@_)">
                  <c:v>0.114211760049065</c:v>
                </c:pt>
                <c:pt idx="12" c:formatCode="_(* #,##0.000000_);_(* \(#,##0.000000\);_(* &quot;-&quot;??_);_(@_)">
                  <c:v>0.116186595172554</c:v>
                </c:pt>
                <c:pt idx="13" c:formatCode="_(* #,##0.000000_);_(* \(#,##0.000000\);_(* &quot;-&quot;??_);_(@_)">
                  <c:v>0.138957579414181</c:v>
                </c:pt>
                <c:pt idx="14" c:formatCode="_(* #,##0.000000_);_(* \(#,##0.000000\);_(* &quot;-&quot;??_);_(@_)">
                  <c:v>0.141031443667356</c:v>
                </c:pt>
                <c:pt idx="15" c:formatCode="_(* #,##0.000000_);_(* \(#,##0.000000\);_(* &quot;-&quot;??_);_(@_)">
                  <c:v>0.164681383871772</c:v>
                </c:pt>
                <c:pt idx="16" c:formatCode="_(* #,##0.000000_);_(* \(#,##0.000000\);_(* &quot;-&quot;??_);_(@_)">
                  <c:v>0.166887792036613</c:v>
                </c:pt>
                <c:pt idx="17" c:formatCode="_(* #,##0.000000_);_(* \(#,##0.000000\);_(* &quot;-&quot;??_);_(@_)">
                  <c:v>0.19488251834209</c:v>
                </c:pt>
                <c:pt idx="18" c:formatCode="_(* #,##0.000000_);_(* \(#,##0.000000\);_(* &quot;-&quot;??_);_(@_)">
                  <c:v>0.223891991265886</c:v>
                </c:pt>
                <c:pt idx="19" c:formatCode="_(* #,##0.000000_);_(* \(#,##0.000000\);_(* &quot;-&quot;??_);_(@_)">
                  <c:v>0.254575599342286</c:v>
                </c:pt>
                <c:pt idx="20" c:formatCode="_(* #,##0.000000_);_(* \(#,##0.000000\);_(* &quot;-&quot;??_);_(@_)">
                  <c:v>0.285810575020299</c:v>
                </c:pt>
                <c:pt idx="21" c:formatCode="_(* #,##0.000000_);_(* \(#,##0.000000\);_(* &quot;-&quot;??_);_(@_)">
                  <c:v>0.317979769686106</c:v>
                </c:pt>
                <c:pt idx="22" c:formatCode="_(* #,##0.000000_);_(* \(#,##0.000000\);_(* &quot;-&quot;??_);_(@_)">
                  <c:v>0.349907979947022</c:v>
                </c:pt>
                <c:pt idx="23" c:formatCode="_(* #,##0.000000_);_(* \(#,##0.000000\);_(* &quot;-&quot;??_);_(@_)">
                  <c:v>0.382351348061215</c:v>
                </c:pt>
                <c:pt idx="24" c:formatCode="_(* #,##0.000000_);_(* \(#,##0.000000\);_(* &quot;-&quot;??_);_(@_)">
                  <c:v>0.413956239390837</c:v>
                </c:pt>
                <c:pt idx="25" c:formatCode="_(* #,##0.000000_);_(* \(#,##0.000000\);_(* &quot;-&quot;??_);_(@_)">
                  <c:v>0.445468078439429</c:v>
                </c:pt>
                <c:pt idx="26" c:formatCode="_(* #,##0.000000_);_(* \(#,##0.000000\);_(* &quot;-&quot;??_);_(@_)">
                  <c:v>0.475563606516931</c:v>
                </c:pt>
                <c:pt idx="27" c:formatCode="_(* #,##0.000000_);_(* \(#,##0.000000\);_(* &quot;-&quot;??_);_(@_)">
                  <c:v>0.504938213985932</c:v>
                </c:pt>
                <c:pt idx="28" c:formatCode="_(* #,##0.000000_);_(* \(#,##0.000000\);_(* &quot;-&quot;??_);_(@_)">
                  <c:v>0.532485050271424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545280"/>
        <c:axId val="58546816"/>
      </c:scatterChart>
      <c:valAx>
        <c:axId val="5854528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8546816"/>
        <c:crosses val="autoZero"/>
        <c:crossBetween val="midCat"/>
      </c:valAx>
      <c:valAx>
        <c:axId val="58546816"/>
        <c:scaling>
          <c:orientation val="minMax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8545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Capitalization Factor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128246900172"/>
          <c:y val="0.121970665431527"/>
          <c:w val="0.835935016743597"/>
          <c:h val="0.750653388914621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'Pricing New Bond'!$E$9:$E$27</c:f>
              <c:numCache>
                <c:formatCode>General</c:formatCode>
                <c:ptCount val="19"/>
                <c:pt idx="0" c:formatCode="General">
                  <c:v>0</c:v>
                </c:pt>
                <c:pt idx="1" c:formatCode="General">
                  <c:v>0.0986301369863014</c:v>
                </c:pt>
                <c:pt idx="2" c:formatCode="General">
                  <c:v>0.575342465753425</c:v>
                </c:pt>
                <c:pt idx="3" c:formatCode="General">
                  <c:v>0.602739726027397</c:v>
                </c:pt>
                <c:pt idx="4" c:formatCode="General">
                  <c:v>1.1013698630137</c:v>
                </c:pt>
                <c:pt idx="5" c:formatCode="General">
                  <c:v>1.60547945205479</c:v>
                </c:pt>
                <c:pt idx="6" c:formatCode="General">
                  <c:v>2.1013698630137</c:v>
                </c:pt>
                <c:pt idx="7" c:formatCode="General">
                  <c:v>2.60547945205479</c:v>
                </c:pt>
                <c:pt idx="8" c:formatCode="General">
                  <c:v>3.1013698630137</c:v>
                </c:pt>
                <c:pt idx="9" c:formatCode="General">
                  <c:v>3.46575342465753</c:v>
                </c:pt>
                <c:pt idx="10" c:formatCode="General">
                  <c:v>3.60547945205479</c:v>
                </c:pt>
                <c:pt idx="11" c:formatCode="General">
                  <c:v>4.1013698630137</c:v>
                </c:pt>
                <c:pt idx="12" c:formatCode="General">
                  <c:v>4.60547945205479</c:v>
                </c:pt>
                <c:pt idx="13" c:formatCode="General">
                  <c:v>5.1041095890411</c:v>
                </c:pt>
                <c:pt idx="14" c:formatCode="General">
                  <c:v>5.60821917808219</c:v>
                </c:pt>
                <c:pt idx="15" c:formatCode="General">
                  <c:v>6.1041095890411</c:v>
                </c:pt>
                <c:pt idx="16" c:formatCode="General">
                  <c:v>6.60821917808219</c:v>
                </c:pt>
                <c:pt idx="17" c:formatCode="General">
                  <c:v>7.1041095890411</c:v>
                </c:pt>
                <c:pt idx="18" c:formatCode="General">
                  <c:v>9.51232876712329</c:v>
                </c:pt>
              </c:numCache>
            </c:numRef>
          </c:xVal>
          <c:yVal>
            <c:numRef>
              <c:f>'Pricing New Bond'!$C$9:$C$27</c:f>
              <c:numCache>
                <c:formatCode>_(* #,##0.00000_);_(* \(#,##0.00000\);_(* "-"??_);_(@_)</c:formatCode>
                <c:ptCount val="19"/>
                <c:pt idx="0" c:formatCode="_(* #,##0.00000_);_(* \(#,##0.00000\);_(* &quot;-&quot;??_);_(@_)">
                  <c:v>0</c:v>
                </c:pt>
                <c:pt idx="1" c:formatCode="_(* #,##0.000000_);_(* \(#,##0.000000\);_(* &quot;-&quot;??_);_(@_)">
                  <c:v>0.00452729876671938</c:v>
                </c:pt>
                <c:pt idx="2" c:formatCode="_(* #,##0.000000_);_(* \(#,##0.000000\);_(* &quot;-&quot;??_);_(@_)">
                  <c:v>0.0264808772515384</c:v>
                </c:pt>
                <c:pt idx="3" c:formatCode="_(* #,##0.000000_);_(* \(#,##0.000000\);_(* &quot;-&quot;??_);_(@_)">
                  <c:v>0.027764884109407</c:v>
                </c:pt>
                <c:pt idx="4" c:formatCode="_(* #,##0.000000_);_(* \(#,##0.000000\);_(* &quot;-&quot;??_);_(@_)">
                  <c:v>0.0508629912219162</c:v>
                </c:pt>
                <c:pt idx="5" c:formatCode="_(* #,##0.000000_);_(* \(#,##0.000000\);_(* &quot;-&quot;??_);_(@_)">
                  <c:v>0.0739932620012619</c:v>
                </c:pt>
                <c:pt idx="6" c:formatCode="_(* #,##0.000000_);_(* \(#,##0.000000\);_(* &quot;-&quot;??_);_(@_)">
                  <c:v>0.0969574719026828</c:v>
                </c:pt>
                <c:pt idx="7" c:formatCode="_(* #,##0.000000_);_(* \(#,##0.000000\);_(* &quot;-&quot;??_);_(@_)">
                  <c:v>0.120954075643105</c:v>
                </c:pt>
                <c:pt idx="8" c:formatCode="_(* #,##0.000000_);_(* \(#,##0.000000\);_(* &quot;-&quot;??_);_(@_)">
                  <c:v>0.145628306863705</c:v>
                </c:pt>
                <c:pt idx="9" c:formatCode="_(* #,##0.000000_);_(* \(#,##0.000000\);_(* &quot;-&quot;??_);_(@_)">
                  <c:v>0.164681383871772</c:v>
                </c:pt>
                <c:pt idx="10" c:formatCode="_(* #,##0.000000_);_(* \(#,##0.000000\);_(* &quot;-&quot;??_);_(@_)">
                  <c:v>0.172232003779254</c:v>
                </c:pt>
                <c:pt idx="11" c:formatCode="_(* #,##0.000000_);_(* \(#,##0.000000\);_(* &quot;-&quot;??_);_(@_)">
                  <c:v>0.200071465903123</c:v>
                </c:pt>
                <c:pt idx="12" c:formatCode="_(* #,##0.000000_);_(* \(#,##0.000000\);_(* &quot;-&quot;??_);_(@_)">
                  <c:v>0.229810114532755</c:v>
                </c:pt>
                <c:pt idx="13" c:formatCode="_(* #,##0.000000_);_(* \(#,##0.000000\);_(* &quot;-&quot;??_);_(@_)">
                  <c:v>0.260352851291483</c:v>
                </c:pt>
                <c:pt idx="14" c:formatCode="_(* #,##0.000000_);_(* \(#,##0.000000\);_(* &quot;-&quot;??_);_(@_)">
                  <c:v>0.292067313523303</c:v>
                </c:pt>
                <c:pt idx="15" c:formatCode="_(* #,##0.000000_);_(* \(#,##0.000000\);_(* &quot;-&quot;??_);_(@_)">
                  <c:v>0.323788663766664</c:v>
                </c:pt>
                <c:pt idx="16" c:formatCode="_(* #,##0.000000_);_(* \(#,##0.000000\);_(* &quot;-&quot;??_);_(@_)">
                  <c:v>0.356266187041584</c:v>
                </c:pt>
                <c:pt idx="17" c:formatCode="_(* #,##0.000000_);_(* \(#,##0.000000\);_(* &quot;-&quot;??_);_(@_)">
                  <c:v>0.388145134954973</c:v>
                </c:pt>
                <c:pt idx="18" c:formatCode="_(* #,##0.000000_);_(* \(#,##0.000000\);_(* &quot;-&quot;??_);_(@_)">
                  <c:v>0.532485050271424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215040"/>
        <c:axId val="58220928"/>
      </c:scatterChart>
      <c:valAx>
        <c:axId val="582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8220928"/>
        <c:crosses val="autoZero"/>
        <c:crossBetween val="midCat"/>
      </c:valAx>
      <c:valAx>
        <c:axId val="5822092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8215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314325</xdr:colOff>
      <xdr:row>33</xdr:row>
      <xdr:rowOff>0</xdr:rowOff>
    </xdr:from>
    <xdr:to>
      <xdr:col>19</xdr:col>
      <xdr:colOff>590550</xdr:colOff>
      <xdr:row>63</xdr:row>
      <xdr:rowOff>9525</xdr:rowOff>
    </xdr:to>
    <xdr:graphicFrame>
      <xdr:nvGraphicFramePr>
        <xdr:cNvPr id="7202" name="Chart 1"/>
        <xdr:cNvGraphicFramePr/>
      </xdr:nvGraphicFramePr>
      <xdr:xfrm>
        <a:off x="7391400" y="5343525"/>
        <a:ext cx="6553200" cy="486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19051</xdr:rowOff>
    </xdr:from>
    <xdr:to>
      <xdr:col>19</xdr:col>
      <xdr:colOff>581025</xdr:colOff>
      <xdr:row>31</xdr:row>
      <xdr:rowOff>142876</xdr:rowOff>
    </xdr:to>
    <xdr:graphicFrame>
      <xdr:nvGraphicFramePr>
        <xdr:cNvPr id="4" name="Chart 1"/>
        <xdr:cNvGraphicFramePr/>
      </xdr:nvGraphicFramePr>
      <xdr:xfrm>
        <a:off x="7400925" y="342900"/>
        <a:ext cx="6534150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304799</xdr:colOff>
      <xdr:row>0</xdr:row>
      <xdr:rowOff>76200</xdr:rowOff>
    </xdr:from>
    <xdr:to>
      <xdr:col>21</xdr:col>
      <xdr:colOff>466724</xdr:colOff>
      <xdr:row>37</xdr:row>
      <xdr:rowOff>152400</xdr:rowOff>
    </xdr:to>
    <xdr:graphicFrame>
      <xdr:nvGraphicFramePr>
        <xdr:cNvPr id="5126" name="Chart 1"/>
        <xdr:cNvGraphicFramePr/>
      </xdr:nvGraphicFramePr>
      <xdr:xfrm>
        <a:off x="6181090" y="76200"/>
        <a:ext cx="8562975" cy="611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workbookViewId="0">
      <selection activeCell="E59" sqref="E59"/>
    </sheetView>
  </sheetViews>
  <sheetFormatPr defaultColWidth="9" defaultRowHeight="12.75"/>
  <cols>
    <col min="1" max="1" width="5.42857142857143" customWidth="1"/>
    <col min="2" max="2" width="11.8571428571429" customWidth="1"/>
    <col min="3" max="3" width="13.8571428571429" customWidth="1"/>
    <col min="4" max="4" width="14.7142857142857" customWidth="1"/>
    <col min="5" max="5" width="14" customWidth="1"/>
    <col min="6" max="7" width="15.1428571428571" customWidth="1"/>
    <col min="8" max="8" width="15" customWidth="1"/>
    <col min="9" max="9" width="13.1428571428571" customWidth="1"/>
    <col min="10" max="10" width="12.1428571428571" customWidth="1"/>
    <col min="11" max="11" width="13.5714285714286" customWidth="1"/>
  </cols>
  <sheetData>
    <row r="1" customHeight="1" spans="1:1">
      <c r="A1" s="85"/>
    </row>
    <row r="2" spans="2:3">
      <c r="B2" s="42" t="s">
        <v>0</v>
      </c>
      <c r="C2" s="86">
        <v>39125</v>
      </c>
    </row>
    <row r="3" ht="18" customHeight="1" spans="2:8">
      <c r="B3" s="87" t="s">
        <v>1</v>
      </c>
      <c r="C3" s="87"/>
      <c r="D3" s="87"/>
      <c r="E3" s="87"/>
      <c r="F3" s="87"/>
      <c r="G3" s="87"/>
      <c r="H3" s="87"/>
    </row>
    <row r="4" ht="16.5" spans="2:8">
      <c r="B4" s="88" t="s">
        <v>2</v>
      </c>
      <c r="C4" s="88" t="s">
        <v>3</v>
      </c>
      <c r="D4" s="88" t="s">
        <v>4</v>
      </c>
      <c r="E4" s="88" t="s">
        <v>5</v>
      </c>
      <c r="F4" s="88" t="s">
        <v>6</v>
      </c>
      <c r="G4" s="89" t="s">
        <v>7</v>
      </c>
      <c r="H4" s="90"/>
    </row>
    <row r="5" ht="16.5" spans="2:8">
      <c r="B5" s="91"/>
      <c r="C5" s="91"/>
      <c r="D5" s="91"/>
      <c r="E5" s="91"/>
      <c r="F5" s="91"/>
      <c r="G5" s="92" t="s">
        <v>8</v>
      </c>
      <c r="H5" s="92" t="s">
        <v>9</v>
      </c>
    </row>
    <row r="6" ht="31.5" customHeight="1" spans="1:8">
      <c r="A6" s="93">
        <v>1</v>
      </c>
      <c r="B6" s="94" t="s">
        <v>10</v>
      </c>
      <c r="C6" s="95">
        <v>39335</v>
      </c>
      <c r="D6" s="96" t="s">
        <v>11</v>
      </c>
      <c r="E6" s="96" t="s">
        <v>12</v>
      </c>
      <c r="F6" s="96" t="s">
        <v>11</v>
      </c>
      <c r="G6" s="97">
        <v>0.0448</v>
      </c>
      <c r="H6" s="98" t="s">
        <v>13</v>
      </c>
    </row>
    <row r="7" ht="32.25" spans="1:8">
      <c r="A7" s="93">
        <v>2</v>
      </c>
      <c r="B7" s="99" t="s">
        <v>14</v>
      </c>
      <c r="C7" s="95">
        <v>40390</v>
      </c>
      <c r="D7" s="100">
        <v>4.75</v>
      </c>
      <c r="E7" s="96" t="s">
        <v>15</v>
      </c>
      <c r="F7" s="96" t="s">
        <v>16</v>
      </c>
      <c r="G7" s="96" t="s">
        <v>17</v>
      </c>
      <c r="H7" s="98" t="s">
        <v>18</v>
      </c>
    </row>
    <row r="8" ht="32.25" spans="1:8">
      <c r="A8" s="93">
        <v>3</v>
      </c>
      <c r="B8" s="91" t="s">
        <v>14</v>
      </c>
      <c r="C8" s="101">
        <v>42597</v>
      </c>
      <c r="D8" s="102">
        <v>5.5</v>
      </c>
      <c r="E8" s="103" t="s">
        <v>15</v>
      </c>
      <c r="F8" s="104" t="s">
        <v>19</v>
      </c>
      <c r="G8" s="103" t="s">
        <v>20</v>
      </c>
      <c r="H8" s="103" t="s">
        <v>18</v>
      </c>
    </row>
    <row r="10" ht="15.75" customHeight="1" spans="2:8">
      <c r="B10" s="105" t="s">
        <v>21</v>
      </c>
      <c r="C10" s="105"/>
      <c r="D10" s="105"/>
      <c r="E10" s="105"/>
      <c r="F10" s="105"/>
      <c r="G10" s="105"/>
      <c r="H10" s="105"/>
    </row>
    <row r="11" s="1" customFormat="1" spans="2:7">
      <c r="B11" s="106" t="s">
        <v>0</v>
      </c>
      <c r="C11" s="72" t="s">
        <v>3</v>
      </c>
      <c r="D11" s="72" t="s">
        <v>22</v>
      </c>
      <c r="E11" s="72" t="s">
        <v>23</v>
      </c>
      <c r="F11" s="72" t="s">
        <v>24</v>
      </c>
      <c r="G11" s="73" t="s">
        <v>25</v>
      </c>
    </row>
    <row r="12" spans="1:7">
      <c r="A12" s="1">
        <v>1</v>
      </c>
      <c r="B12" s="7">
        <f>AsOfDate</f>
        <v>39125</v>
      </c>
      <c r="C12" s="107">
        <f>_mat1</f>
        <v>39335</v>
      </c>
      <c r="D12" s="108">
        <f>d_yld</f>
        <v>0.0448</v>
      </c>
      <c r="E12" s="37">
        <f>_mat1-AsOfDate</f>
        <v>210</v>
      </c>
      <c r="F12" s="37">
        <f>E12/360</f>
        <v>0.583333333333333</v>
      </c>
      <c r="G12" s="109">
        <f>100*(1-d_yld*F12)</f>
        <v>97.3866666666667</v>
      </c>
    </row>
    <row r="13" spans="1:1">
      <c r="A13" s="1"/>
    </row>
    <row r="14" ht="17.25" customHeight="1" spans="1:11">
      <c r="A14" s="1"/>
      <c r="B14" s="110" t="s">
        <v>26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5" s="1" customFormat="1" ht="25.5" spans="2:11">
      <c r="B15" s="106" t="s">
        <v>0</v>
      </c>
      <c r="C15" s="111" t="s">
        <v>3</v>
      </c>
      <c r="D15" s="111" t="s">
        <v>27</v>
      </c>
      <c r="E15" s="111" t="s">
        <v>28</v>
      </c>
      <c r="F15" s="111" t="s">
        <v>29</v>
      </c>
      <c r="G15" s="111" t="s">
        <v>30</v>
      </c>
      <c r="H15" s="111" t="s">
        <v>4</v>
      </c>
      <c r="I15" s="111" t="s">
        <v>31</v>
      </c>
      <c r="J15" s="111" t="s">
        <v>32</v>
      </c>
      <c r="K15" s="118" t="s">
        <v>33</v>
      </c>
    </row>
    <row r="16" spans="1:11">
      <c r="A16" s="1">
        <v>2</v>
      </c>
      <c r="B16" s="112">
        <f>AsOfDate</f>
        <v>39125</v>
      </c>
      <c r="C16" s="26">
        <f>_mat2</f>
        <v>40390</v>
      </c>
      <c r="D16" s="26">
        <v>39113</v>
      </c>
      <c r="E16" s="26">
        <v>39294</v>
      </c>
      <c r="F16" s="113">
        <f>E16-D16</f>
        <v>181</v>
      </c>
      <c r="G16" s="113">
        <f>E16-AsOfDate</f>
        <v>169</v>
      </c>
      <c r="H16" s="114">
        <f>0.04+0.03/4</f>
        <v>0.0475</v>
      </c>
      <c r="I16" s="119">
        <f>100*_cpn2*0.5*(AsOfDate-D16)/F16</f>
        <v>0.157458563535912</v>
      </c>
      <c r="J16" s="119">
        <f>99+27/32</f>
        <v>99.84375</v>
      </c>
      <c r="K16" s="120">
        <f>J16+I16</f>
        <v>100.001208563536</v>
      </c>
    </row>
    <row r="17" spans="1:11">
      <c r="A17" s="1">
        <v>3</v>
      </c>
      <c r="B17" s="115">
        <f>AsOfDate</f>
        <v>39125</v>
      </c>
      <c r="C17" s="116">
        <f>_mat3</f>
        <v>42597</v>
      </c>
      <c r="D17" s="107">
        <v>38944</v>
      </c>
      <c r="E17" s="107">
        <v>39128</v>
      </c>
      <c r="F17" s="117">
        <f>E17-D17</f>
        <v>184</v>
      </c>
      <c r="G17" s="117">
        <f>E17-AsOfDate</f>
        <v>3</v>
      </c>
      <c r="H17" s="108">
        <f>0.05+0.01/2</f>
        <v>0.055</v>
      </c>
      <c r="I17" s="121">
        <f>100*_cpn3*0.5*(AsOfDate-D17)/F17</f>
        <v>2.70516304347826</v>
      </c>
      <c r="J17" s="121">
        <f>99+11/32</f>
        <v>99.34375</v>
      </c>
      <c r="K17" s="122">
        <f>J17+I17</f>
        <v>102.048913043478</v>
      </c>
    </row>
    <row r="50" ht="15" customHeight="1"/>
  </sheetData>
  <mergeCells count="9">
    <mergeCell ref="B3:H3"/>
    <mergeCell ref="G4:H4"/>
    <mergeCell ref="B10:H10"/>
    <mergeCell ref="B14:K14"/>
    <mergeCell ref="B4:B5"/>
    <mergeCell ref="C4:C5"/>
    <mergeCell ref="D4:D5"/>
    <mergeCell ref="E4:E5"/>
    <mergeCell ref="F4:F5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42"/>
  <sheetViews>
    <sheetView tabSelected="1" topLeftCell="A22" workbookViewId="0">
      <selection activeCell="B39" sqref="B39"/>
    </sheetView>
  </sheetViews>
  <sheetFormatPr defaultColWidth="9" defaultRowHeight="12.75"/>
  <cols>
    <col min="1" max="1" width="5.85714285714286" customWidth="1"/>
    <col min="3" max="3" width="13.8571428571429" customWidth="1"/>
    <col min="4" max="4" width="14.7142857142857" customWidth="1"/>
    <col min="5" max="5" width="13.1428571428571" customWidth="1"/>
    <col min="6" max="6" width="10.7142857142857" customWidth="1"/>
    <col min="7" max="8" width="11.7142857142857" customWidth="1"/>
    <col min="9" max="9" width="15.4285714285714" customWidth="1"/>
    <col min="10" max="10" width="13.1428571428571" customWidth="1"/>
  </cols>
  <sheetData>
    <row r="2" spans="2:8">
      <c r="B2" s="42"/>
      <c r="C2" s="42"/>
      <c r="D2" s="42"/>
      <c r="E2" s="42"/>
      <c r="F2" s="43" t="s">
        <v>34</v>
      </c>
      <c r="G2" s="43"/>
      <c r="H2" s="43"/>
    </row>
    <row r="3" spans="1:9">
      <c r="A3" s="43" t="s">
        <v>35</v>
      </c>
      <c r="B3" s="13" t="s">
        <v>36</v>
      </c>
      <c r="C3" s="44" t="s">
        <v>37</v>
      </c>
      <c r="D3" s="14" t="s">
        <v>38</v>
      </c>
      <c r="E3" s="45" t="s">
        <v>39</v>
      </c>
      <c r="F3" s="13" t="s">
        <v>40</v>
      </c>
      <c r="G3" s="14" t="s">
        <v>41</v>
      </c>
      <c r="H3" s="45" t="s">
        <v>42</v>
      </c>
      <c r="I3" s="83" t="s">
        <v>43</v>
      </c>
    </row>
    <row r="4" spans="1:8">
      <c r="A4" s="1">
        <v>0</v>
      </c>
      <c r="B4" s="46">
        <f>AsOfDate</f>
        <v>39125</v>
      </c>
      <c r="C4" s="47">
        <f t="shared" ref="C4:C32" si="0">(date-AsOfDate)/365</f>
        <v>0</v>
      </c>
      <c r="D4" s="47">
        <v>0</v>
      </c>
      <c r="E4" s="48">
        <f t="shared" ref="E4:E32" si="1">EXP(-Capit_Factor)</f>
        <v>1</v>
      </c>
      <c r="F4" s="49"/>
      <c r="G4" s="50"/>
      <c r="H4" s="48"/>
    </row>
    <row r="5" spans="2:9">
      <c r="B5" s="24">
        <v>39128</v>
      </c>
      <c r="C5" s="22">
        <f t="shared" si="0"/>
        <v>0.00821917808219178</v>
      </c>
      <c r="D5" s="25">
        <f>a_0+b_0*(time-time0)+c_0*(time-time0)^2+d_0*(time-time0)^3</f>
        <v>0.000378196793725762</v>
      </c>
      <c r="E5" s="51">
        <f t="shared" si="1"/>
        <v>0.999621874713667</v>
      </c>
      <c r="F5" s="33"/>
      <c r="G5" s="52" t="str">
        <f>IF(DAY(date)=31,100*_cpn2,"")</f>
        <v/>
      </c>
      <c r="H5" s="53">
        <f t="shared" ref="H5:H31" si="2">IF(DAY(date)=15,100*_cpn3/2,"")</f>
        <v>2.75</v>
      </c>
      <c r="I5" s="84">
        <f t="shared" ref="I5:I32" si="3">Capit_Factor/time</f>
        <v>0.0460139432366343</v>
      </c>
    </row>
    <row r="6" spans="2:9">
      <c r="B6" s="24">
        <v>39294</v>
      </c>
      <c r="C6" s="22">
        <f t="shared" si="0"/>
        <v>0.463013698630137</v>
      </c>
      <c r="D6" s="25">
        <f>a_0+b_0*(time-time0)+c_0*(time-time0)^2+d_0*(time-time0)^3</f>
        <v>0.0212470324340102</v>
      </c>
      <c r="E6" s="51">
        <f t="shared" si="1"/>
        <v>0.978977095601183</v>
      </c>
      <c r="F6" s="33"/>
      <c r="G6" s="54">
        <f t="shared" ref="G6:G17" si="4">IF(DAY(date)=31,100*_cpn2/2,"")</f>
        <v>2.375</v>
      </c>
      <c r="H6" s="53" t="str">
        <f t="shared" si="2"/>
        <v/>
      </c>
      <c r="I6" s="84">
        <f t="shared" si="3"/>
        <v>0.0458885611740456</v>
      </c>
    </row>
    <row r="7" spans="2:9">
      <c r="B7" s="24">
        <v>39309</v>
      </c>
      <c r="C7" s="22">
        <f t="shared" si="0"/>
        <v>0.504109589041096</v>
      </c>
      <c r="D7" s="25">
        <f>a_0+b_0*(time-time0)+c_0*(time-time0)^2+d_0*(time-time0)^3</f>
        <v>0.0231543566627567</v>
      </c>
      <c r="E7" s="51">
        <f t="shared" si="1"/>
        <v>0.977111648439163</v>
      </c>
      <c r="F7" s="33"/>
      <c r="G7" s="54" t="str">
        <f t="shared" si="4"/>
        <v/>
      </c>
      <c r="H7" s="53">
        <f t="shared" si="2"/>
        <v>2.75</v>
      </c>
      <c r="I7" s="84">
        <f t="shared" si="3"/>
        <v>0.0459311966407946</v>
      </c>
    </row>
    <row r="8" spans="1:9">
      <c r="A8" s="1">
        <v>1</v>
      </c>
      <c r="B8" s="55">
        <f>_mat1</f>
        <v>39335</v>
      </c>
      <c r="C8" s="56">
        <f t="shared" si="0"/>
        <v>0.575342465753425</v>
      </c>
      <c r="D8" s="57">
        <v>0.0264808772515384</v>
      </c>
      <c r="E8" s="51">
        <f t="shared" si="1"/>
        <v>0.973866666664776</v>
      </c>
      <c r="F8" s="58">
        <f>100</f>
        <v>100</v>
      </c>
      <c r="G8" s="54" t="str">
        <f t="shared" si="4"/>
        <v/>
      </c>
      <c r="H8" s="53" t="str">
        <f t="shared" si="2"/>
        <v/>
      </c>
      <c r="I8" s="84">
        <f t="shared" si="3"/>
        <v>0.0460262866514833</v>
      </c>
    </row>
    <row r="9" spans="1:9">
      <c r="A9" s="1"/>
      <c r="B9" s="24">
        <v>39478</v>
      </c>
      <c r="C9" s="22">
        <f t="shared" si="0"/>
        <v>0.967123287671233</v>
      </c>
      <c r="D9" s="25">
        <f t="shared" ref="D9:D18" si="5">a_1+b_1*(time-time1)+c_1*(time-time1)^2+d_1*(time-time1)^3</f>
        <v>0.0446837264125593</v>
      </c>
      <c r="E9" s="51">
        <f t="shared" si="1"/>
        <v>0.956299886405032</v>
      </c>
      <c r="F9" s="33"/>
      <c r="G9" s="54">
        <f t="shared" si="4"/>
        <v>2.375</v>
      </c>
      <c r="H9" s="53" t="str">
        <f t="shared" si="2"/>
        <v/>
      </c>
      <c r="I9" s="84">
        <f t="shared" si="3"/>
        <v>0.0462027199449976</v>
      </c>
    </row>
    <row r="10" spans="1:9">
      <c r="A10" s="1"/>
      <c r="B10" s="24">
        <v>39493</v>
      </c>
      <c r="C10" s="22">
        <f t="shared" si="0"/>
        <v>1.00821917808219</v>
      </c>
      <c r="D10" s="25">
        <f t="shared" si="5"/>
        <v>0.0465775307849644</v>
      </c>
      <c r="E10" s="51">
        <f t="shared" si="1"/>
        <v>0.954490555299171</v>
      </c>
      <c r="F10" s="33"/>
      <c r="G10" s="54" t="str">
        <f t="shared" si="4"/>
        <v/>
      </c>
      <c r="H10" s="53">
        <f t="shared" si="2"/>
        <v>2.75</v>
      </c>
      <c r="I10" s="84">
        <f t="shared" si="3"/>
        <v>0.0461978226535652</v>
      </c>
    </row>
    <row r="11" spans="1:9">
      <c r="A11" s="1"/>
      <c r="B11" s="24">
        <v>39660</v>
      </c>
      <c r="C11" s="22">
        <f t="shared" si="0"/>
        <v>1.46575342465753</v>
      </c>
      <c r="D11" s="25">
        <f t="shared" si="5"/>
        <v>0.0675791443830827</v>
      </c>
      <c r="E11" s="51">
        <f t="shared" si="1"/>
        <v>0.934653745094641</v>
      </c>
      <c r="F11" s="33"/>
      <c r="G11" s="54">
        <f t="shared" si="4"/>
        <v>2.375</v>
      </c>
      <c r="H11" s="53" t="str">
        <f t="shared" si="2"/>
        <v/>
      </c>
      <c r="I11" s="84">
        <f t="shared" si="3"/>
        <v>0.0461053975697667</v>
      </c>
    </row>
    <row r="12" spans="1:9">
      <c r="A12" s="1"/>
      <c r="B12" s="24">
        <v>39675</v>
      </c>
      <c r="C12" s="22">
        <f t="shared" si="0"/>
        <v>1.50684931506849</v>
      </c>
      <c r="D12" s="25">
        <f t="shared" si="5"/>
        <v>0.06946446225769</v>
      </c>
      <c r="E12" s="51">
        <f t="shared" si="1"/>
        <v>0.932893285716664</v>
      </c>
      <c r="F12" s="33"/>
      <c r="G12" s="54" t="str">
        <f t="shared" si="4"/>
        <v/>
      </c>
      <c r="H12" s="53">
        <f t="shared" si="2"/>
        <v>2.75</v>
      </c>
      <c r="I12" s="84">
        <f t="shared" si="3"/>
        <v>0.0460991431346488</v>
      </c>
    </row>
    <row r="13" spans="1:9">
      <c r="A13" s="1"/>
      <c r="B13" s="24">
        <v>39844</v>
      </c>
      <c r="C13" s="22">
        <f t="shared" si="0"/>
        <v>1.96986301369863</v>
      </c>
      <c r="D13" s="25">
        <f t="shared" si="5"/>
        <v>0.0908231230795321</v>
      </c>
      <c r="E13" s="51">
        <f t="shared" si="1"/>
        <v>0.913179216943227</v>
      </c>
      <c r="F13" s="33"/>
      <c r="G13" s="54">
        <f t="shared" si="4"/>
        <v>2.375</v>
      </c>
      <c r="H13" s="53" t="str">
        <f t="shared" si="2"/>
        <v/>
      </c>
      <c r="I13" s="84">
        <f t="shared" si="3"/>
        <v>0.0461063142197903</v>
      </c>
    </row>
    <row r="14" spans="1:9">
      <c r="A14" s="1"/>
      <c r="B14" s="24">
        <v>39859</v>
      </c>
      <c r="C14" s="22">
        <f t="shared" si="0"/>
        <v>2.01095890410959</v>
      </c>
      <c r="D14" s="25">
        <f t="shared" si="5"/>
        <v>0.0927357962822179</v>
      </c>
      <c r="E14" s="51">
        <f t="shared" si="1"/>
        <v>0.911434272811634</v>
      </c>
      <c r="F14" s="33"/>
      <c r="G14" s="54" t="str">
        <f t="shared" si="4"/>
        <v/>
      </c>
      <c r="H14" s="53">
        <f t="shared" si="2"/>
        <v>2.75</v>
      </c>
      <c r="I14" s="84">
        <f t="shared" si="3"/>
        <v>0.0461152120476969</v>
      </c>
    </row>
    <row r="15" spans="1:9">
      <c r="A15" s="1"/>
      <c r="B15" s="24">
        <v>40025</v>
      </c>
      <c r="C15" s="22">
        <f t="shared" si="0"/>
        <v>2.46575342465753</v>
      </c>
      <c r="D15" s="25">
        <f t="shared" si="5"/>
        <v>0.114211760049065</v>
      </c>
      <c r="E15" s="51">
        <f t="shared" si="1"/>
        <v>0.892069031297938</v>
      </c>
      <c r="F15" s="33"/>
      <c r="G15" s="54">
        <f t="shared" si="4"/>
        <v>2.375</v>
      </c>
      <c r="H15" s="53" t="str">
        <f t="shared" si="2"/>
        <v/>
      </c>
      <c r="I15" s="84">
        <f t="shared" si="3"/>
        <v>0.0463192137976764</v>
      </c>
    </row>
    <row r="16" spans="1:9">
      <c r="A16" s="1"/>
      <c r="B16" s="24">
        <v>40040</v>
      </c>
      <c r="C16" s="22">
        <f t="shared" si="0"/>
        <v>2.50684931506849</v>
      </c>
      <c r="D16" s="25">
        <f t="shared" si="5"/>
        <v>0.116186595172554</v>
      </c>
      <c r="E16" s="51">
        <f t="shared" si="1"/>
        <v>0.890309080420738</v>
      </c>
      <c r="F16" s="33"/>
      <c r="G16" s="54" t="str">
        <f t="shared" si="4"/>
        <v/>
      </c>
      <c r="H16" s="53">
        <f t="shared" si="2"/>
        <v>2.75</v>
      </c>
      <c r="I16" s="84">
        <f t="shared" si="3"/>
        <v>0.0463476581835869</v>
      </c>
    </row>
    <row r="17" spans="1:9">
      <c r="A17" s="1"/>
      <c r="B17" s="24">
        <v>40209</v>
      </c>
      <c r="C17" s="22">
        <f t="shared" si="0"/>
        <v>2.96986301369863</v>
      </c>
      <c r="D17" s="25">
        <f t="shared" si="5"/>
        <v>0.138957579414181</v>
      </c>
      <c r="E17" s="51">
        <f t="shared" si="1"/>
        <v>0.870264944824016</v>
      </c>
      <c r="F17" s="33"/>
      <c r="G17" s="54">
        <f t="shared" si="4"/>
        <v>2.375</v>
      </c>
      <c r="H17" s="53" t="str">
        <f t="shared" si="2"/>
        <v/>
      </c>
      <c r="I17" s="84">
        <f t="shared" si="3"/>
        <v>0.0467892218507159</v>
      </c>
    </row>
    <row r="18" spans="1:9">
      <c r="A18" s="1"/>
      <c r="B18" s="24">
        <v>40224</v>
      </c>
      <c r="C18" s="22">
        <f t="shared" si="0"/>
        <v>3.01095890410959</v>
      </c>
      <c r="D18" s="25">
        <f t="shared" si="5"/>
        <v>0.141031443667356</v>
      </c>
      <c r="E18" s="51">
        <f t="shared" si="1"/>
        <v>0.868462003637984</v>
      </c>
      <c r="F18" s="33"/>
      <c r="G18" s="52" t="str">
        <f>IF(DAY(date)=31,100*_cpn2,"")</f>
        <v/>
      </c>
      <c r="H18" s="53">
        <f t="shared" si="2"/>
        <v>2.75</v>
      </c>
      <c r="I18" s="84">
        <f t="shared" si="3"/>
        <v>0.0468393784700499</v>
      </c>
    </row>
    <row r="19" spans="1:9">
      <c r="A19" s="1">
        <v>2</v>
      </c>
      <c r="B19" s="55">
        <f>_mat2</f>
        <v>40390</v>
      </c>
      <c r="C19" s="56">
        <f t="shared" si="0"/>
        <v>3.46575342465753</v>
      </c>
      <c r="D19" s="57">
        <v>0.164681383871772</v>
      </c>
      <c r="E19" s="51">
        <f t="shared" si="1"/>
        <v>0.848163899739122</v>
      </c>
      <c r="F19" s="33"/>
      <c r="G19" s="52">
        <f>100*(_cpn2/2+1)</f>
        <v>102.375</v>
      </c>
      <c r="H19" s="53" t="str">
        <f t="shared" si="2"/>
        <v/>
      </c>
      <c r="I19" s="84">
        <f t="shared" si="3"/>
        <v>0.0475167629353333</v>
      </c>
    </row>
    <row r="20" spans="1:9">
      <c r="A20" s="1"/>
      <c r="B20" s="24">
        <v>40405</v>
      </c>
      <c r="C20" s="22">
        <f t="shared" si="0"/>
        <v>3.50684931506849</v>
      </c>
      <c r="D20" s="25">
        <f t="shared" ref="D20:D31" si="6">a_2+b_2*(time-time2)+c_2*(time-time2)^2+d_2*(time-time2)^3</f>
        <v>0.166887792036613</v>
      </c>
      <c r="E20" s="51">
        <f t="shared" si="1"/>
        <v>0.846294566999487</v>
      </c>
      <c r="F20" s="33"/>
      <c r="G20" s="52"/>
      <c r="H20" s="53">
        <f t="shared" si="2"/>
        <v>2.75</v>
      </c>
      <c r="I20" s="84">
        <f t="shared" si="3"/>
        <v>0.0475890969479403</v>
      </c>
    </row>
    <row r="21" spans="1:9">
      <c r="A21" s="1"/>
      <c r="B21" s="24">
        <f t="shared" ref="B21:B31" si="7">DATE(YEAR(B20),MONTH(B20)+6,DAY(B20))</f>
        <v>40589</v>
      </c>
      <c r="C21" s="22">
        <f t="shared" si="0"/>
        <v>4.01095890410959</v>
      </c>
      <c r="D21" s="25">
        <f t="shared" si="6"/>
        <v>0.19488251834209</v>
      </c>
      <c r="E21" s="51">
        <f t="shared" si="1"/>
        <v>0.822931331714412</v>
      </c>
      <c r="F21" s="33"/>
      <c r="G21" s="52"/>
      <c r="H21" s="53">
        <f t="shared" si="2"/>
        <v>2.75</v>
      </c>
      <c r="I21" s="84">
        <f t="shared" si="3"/>
        <v>0.0485875131112452</v>
      </c>
    </row>
    <row r="22" spans="1:9">
      <c r="A22" s="1"/>
      <c r="B22" s="24">
        <f t="shared" si="7"/>
        <v>40770</v>
      </c>
      <c r="C22" s="22">
        <f t="shared" si="0"/>
        <v>4.50684931506849</v>
      </c>
      <c r="D22" s="25">
        <f t="shared" si="6"/>
        <v>0.223891991265886</v>
      </c>
      <c r="E22" s="51">
        <f t="shared" si="1"/>
        <v>0.799401472047715</v>
      </c>
      <c r="F22" s="33"/>
      <c r="G22" s="52"/>
      <c r="H22" s="53">
        <f t="shared" si="2"/>
        <v>2.75</v>
      </c>
      <c r="I22" s="84">
        <f t="shared" si="3"/>
        <v>0.049678162195774</v>
      </c>
    </row>
    <row r="23" spans="1:9">
      <c r="A23" s="1"/>
      <c r="B23" s="24">
        <f t="shared" si="7"/>
        <v>40954</v>
      </c>
      <c r="C23" s="22">
        <f t="shared" si="0"/>
        <v>5.01095890410959</v>
      </c>
      <c r="D23" s="25">
        <f t="shared" si="6"/>
        <v>0.254575599342286</v>
      </c>
      <c r="E23" s="51">
        <f t="shared" si="1"/>
        <v>0.775245442829761</v>
      </c>
      <c r="F23" s="33"/>
      <c r="G23" s="52"/>
      <c r="H23" s="53">
        <f t="shared" si="2"/>
        <v>2.75</v>
      </c>
      <c r="I23" s="84">
        <f t="shared" si="3"/>
        <v>0.0508037691415716</v>
      </c>
    </row>
    <row r="24" spans="1:9">
      <c r="A24" s="1"/>
      <c r="B24" s="24">
        <f t="shared" si="7"/>
        <v>41136</v>
      </c>
      <c r="C24" s="22">
        <f t="shared" si="0"/>
        <v>5.50958904109589</v>
      </c>
      <c r="D24" s="25">
        <f t="shared" si="6"/>
        <v>0.285810575020299</v>
      </c>
      <c r="E24" s="51">
        <f t="shared" si="1"/>
        <v>0.751404937331849</v>
      </c>
      <c r="F24" s="33"/>
      <c r="G24" s="52"/>
      <c r="H24" s="53">
        <f t="shared" si="2"/>
        <v>2.75</v>
      </c>
      <c r="I24" s="84">
        <f t="shared" si="3"/>
        <v>0.0518751167988112</v>
      </c>
    </row>
    <row r="25" spans="1:9">
      <c r="A25" s="1"/>
      <c r="B25" s="24">
        <f t="shared" si="7"/>
        <v>41320</v>
      </c>
      <c r="C25" s="59">
        <f t="shared" si="0"/>
        <v>6.01369863013699</v>
      </c>
      <c r="D25" s="25">
        <f t="shared" si="6"/>
        <v>0.317979769686106</v>
      </c>
      <c r="E25" s="51">
        <f t="shared" si="1"/>
        <v>0.727617508196287</v>
      </c>
      <c r="F25" s="33"/>
      <c r="G25" s="52"/>
      <c r="H25" s="53">
        <f t="shared" si="2"/>
        <v>2.75</v>
      </c>
      <c r="I25" s="84">
        <f t="shared" si="3"/>
        <v>0.052875907032086</v>
      </c>
    </row>
    <row r="26" spans="1:9">
      <c r="A26" s="1"/>
      <c r="B26" s="24">
        <f t="shared" si="7"/>
        <v>41501</v>
      </c>
      <c r="C26" s="22">
        <f t="shared" si="0"/>
        <v>6.50958904109589</v>
      </c>
      <c r="D26" s="25">
        <f t="shared" si="6"/>
        <v>0.349907979947022</v>
      </c>
      <c r="E26" s="51">
        <f t="shared" si="1"/>
        <v>0.704752938137694</v>
      </c>
      <c r="F26" s="33"/>
      <c r="G26" s="52"/>
      <c r="H26" s="53">
        <f t="shared" si="2"/>
        <v>2.75</v>
      </c>
      <c r="I26" s="84">
        <f t="shared" si="3"/>
        <v>0.053752698939673</v>
      </c>
    </row>
    <row r="27" spans="1:9">
      <c r="A27" s="1"/>
      <c r="B27" s="24">
        <f t="shared" si="7"/>
        <v>41685</v>
      </c>
      <c r="C27" s="59">
        <f t="shared" si="0"/>
        <v>7.01369863013699</v>
      </c>
      <c r="D27" s="25">
        <f t="shared" si="6"/>
        <v>0.382351348061215</v>
      </c>
      <c r="E27" s="51">
        <f t="shared" si="1"/>
        <v>0.682255302012182</v>
      </c>
      <c r="F27" s="33"/>
      <c r="G27" s="52"/>
      <c r="H27" s="53">
        <f t="shared" si="2"/>
        <v>2.75</v>
      </c>
      <c r="I27" s="84">
        <f t="shared" si="3"/>
        <v>0.0545149382977905</v>
      </c>
    </row>
    <row r="28" spans="1:9">
      <c r="A28" s="1"/>
      <c r="B28" s="24">
        <f t="shared" si="7"/>
        <v>41866</v>
      </c>
      <c r="C28" s="22">
        <f t="shared" si="0"/>
        <v>7.50958904109589</v>
      </c>
      <c r="D28" s="25">
        <f t="shared" si="6"/>
        <v>0.413956239390837</v>
      </c>
      <c r="E28" s="51">
        <f t="shared" si="1"/>
        <v>0.661029877703112</v>
      </c>
      <c r="F28" s="33"/>
      <c r="G28" s="52"/>
      <c r="H28" s="53">
        <f t="shared" si="2"/>
        <v>2.75</v>
      </c>
      <c r="I28" s="84">
        <f t="shared" si="3"/>
        <v>0.0551236874781669</v>
      </c>
    </row>
    <row r="29" spans="1:9">
      <c r="A29" s="1"/>
      <c r="B29" s="24">
        <f t="shared" si="7"/>
        <v>42050</v>
      </c>
      <c r="C29" s="59">
        <f t="shared" si="0"/>
        <v>8.01369863013699</v>
      </c>
      <c r="D29" s="25">
        <f t="shared" si="6"/>
        <v>0.445468078439429</v>
      </c>
      <c r="E29" s="51">
        <f t="shared" si="1"/>
        <v>0.640524390195768</v>
      </c>
      <c r="F29" s="33"/>
      <c r="G29" s="52"/>
      <c r="H29" s="53">
        <f t="shared" si="2"/>
        <v>2.75</v>
      </c>
      <c r="I29" s="84">
        <f t="shared" si="3"/>
        <v>0.0555883243180826</v>
      </c>
    </row>
    <row r="30" spans="1:9">
      <c r="A30" s="1"/>
      <c r="B30" s="24">
        <f t="shared" si="7"/>
        <v>42231</v>
      </c>
      <c r="C30" s="22">
        <f t="shared" si="0"/>
        <v>8.50958904109589</v>
      </c>
      <c r="D30" s="25">
        <f t="shared" si="6"/>
        <v>0.475563606516931</v>
      </c>
      <c r="E30" s="51">
        <f t="shared" si="1"/>
        <v>0.621534656747472</v>
      </c>
      <c r="F30" s="33"/>
      <c r="G30" s="52"/>
      <c r="H30" s="53">
        <f t="shared" si="2"/>
        <v>2.75</v>
      </c>
      <c r="I30" s="84">
        <f t="shared" si="3"/>
        <v>0.0558856137729169</v>
      </c>
    </row>
    <row r="31" spans="1:9">
      <c r="A31" s="1"/>
      <c r="B31" s="24">
        <f t="shared" si="7"/>
        <v>42415</v>
      </c>
      <c r="C31" s="59">
        <f t="shared" si="0"/>
        <v>9.01369863013699</v>
      </c>
      <c r="D31" s="25">
        <f t="shared" si="6"/>
        <v>0.504938213985932</v>
      </c>
      <c r="E31" s="51">
        <f t="shared" si="1"/>
        <v>0.603542864782982</v>
      </c>
      <c r="F31" s="33"/>
      <c r="G31" s="52"/>
      <c r="H31" s="53">
        <f t="shared" si="2"/>
        <v>2.75</v>
      </c>
      <c r="I31" s="84">
        <f t="shared" si="3"/>
        <v>0.0560189811868891</v>
      </c>
    </row>
    <row r="32" spans="1:9">
      <c r="A32" s="1">
        <v>3</v>
      </c>
      <c r="B32" s="60">
        <f>_mat3</f>
        <v>42597</v>
      </c>
      <c r="C32" s="61">
        <f t="shared" si="0"/>
        <v>9.51232876712329</v>
      </c>
      <c r="D32" s="62">
        <v>0.532485050271424</v>
      </c>
      <c r="E32" s="63">
        <f t="shared" si="1"/>
        <v>0.587144072691732</v>
      </c>
      <c r="F32" s="64"/>
      <c r="G32" s="65"/>
      <c r="H32" s="11">
        <f>100*(_cpn3/2+1)</f>
        <v>102.75</v>
      </c>
      <c r="I32" s="84">
        <f t="shared" si="3"/>
        <v>0.0559784111028427</v>
      </c>
    </row>
    <row r="33" spans="2:8">
      <c r="B33" s="66"/>
      <c r="E33" s="67" t="s">
        <v>44</v>
      </c>
      <c r="F33" s="68">
        <f>SUMPRODUCT(dscnt,cf_1)</f>
        <v>97.3866666664776</v>
      </c>
      <c r="G33" s="68">
        <f>SUMPRODUCT(dscnt,cf_2)</f>
        <v>100.001208546187</v>
      </c>
      <c r="H33" s="68">
        <f>SUMPRODUCT(dscnt,cf_3)</f>
        <v>102.048912995854</v>
      </c>
    </row>
    <row r="34" spans="2:8">
      <c r="B34" s="66"/>
      <c r="E34" s="67" t="s">
        <v>45</v>
      </c>
      <c r="F34" s="68">
        <f>price1</f>
        <v>97.3866666666667</v>
      </c>
      <c r="G34" s="68">
        <f>price2</f>
        <v>100.001208563536</v>
      </c>
      <c r="H34" s="68">
        <f>price3</f>
        <v>102.048913043478</v>
      </c>
    </row>
    <row r="35" spans="5:8">
      <c r="E35" s="67" t="s">
        <v>46</v>
      </c>
      <c r="F35" s="69">
        <f t="shared" ref="F35:H35" si="8">F33-F34</f>
        <v>-1.89032789421617e-10</v>
      </c>
      <c r="G35" s="69">
        <f t="shared" si="8"/>
        <v>-1.73489667076865e-8</v>
      </c>
      <c r="H35" s="69">
        <f t="shared" si="8"/>
        <v>-4.76240273883377e-8</v>
      </c>
    </row>
    <row r="37" spans="1:8">
      <c r="A37" s="70" t="s">
        <v>47</v>
      </c>
      <c r="B37" s="70"/>
      <c r="C37" s="70"/>
      <c r="D37" s="70"/>
      <c r="E37" s="70"/>
      <c r="F37" s="70"/>
      <c r="G37" s="70"/>
      <c r="H37" s="70"/>
    </row>
    <row r="38" spans="1:8">
      <c r="A38" s="71" t="s">
        <v>35</v>
      </c>
      <c r="B38" s="72" t="s">
        <v>48</v>
      </c>
      <c r="C38" s="72" t="s">
        <v>49</v>
      </c>
      <c r="D38" s="72" t="s">
        <v>50</v>
      </c>
      <c r="E38" s="72" t="s">
        <v>51</v>
      </c>
      <c r="F38" s="72" t="s">
        <v>52</v>
      </c>
      <c r="G38" s="72" t="s">
        <v>53</v>
      </c>
      <c r="H38" s="73" t="s">
        <v>54</v>
      </c>
    </row>
    <row r="39" spans="1:8">
      <c r="A39" s="74">
        <v>0</v>
      </c>
      <c r="B39" s="75">
        <f>time1-time0</f>
        <v>0.575342465753425</v>
      </c>
      <c r="C39" s="76">
        <f>(cap_fctr1-cap_fctr0)/delta0</f>
        <v>0.0460262866514833</v>
      </c>
      <c r="D39" s="77">
        <f>delta0_prime</f>
        <v>0.0460262866514833</v>
      </c>
      <c r="E39" s="75">
        <f>cap_fctr0</f>
        <v>0</v>
      </c>
      <c r="F39" s="77">
        <f>f0_prime</f>
        <v>0.0460262866514833</v>
      </c>
      <c r="G39" s="76">
        <f>(3*delta0_prime-f1_prime-2*f0_prime)/delta0</f>
        <v>-0.00152354709851395</v>
      </c>
      <c r="H39" s="78">
        <f>(f1_prime+f0_prime-2*delta0_prime)/delta0^2</f>
        <v>0.00264806995694091</v>
      </c>
    </row>
    <row r="40" spans="1:8">
      <c r="A40" s="79">
        <v>1</v>
      </c>
      <c r="B40" s="22">
        <f>time2-time1</f>
        <v>2.89041095890411</v>
      </c>
      <c r="C40" s="76">
        <f>(cap_fctr2-cap_fctr1)/delta1</f>
        <v>0.0478134454183745</v>
      </c>
      <c r="D40" s="76">
        <f>IF(delta0_prime*delta1_prime&gt;0,2*delta0_prime*delta1_prime/(delta0_prime+delta1_prime),0)</f>
        <v>0.0469028479958338</v>
      </c>
      <c r="E40" s="76">
        <f>cap_fctr1</f>
        <v>0.0264808772515384</v>
      </c>
      <c r="F40" s="76">
        <f>f1_prime</f>
        <v>0.0469028479958338</v>
      </c>
      <c r="G40" s="76">
        <f>(3*delta1_prime-f2_prime-2*f1_prime)/delta1</f>
        <v>-0.00135161311999468</v>
      </c>
      <c r="H40" s="78">
        <f>(f2_prime+f1_prime-2*delta1_prime)/delta1^2</f>
        <v>0.000576614868309282</v>
      </c>
    </row>
    <row r="41" spans="1:8">
      <c r="A41" s="79">
        <v>2</v>
      </c>
      <c r="B41" s="22">
        <f>time3-time2</f>
        <v>6.04657534246575</v>
      </c>
      <c r="C41" s="76">
        <f>(cap_fctr3-cap_fctr2)/delta2</f>
        <v>0.0608284269306177</v>
      </c>
      <c r="D41" s="76">
        <f>IF(delta1_prime*delta2_prime&gt;0,2*delta1_prime*delta2_prime/(delta1_prime+delta2_prime),0)</f>
        <v>0.0535413576376871</v>
      </c>
      <c r="E41" s="76">
        <f>cap_fctr2</f>
        <v>0.164681383871772</v>
      </c>
      <c r="F41" s="76">
        <f>f2_prime</f>
        <v>0.0535413576376871</v>
      </c>
      <c r="G41" s="76">
        <f>(3*delta2_prime-f3_prime-2*f2_prime)/delta2</f>
        <v>0.00361546935920207</v>
      </c>
      <c r="H41" s="78">
        <f>(f3_prime+f2_prime-2*delta2_prime)/delta2^2</f>
        <v>-0.000398624472469039</v>
      </c>
    </row>
    <row r="42" spans="1:8">
      <c r="A42" s="80">
        <v>3</v>
      </c>
      <c r="B42" s="37"/>
      <c r="C42" s="37"/>
      <c r="D42" s="81">
        <f>f2_prime</f>
        <v>0.0535413576376871</v>
      </c>
      <c r="E42" s="37"/>
      <c r="F42" s="37"/>
      <c r="G42" s="37"/>
      <c r="H42" s="82"/>
    </row>
  </sheetData>
  <mergeCells count="2">
    <mergeCell ref="F2:H2"/>
    <mergeCell ref="A37:H37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9" workbookViewId="0">
      <selection activeCell="G4" sqref="G4"/>
    </sheetView>
  </sheetViews>
  <sheetFormatPr defaultColWidth="9" defaultRowHeight="12.75"/>
  <cols>
    <col min="1" max="1" width="7.14285714285714" customWidth="1"/>
    <col min="2" max="2" width="11.1428571428571" customWidth="1"/>
    <col min="3" max="3" width="11.4285714285714" customWidth="1"/>
    <col min="4" max="4" width="14.5714285714286" customWidth="1"/>
    <col min="5" max="5" width="13.2857142857143" customWidth="1"/>
    <col min="6" max="6" width="16.1428571428571" customWidth="1"/>
    <col min="7" max="7" width="14.4285714285714" customWidth="1"/>
  </cols>
  <sheetData>
    <row r="1" ht="16.5" customHeight="1" spans="1:1">
      <c r="A1" s="3" t="s">
        <v>55</v>
      </c>
    </row>
    <row r="3" s="1" customFormat="1" spans="2:6">
      <c r="B3" s="4" t="s">
        <v>3</v>
      </c>
      <c r="C3" s="5" t="s">
        <v>4</v>
      </c>
      <c r="D3" s="5" t="s">
        <v>56</v>
      </c>
      <c r="E3" s="5" t="s">
        <v>5</v>
      </c>
      <c r="F3" s="6" t="s">
        <v>57</v>
      </c>
    </row>
    <row r="4" spans="2:6">
      <c r="B4" s="7">
        <v>41718</v>
      </c>
      <c r="C4" s="8">
        <v>0.05</v>
      </c>
      <c r="D4" s="9" t="s">
        <v>58</v>
      </c>
      <c r="E4" s="10" t="s">
        <v>15</v>
      </c>
      <c r="F4" s="11">
        <v>1000000</v>
      </c>
    </row>
    <row r="6" spans="4:4">
      <c r="D6" s="12"/>
    </row>
    <row r="7" spans="2:7">
      <c r="B7" s="13" t="s">
        <v>59</v>
      </c>
      <c r="C7" s="14"/>
      <c r="D7" s="14"/>
      <c r="E7" s="14"/>
      <c r="F7" s="14"/>
      <c r="G7" s="15" t="s">
        <v>60</v>
      </c>
    </row>
    <row r="8" s="1" customFormat="1" spans="1:7">
      <c r="A8" s="16" t="s">
        <v>35</v>
      </c>
      <c r="B8" s="4" t="s">
        <v>61</v>
      </c>
      <c r="C8" s="17" t="s">
        <v>38</v>
      </c>
      <c r="D8" s="17" t="s">
        <v>36</v>
      </c>
      <c r="E8" s="5" t="s">
        <v>37</v>
      </c>
      <c r="F8" s="18" t="s">
        <v>62</v>
      </c>
      <c r="G8" s="18" t="s">
        <v>63</v>
      </c>
    </row>
    <row r="9" spans="1:7">
      <c r="A9" s="1">
        <v>0</v>
      </c>
      <c r="B9" s="19">
        <f>AsOfDate</f>
        <v>39125</v>
      </c>
      <c r="C9" s="20">
        <f t="shared" ref="C9:C27" si="0">IF(t&lt;=time1,a_0+b_0*(t-time0)+c_0*(t-time0)^2+d_0*(t-time0)^3,IF(t&lt;=time2,a_1+b_1*(t-time1)+c_1*(t-time1)^2+d_1*(t-time1)^3,a_2+b_2*(t-time2)+c_2*(t-time2)^2+d_2*(t-time2)^3))</f>
        <v>0</v>
      </c>
      <c r="D9" s="21">
        <f>B9</f>
        <v>39125</v>
      </c>
      <c r="E9" s="22">
        <v>0</v>
      </c>
      <c r="F9" s="23">
        <f>EXP(-C9)</f>
        <v>1</v>
      </c>
      <c r="G9" s="23"/>
    </row>
    <row r="10" spans="1:9">
      <c r="A10" s="1"/>
      <c r="B10" s="24"/>
      <c r="C10" s="25">
        <f t="shared" si="0"/>
        <v>0.00452729876671938</v>
      </c>
      <c r="D10" s="26">
        <v>39161</v>
      </c>
      <c r="E10" s="22">
        <f t="shared" ref="E10:E27" si="1">(D10-AsOfDate)/365</f>
        <v>0.0986301369863014</v>
      </c>
      <c r="F10" s="27">
        <f t="shared" ref="F10:F27" si="2">EXP(-C10)</f>
        <v>0.995482934002251</v>
      </c>
      <c r="G10" s="28">
        <f>principal*coupon/2</f>
        <v>25000</v>
      </c>
      <c r="I10" s="41"/>
    </row>
    <row r="11" spans="1:7">
      <c r="A11" s="1">
        <v>1</v>
      </c>
      <c r="B11" s="19">
        <f>_mat1</f>
        <v>39335</v>
      </c>
      <c r="C11" s="29">
        <f t="shared" si="0"/>
        <v>0.0264808772515384</v>
      </c>
      <c r="D11" s="21">
        <f>B11</f>
        <v>39335</v>
      </c>
      <c r="E11" s="22">
        <f t="shared" si="1"/>
        <v>0.575342465753425</v>
      </c>
      <c r="F11" s="27">
        <f t="shared" si="2"/>
        <v>0.973866666664776</v>
      </c>
      <c r="G11" s="23"/>
    </row>
    <row r="12" spans="1:7">
      <c r="A12" s="1"/>
      <c r="B12" s="24"/>
      <c r="C12" s="25">
        <f t="shared" si="0"/>
        <v>0.027764884109407</v>
      </c>
      <c r="D12" s="26">
        <f>DATE(YEAR(D10),MONTH(D10)+6,DAY(D10))</f>
        <v>39345</v>
      </c>
      <c r="E12" s="22">
        <f t="shared" si="1"/>
        <v>0.602739726027397</v>
      </c>
      <c r="F12" s="27">
        <f t="shared" si="2"/>
        <v>0.972617017636779</v>
      </c>
      <c r="G12" s="28">
        <f t="shared" ref="G12:G17" si="3">principal*coupon/2</f>
        <v>25000</v>
      </c>
    </row>
    <row r="13" spans="1:7">
      <c r="A13" s="1"/>
      <c r="B13" s="24"/>
      <c r="C13" s="25">
        <f t="shared" si="0"/>
        <v>0.0508629912219162</v>
      </c>
      <c r="D13" s="26">
        <f t="shared" ref="D13:D17" si="4">DATE(YEAR(D12),MONTH(D12)+6,DAY(D12))</f>
        <v>39527</v>
      </c>
      <c r="E13" s="22">
        <f t="shared" si="1"/>
        <v>1.1013698630137</v>
      </c>
      <c r="F13" s="27">
        <f t="shared" si="2"/>
        <v>0.950408875971356</v>
      </c>
      <c r="G13" s="28">
        <f t="shared" si="3"/>
        <v>25000</v>
      </c>
    </row>
    <row r="14" spans="1:7">
      <c r="A14" s="1"/>
      <c r="B14" s="24"/>
      <c r="C14" s="25">
        <f t="shared" si="0"/>
        <v>0.0739932620012619</v>
      </c>
      <c r="D14" s="26">
        <f t="shared" si="4"/>
        <v>39711</v>
      </c>
      <c r="E14" s="22">
        <f t="shared" si="1"/>
        <v>1.60547945205479</v>
      </c>
      <c r="F14" s="27">
        <f t="shared" si="2"/>
        <v>0.92867795125107</v>
      </c>
      <c r="G14" s="28">
        <f t="shared" si="3"/>
        <v>25000</v>
      </c>
    </row>
    <row r="15" spans="1:7">
      <c r="A15" s="1"/>
      <c r="B15" s="24"/>
      <c r="C15" s="25">
        <f t="shared" si="0"/>
        <v>0.0969574719026828</v>
      </c>
      <c r="D15" s="26">
        <f t="shared" si="4"/>
        <v>39892</v>
      </c>
      <c r="E15" s="22">
        <f t="shared" si="1"/>
        <v>2.1013698630137</v>
      </c>
      <c r="F15" s="27">
        <f t="shared" si="2"/>
        <v>0.907594603584155</v>
      </c>
      <c r="G15" s="28">
        <f t="shared" si="3"/>
        <v>25000</v>
      </c>
    </row>
    <row r="16" spans="1:7">
      <c r="A16" s="1"/>
      <c r="B16" s="24"/>
      <c r="C16" s="25">
        <f t="shared" si="0"/>
        <v>0.120954075643105</v>
      </c>
      <c r="D16" s="26">
        <f t="shared" si="4"/>
        <v>40076</v>
      </c>
      <c r="E16" s="22">
        <f t="shared" si="1"/>
        <v>2.60547945205479</v>
      </c>
      <c r="F16" s="27">
        <f t="shared" si="2"/>
        <v>0.886074651067014</v>
      </c>
      <c r="G16" s="28">
        <f t="shared" si="3"/>
        <v>25000</v>
      </c>
    </row>
    <row r="17" spans="1:7">
      <c r="A17" s="1"/>
      <c r="B17" s="24"/>
      <c r="C17" s="25">
        <f t="shared" si="0"/>
        <v>0.145628306863705</v>
      </c>
      <c r="D17" s="26">
        <f t="shared" si="4"/>
        <v>40257</v>
      </c>
      <c r="E17" s="22">
        <f t="shared" si="1"/>
        <v>3.1013698630137</v>
      </c>
      <c r="F17" s="27">
        <f t="shared" si="2"/>
        <v>0.864478964373183</v>
      </c>
      <c r="G17" s="28">
        <f t="shared" si="3"/>
        <v>25000</v>
      </c>
    </row>
    <row r="18" spans="1:7">
      <c r="A18" s="1">
        <v>2</v>
      </c>
      <c r="B18" s="19">
        <f>_mat2</f>
        <v>40390</v>
      </c>
      <c r="C18" s="29">
        <f t="shared" si="0"/>
        <v>0.164681383871772</v>
      </c>
      <c r="D18" s="21">
        <f>B18</f>
        <v>40390</v>
      </c>
      <c r="E18" s="22">
        <f t="shared" si="1"/>
        <v>3.46575342465753</v>
      </c>
      <c r="F18" s="27">
        <f t="shared" si="2"/>
        <v>0.848163899739122</v>
      </c>
      <c r="G18" s="30"/>
    </row>
    <row r="19" s="2" customFormat="1" spans="1:7">
      <c r="A19" s="31"/>
      <c r="B19" s="32"/>
      <c r="C19" s="25">
        <f t="shared" si="0"/>
        <v>0.172232003779254</v>
      </c>
      <c r="D19" s="26">
        <f>DATE(YEAR(D17),MONTH(D17)+6,DAY(D17))</f>
        <v>40441</v>
      </c>
      <c r="E19" s="22">
        <f t="shared" si="1"/>
        <v>3.60547945205479</v>
      </c>
      <c r="F19" s="27">
        <f t="shared" si="2"/>
        <v>0.841783853476601</v>
      </c>
      <c r="G19" s="28">
        <f t="shared" ref="G19:G25" si="5">principal*coupon/2</f>
        <v>25000</v>
      </c>
    </row>
    <row r="20" spans="1:7">
      <c r="A20" s="1"/>
      <c r="B20" s="33"/>
      <c r="C20" s="25">
        <f t="shared" si="0"/>
        <v>0.200071465903123</v>
      </c>
      <c r="D20" s="26">
        <f t="shared" ref="D20:D26" si="6">DATE(YEAR(D19),MONTH(D19)+6,DAY(D19))</f>
        <v>40622</v>
      </c>
      <c r="E20" s="22">
        <f t="shared" si="1"/>
        <v>4.1013698630137</v>
      </c>
      <c r="F20" s="27">
        <f t="shared" si="2"/>
        <v>0.818672243836032</v>
      </c>
      <c r="G20" s="28">
        <f t="shared" si="5"/>
        <v>25000</v>
      </c>
    </row>
    <row r="21" spans="1:7">
      <c r="A21" s="1"/>
      <c r="B21" s="33"/>
      <c r="C21" s="25">
        <f t="shared" si="0"/>
        <v>0.229810114532755</v>
      </c>
      <c r="D21" s="26">
        <f t="shared" si="6"/>
        <v>40806</v>
      </c>
      <c r="E21" s="22">
        <f t="shared" si="1"/>
        <v>4.60547945205479</v>
      </c>
      <c r="F21" s="27">
        <f t="shared" si="2"/>
        <v>0.79468448721264</v>
      </c>
      <c r="G21" s="28">
        <f t="shared" si="5"/>
        <v>25000</v>
      </c>
    </row>
    <row r="22" spans="1:7">
      <c r="A22" s="1"/>
      <c r="B22" s="33"/>
      <c r="C22" s="25">
        <f t="shared" si="0"/>
        <v>0.260352851291483</v>
      </c>
      <c r="D22" s="26">
        <f t="shared" si="6"/>
        <v>40988</v>
      </c>
      <c r="E22" s="22">
        <f t="shared" si="1"/>
        <v>5.1041095890411</v>
      </c>
      <c r="F22" s="27">
        <f t="shared" si="2"/>
        <v>0.770779567249587</v>
      </c>
      <c r="G22" s="28">
        <f t="shared" si="5"/>
        <v>25000</v>
      </c>
    </row>
    <row r="23" spans="1:7">
      <c r="A23" s="1"/>
      <c r="B23" s="33"/>
      <c r="C23" s="25">
        <f t="shared" si="0"/>
        <v>0.292067313523303</v>
      </c>
      <c r="D23" s="26">
        <f t="shared" si="6"/>
        <v>41172</v>
      </c>
      <c r="E23" s="22">
        <f t="shared" si="1"/>
        <v>5.60821917808219</v>
      </c>
      <c r="F23" s="27">
        <f t="shared" si="2"/>
        <v>0.746718270043916</v>
      </c>
      <c r="G23" s="28">
        <f t="shared" si="5"/>
        <v>25000</v>
      </c>
    </row>
    <row r="24" spans="1:7">
      <c r="A24" s="1"/>
      <c r="B24" s="33"/>
      <c r="C24" s="25">
        <f t="shared" si="0"/>
        <v>0.323788663766664</v>
      </c>
      <c r="D24" s="26">
        <f t="shared" si="6"/>
        <v>41353</v>
      </c>
      <c r="E24" s="22">
        <f t="shared" si="1"/>
        <v>6.1041095890411</v>
      </c>
      <c r="F24" s="27">
        <f t="shared" si="2"/>
        <v>0.723403107514228</v>
      </c>
      <c r="G24" s="28">
        <f t="shared" si="5"/>
        <v>25000</v>
      </c>
    </row>
    <row r="25" spans="1:7">
      <c r="A25" s="1"/>
      <c r="B25" s="33"/>
      <c r="C25" s="25">
        <f t="shared" si="0"/>
        <v>0.356266187041584</v>
      </c>
      <c r="D25" s="26">
        <f t="shared" si="6"/>
        <v>41537</v>
      </c>
      <c r="E25" s="22">
        <f t="shared" si="1"/>
        <v>6.60821917808219</v>
      </c>
      <c r="F25" s="27">
        <f t="shared" si="2"/>
        <v>0.700286188314743</v>
      </c>
      <c r="G25" s="28">
        <f t="shared" si="5"/>
        <v>25000</v>
      </c>
    </row>
    <row r="26" spans="1:7">
      <c r="A26" s="1"/>
      <c r="B26" s="33"/>
      <c r="C26" s="25">
        <f t="shared" si="0"/>
        <v>0.388145134954973</v>
      </c>
      <c r="D26" s="26">
        <f t="shared" si="6"/>
        <v>41718</v>
      </c>
      <c r="E26" s="22">
        <f t="shared" si="1"/>
        <v>7.1041095890411</v>
      </c>
      <c r="F26" s="27">
        <f t="shared" si="2"/>
        <v>0.678313889063957</v>
      </c>
      <c r="G26" s="28">
        <f>principal*(coupon/2+1)</f>
        <v>1025000</v>
      </c>
    </row>
    <row r="27" spans="1:7">
      <c r="A27" s="1">
        <v>3</v>
      </c>
      <c r="B27" s="34">
        <f>_mat3</f>
        <v>42597</v>
      </c>
      <c r="C27" s="35">
        <f t="shared" si="0"/>
        <v>0.532485050271424</v>
      </c>
      <c r="D27" s="36">
        <f>B27</f>
        <v>42597</v>
      </c>
      <c r="E27" s="37">
        <f t="shared" si="1"/>
        <v>9.51232876712329</v>
      </c>
      <c r="F27" s="38">
        <f t="shared" si="2"/>
        <v>0.587144072691732</v>
      </c>
      <c r="G27" s="30"/>
    </row>
    <row r="28" spans="4:7">
      <c r="D28" s="26"/>
      <c r="F28" s="39" t="s">
        <v>44</v>
      </c>
      <c r="G28" s="40">
        <f>SUMPRODUCT(G9:G27,F9:F27)</f>
        <v>992813.304178895</v>
      </c>
    </row>
  </sheetData>
  <mergeCells count="1">
    <mergeCell ref="B7:F7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Treasury Bond Pricing</vt:lpstr>
      <vt:lpstr>Bootstrapping</vt:lpstr>
      <vt:lpstr>Pricing New Bond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</cp:lastModifiedBy>
  <dcterms:created xsi:type="dcterms:W3CDTF">2006-02-23T04:22:00Z</dcterms:created>
  <dcterms:modified xsi:type="dcterms:W3CDTF">2016-02-15T16:30:34Z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