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812" activeTab="1"/>
  </bookViews>
  <sheets>
    <sheet name="problem 1" sheetId="1" r:id="rId1"/>
    <sheet name="problem 2" sheetId="2" r:id="rId2"/>
    <sheet name="problem 3 " sheetId="3" r:id="rId3"/>
    <sheet name="Problem 4" sheetId="4" r:id="rId4"/>
    <sheet name="Problem 5" sheetId="5" r:id="rId5"/>
  </sheets>
  <definedNames>
    <definedName name="a_0" localSheetId="2">'problem 3 '!$E$32</definedName>
    <definedName name="a_0">'problem 2'!$F$35</definedName>
    <definedName name="a_1" localSheetId="2">'problem 3 '!$E$33</definedName>
    <definedName name="a_1">'problem 2'!$F$36</definedName>
    <definedName name="a_2" localSheetId="2">'problem 3 '!$E$34</definedName>
    <definedName name="a_2">'problem 2'!$F$37</definedName>
    <definedName name="a_3" localSheetId="2">'problem 3 '!$E$35</definedName>
    <definedName name="a_3">'problem 2'!$F$38</definedName>
    <definedName name="a_4" localSheetId="2">'problem 3 '!$E$36</definedName>
    <definedName name="a_4">'problem 2'!$F$39</definedName>
    <definedName name="a_5" localSheetId="2">'problem 3 '!$E$37</definedName>
    <definedName name="a_5">'problem 2'!$F$40</definedName>
    <definedName name="a_6" localSheetId="2">'problem 3 '!$E$38</definedName>
    <definedName name="a_6">'problem 2'!$F$41</definedName>
    <definedName name="a_7" localSheetId="2">'problem 3 '!$E$39</definedName>
    <definedName name="a_7">'problem 2'!$F$42</definedName>
    <definedName name="aa_0" localSheetId="4">'Problem 5'!$E$20</definedName>
    <definedName name="aa_0">'Problem 4'!$E$20</definedName>
    <definedName name="aa_1" localSheetId="4">'Problem 5'!$E$21</definedName>
    <definedName name="aa_1">'Problem 4'!$E$21</definedName>
    <definedName name="aa_2" localSheetId="4">'Problem 5'!$E$22</definedName>
    <definedName name="aa_2">'Problem 4'!$E$22</definedName>
    <definedName name="aa_3" localSheetId="4">'Problem 5'!$E$23</definedName>
    <definedName name="aa_3">'Problem 4'!$E$23</definedName>
    <definedName name="aa_4" localSheetId="4">'Problem 5'!$E$24</definedName>
    <definedName name="aa_4">'Problem 4'!$E$24</definedName>
    <definedName name="aa_5" localSheetId="4">'Problem 5'!$E$25</definedName>
    <definedName name="aa_5">'Problem 4'!$E$25</definedName>
    <definedName name="aa_6" localSheetId="4">'Problem 5'!$E$26</definedName>
    <definedName name="aa_6">'Problem 4'!$E$26</definedName>
    <definedName name="aa_7" localSheetId="4">'Problem 5'!$E$27</definedName>
    <definedName name="aa_7">'Problem 4'!$E$27</definedName>
    <definedName name="AsOfDate">'problem 1'!$C$2</definedName>
    <definedName name="b_0" localSheetId="2">'problem 3 '!$F$32</definedName>
    <definedName name="b_0">'problem 2'!$G$35</definedName>
    <definedName name="b_1" localSheetId="2">'problem 3 '!$F$33</definedName>
    <definedName name="b_1">'problem 2'!$G$36</definedName>
    <definedName name="b_2" localSheetId="2">'problem 3 '!$F$34</definedName>
    <definedName name="b_2">'problem 2'!$G$37</definedName>
    <definedName name="b_3" localSheetId="2">'problem 3 '!$F$35</definedName>
    <definedName name="b_3">'problem 2'!$G$38</definedName>
    <definedName name="b_4" localSheetId="2">'problem 3 '!$F$36</definedName>
    <definedName name="b_4">'problem 2'!$G$39</definedName>
    <definedName name="b_5" localSheetId="2">'problem 3 '!$F$37</definedName>
    <definedName name="b_5">'problem 2'!$G$40</definedName>
    <definedName name="b_6" localSheetId="2">'problem 3 '!$F$38</definedName>
    <definedName name="b_6">'problem 2'!$G$41</definedName>
    <definedName name="b_7" localSheetId="2">'problem 3 '!$F$39</definedName>
    <definedName name="b_7">'problem 2'!$G$42</definedName>
    <definedName name="bb_0" localSheetId="4">'Problem 5'!$F$20</definedName>
    <definedName name="bb_0">'Problem 4'!$F$20</definedName>
    <definedName name="bb_1" localSheetId="4">'Problem 5'!$F$21</definedName>
    <definedName name="bb_1">'Problem 4'!$F$21</definedName>
    <definedName name="bb_2" localSheetId="4">'Problem 5'!$F$22</definedName>
    <definedName name="bb_2">'Problem 4'!$F$22</definedName>
    <definedName name="bb_3" localSheetId="4">'Problem 5'!$F$23</definedName>
    <definedName name="bb_3">'Problem 4'!$F$23</definedName>
    <definedName name="bb_4" localSheetId="4">'Problem 5'!$F$24</definedName>
    <definedName name="bb_4">'Problem 4'!$F$24</definedName>
    <definedName name="bb_5" localSheetId="4">'Problem 5'!$F$25</definedName>
    <definedName name="bb_5">'Problem 4'!$F$25</definedName>
    <definedName name="bb_6" localSheetId="4">'Problem 5'!$F$26</definedName>
    <definedName name="bb_6">'Problem 4'!$F$26</definedName>
    <definedName name="bb_7" localSheetId="4">'Problem 5'!$F$27</definedName>
    <definedName name="bb_7">'Problem 4'!$F$27</definedName>
    <definedName name="bsof" localSheetId="4">'Problem 5'!$L$6</definedName>
    <definedName name="bsof">'Problem 4'!$L$6</definedName>
    <definedName name="c_0" localSheetId="2">'problem 3 '!$G$32</definedName>
    <definedName name="c_0">'problem 2'!$H$35</definedName>
    <definedName name="c_1" localSheetId="2">'problem 3 '!$G$33</definedName>
    <definedName name="c_1">'problem 2'!$H$36</definedName>
    <definedName name="c_2" localSheetId="2">'problem 3 '!$G$34</definedName>
    <definedName name="c_2">'problem 2'!$H$37</definedName>
    <definedName name="c_3" localSheetId="2">'problem 3 '!$G$35</definedName>
    <definedName name="c_3">'problem 2'!$H$38</definedName>
    <definedName name="c_4" localSheetId="2">'problem 3 '!$G$36</definedName>
    <definedName name="c_4">'problem 2'!$H$39</definedName>
    <definedName name="c_5" localSheetId="2">'problem 3 '!$G$37</definedName>
    <definedName name="c_5">'problem 2'!$H$40</definedName>
    <definedName name="c_6" localSheetId="2">'problem 3 '!$G$38</definedName>
    <definedName name="c_6">'problem 2'!$H$41</definedName>
    <definedName name="c_7" localSheetId="2">'problem 3 '!$G$39</definedName>
    <definedName name="c_7">'problem 2'!$H$42</definedName>
    <definedName name="capit_0" localSheetId="4">'Problem 5'!$E$20</definedName>
    <definedName name="capit_0">'Problem 4'!$E$20</definedName>
    <definedName name="capit_1" localSheetId="4">'Problem 5'!$N$7</definedName>
    <definedName name="capit_1">'Problem 4'!$N$8</definedName>
    <definedName name="capit_2" localSheetId="4">'Problem 5'!$N$8</definedName>
    <definedName name="capit_2">'Problem 4'!$N$9</definedName>
    <definedName name="capit_3" localSheetId="4">'Problem 5'!$N$9</definedName>
    <definedName name="capit_3">'Problem 4'!$N$10</definedName>
    <definedName name="capit_4" localSheetId="4">'Problem 5'!$N$10</definedName>
    <definedName name="capit_4">'Problem 4'!$N$11</definedName>
    <definedName name="capit_5" localSheetId="4">'Problem 5'!$N$11</definedName>
    <definedName name="capit_5">'Problem 4'!$N$13</definedName>
    <definedName name="capit_6" localSheetId="4">'Problem 5'!$N$14</definedName>
    <definedName name="capit_6">'Problem 4'!$N$15</definedName>
    <definedName name="capit_7" localSheetId="4">'Problem 5'!$N$19</definedName>
    <definedName name="capit_7">'Problem 4'!$N$19</definedName>
    <definedName name="capit_8" localSheetId="4">'Problem 5'!$N$29</definedName>
    <definedName name="capit_8">'Problem 4'!$N$29</definedName>
    <definedName name="capit1" localSheetId="2">'problem 3 '!$D$6</definedName>
    <definedName name="capit1">'problem 2'!$D$6</definedName>
    <definedName name="capit2" localSheetId="2">'problem 3 '!$D$8</definedName>
    <definedName name="capit2">'problem 2'!$D$7</definedName>
    <definedName name="capit3" localSheetId="2">'problem 3 '!$D$10</definedName>
    <definedName name="capit3">'problem 2'!$D$9</definedName>
    <definedName name="capit4" localSheetId="2">'problem 3 '!$D$13</definedName>
    <definedName name="capit4">'problem 2'!$D$12</definedName>
    <definedName name="capit5" localSheetId="2">'problem 3 '!$D$18</definedName>
    <definedName name="capit5">'problem 2'!$D$16</definedName>
    <definedName name="capit6" localSheetId="2">'problem 3 '!$D$22</definedName>
    <definedName name="capit6">'problem 2'!$D$19</definedName>
    <definedName name="capit7" localSheetId="2">'problem 3 '!$D$26</definedName>
    <definedName name="capit7">'problem 2'!$D$22</definedName>
    <definedName name="capit8" localSheetId="2">'problem 3 '!$D$28</definedName>
    <definedName name="capit8">'problem 2'!$D$28</definedName>
    <definedName name="capital_7">'problem 3 '!$D$22</definedName>
    <definedName name="cc_0" localSheetId="4">'Problem 5'!$G$20</definedName>
    <definedName name="cc_0">'Problem 4'!$G$20</definedName>
    <definedName name="cc_1" localSheetId="4">'Problem 5'!$G$21</definedName>
    <definedName name="cc_1">'Problem 4'!$G$21</definedName>
    <definedName name="cc_2" localSheetId="4">'Problem 5'!$G$22</definedName>
    <definedName name="cc_2">'Problem 4'!$G$22</definedName>
    <definedName name="cc_3" localSheetId="4">'Problem 5'!$G$23</definedName>
    <definedName name="cc_3">'Problem 4'!$G$23</definedName>
    <definedName name="cc_4" localSheetId="4">'Problem 5'!$G$24</definedName>
    <definedName name="cc_4">'Problem 4'!$G$24</definedName>
    <definedName name="cc_5" localSheetId="4">'Problem 5'!$G$25</definedName>
    <definedName name="cc_5">'Problem 4'!$G$25</definedName>
    <definedName name="cc_6" localSheetId="4">'Problem 5'!$G$26</definedName>
    <definedName name="cc_6">'Problem 4'!$G$26</definedName>
    <definedName name="cc_7" localSheetId="4">'Problem 5'!$G$27</definedName>
    <definedName name="cc_7">'Problem 4'!$G$27</definedName>
    <definedName name="d_0" localSheetId="2">'problem 3 '!$H$32</definedName>
    <definedName name="d_0">'problem 2'!$I$35</definedName>
    <definedName name="d_1" localSheetId="2">'problem 3 '!$H$33</definedName>
    <definedName name="d_1">'problem 2'!$I$36</definedName>
    <definedName name="d_2" localSheetId="2">'problem 3 '!$H$34</definedName>
    <definedName name="d_2">'problem 2'!$I$37</definedName>
    <definedName name="d_3" localSheetId="2">'problem 3 '!$H$35</definedName>
    <definedName name="d_3">'problem 2'!$I$38</definedName>
    <definedName name="d_4" localSheetId="2">'problem 3 '!$H$36</definedName>
    <definedName name="d_4">'problem 2'!$I$39</definedName>
    <definedName name="d_5" localSheetId="2">'problem 3 '!$H$37</definedName>
    <definedName name="d_5">'problem 2'!$I$40</definedName>
    <definedName name="d_6" localSheetId="2">'problem 3 '!$H$38</definedName>
    <definedName name="d_6">'problem 2'!$I$41</definedName>
    <definedName name="d_7" localSheetId="2">'problem 3 '!$H$39</definedName>
    <definedName name="d_7">'problem 2'!$I$42</definedName>
    <definedName name="dd_0" localSheetId="4">'Problem 5'!$H$20</definedName>
    <definedName name="dd_0">'Problem 4'!$H$20</definedName>
    <definedName name="dd_1" localSheetId="4">'Problem 5'!$H$21</definedName>
    <definedName name="dd_1">'Problem 4'!$H$21</definedName>
    <definedName name="dd_2" localSheetId="4">'Problem 5'!$H$22</definedName>
    <definedName name="dd_2">'Problem 4'!$H$22</definedName>
    <definedName name="dd_3" localSheetId="4">'Problem 5'!$H$23</definedName>
    <definedName name="dd_3">'Problem 4'!$H$23</definedName>
    <definedName name="dd_4" localSheetId="4">'Problem 5'!$H$24</definedName>
    <definedName name="dd_4">'Problem 4'!$H$24</definedName>
    <definedName name="dd_5" localSheetId="4">'Problem 5'!$H$25</definedName>
    <definedName name="dd_5">'Problem 4'!$H$25</definedName>
    <definedName name="dd_6" localSheetId="4">'Problem 5'!$H$26</definedName>
    <definedName name="dd_6">'Problem 4'!$H$26</definedName>
    <definedName name="dd_7" localSheetId="4">'Problem 5'!$H$27</definedName>
    <definedName name="dd_7">'Problem 4'!$H$27</definedName>
    <definedName name="delta_0" localSheetId="4">'Problem 5'!$B$20</definedName>
    <definedName name="delta_0">'Problem 4'!$B$20</definedName>
    <definedName name="delta_1" localSheetId="4">'Problem 5'!$B$21</definedName>
    <definedName name="delta_1">'Problem 4'!$B$21</definedName>
    <definedName name="delta_2" localSheetId="4">'Problem 5'!$B$22</definedName>
    <definedName name="delta_2">'Problem 4'!$B$22</definedName>
    <definedName name="delta_3" localSheetId="4">'Problem 5'!$B$23</definedName>
    <definedName name="delta_3">'Problem 4'!$B$23</definedName>
    <definedName name="delta_4" localSheetId="4">'Problem 5'!$B$24</definedName>
    <definedName name="delta_4">'Problem 4'!$B$24</definedName>
    <definedName name="delta_5" localSheetId="4">'Problem 5'!$B$25</definedName>
    <definedName name="delta_5">'Problem 4'!$B$25</definedName>
    <definedName name="delta_6" localSheetId="4">'Problem 5'!$B$26</definedName>
    <definedName name="delta_6">'Problem 4'!$B$26</definedName>
    <definedName name="delta_7" localSheetId="4">'Problem 5'!$B$27</definedName>
    <definedName name="delta_7">'Problem 4'!$B$27</definedName>
    <definedName name="delta0" localSheetId="2">'problem 3 '!$A$32</definedName>
    <definedName name="delta0">'problem 2'!$C$35</definedName>
    <definedName name="delta1" localSheetId="2">'problem 3 '!$A$33</definedName>
    <definedName name="delta1">'problem 2'!$C$36</definedName>
    <definedName name="delta2" localSheetId="2">'problem 3 '!$A$34</definedName>
    <definedName name="delta2">'problem 2'!$C$37</definedName>
    <definedName name="delta3">#REF!</definedName>
    <definedName name="delta4">#REF!</definedName>
    <definedName name="delta5">#REF!</definedName>
    <definedName name="delta6">#REF!</definedName>
    <definedName name="delta7">#REF!</definedName>
    <definedName name="OAS">'problem 3 '!$L$7</definedName>
    <definedName name="price1">'problem 1'!$G$17</definedName>
    <definedName name="price2">'problem 1'!$G$18</definedName>
    <definedName name="price3">'problem 1'!$G$19</definedName>
    <definedName name="price4">'problem 1'!$K$24</definedName>
    <definedName name="price5">'problem 1'!$K$25</definedName>
    <definedName name="price6">'problem 1'!$K$26</definedName>
    <definedName name="price7">'problem 1'!$K$27</definedName>
    <definedName name="price8">'problem 1'!$K$28</definedName>
    <definedName name="t">#REF!</definedName>
    <definedName name="t_1" localSheetId="4">'Problem 5'!$M$7</definedName>
    <definedName name="t_1">'Problem 4'!$M$8</definedName>
    <definedName name="t_2" localSheetId="4">'Problem 5'!$M$8</definedName>
    <definedName name="t_2">'Problem 4'!$M$9</definedName>
    <definedName name="t_3" localSheetId="4">'Problem 5'!$M$9</definedName>
    <definedName name="t_3">'Problem 4'!$M$10</definedName>
    <definedName name="t_4" localSheetId="4">'Problem 5'!$M$10</definedName>
    <definedName name="t_4">'Problem 4'!$M$11</definedName>
    <definedName name="t_5" localSheetId="4">'Problem 5'!$M$11</definedName>
    <definedName name="t_5">'Problem 4'!$M$13</definedName>
    <definedName name="t_6" localSheetId="4">'Problem 5'!$M$14</definedName>
    <definedName name="t_6">'Problem 4'!$M$15</definedName>
    <definedName name="t_7" localSheetId="4">'Problem 5'!$M$19</definedName>
    <definedName name="t_7">'Problem 4'!$M$19</definedName>
    <definedName name="t_8" localSheetId="4">'Problem 5'!$M$29</definedName>
    <definedName name="t_8">'Problem 4'!$M$29</definedName>
    <definedName name="t_9">'problem 3 '!$C$6:$C$28</definedName>
    <definedName name="t0" localSheetId="4">'Problem 5'!$M$6</definedName>
    <definedName name="t0">'Problem 4'!$M$6</definedName>
    <definedName name="time" localSheetId="2">'problem 3 '!$C$5:$C$28</definedName>
    <definedName name="time">'problem 2'!$C$4:$C$28</definedName>
    <definedName name="time0" localSheetId="2">'problem 3 '!$C$5</definedName>
    <definedName name="time0">'problem 2'!$C$4</definedName>
    <definedName name="time1" localSheetId="2">'problem 3 '!$C$6</definedName>
    <definedName name="time1">'problem 2'!$C$6</definedName>
    <definedName name="time2" localSheetId="2">'problem 3 '!$C$8</definedName>
    <definedName name="time2">'problem 2'!$C$7</definedName>
    <definedName name="time3" localSheetId="2">'problem 3 '!$C$10</definedName>
    <definedName name="time3">'problem 2'!$C$9</definedName>
    <definedName name="time4" localSheetId="2">'problem 3 '!$C$13</definedName>
    <definedName name="time4">'problem 2'!$C$12</definedName>
    <definedName name="time5" localSheetId="2">'problem 3 '!$C$18</definedName>
    <definedName name="time5">'problem 2'!$C$16</definedName>
    <definedName name="time6" localSheetId="2">'problem 3 '!$C$22</definedName>
    <definedName name="time6">'problem 2'!$C$19</definedName>
    <definedName name="time7" localSheetId="2">'problem 3 '!$C$26</definedName>
    <definedName name="time7">'problem 2'!$C$22</definedName>
    <definedName name="time8" localSheetId="2">'problem 3 '!$C$28</definedName>
    <definedName name="time8">'problem 2'!$C$28</definedName>
    <definedName name="timet0" localSheetId="4">'Problem 5'!$M$6</definedName>
    <definedName name="timet0">'Problem 4'!$M$6</definedName>
    <definedName name="timet1" localSheetId="4">'Problem 5'!$M$7</definedName>
    <definedName name="timet1">'Problem 4'!$M$8</definedName>
    <definedName name="timet2" localSheetId="4">'Problem 5'!$M$8</definedName>
    <definedName name="timet2">'Problem 4'!$M$9</definedName>
    <definedName name="timet3" localSheetId="4">'Problem 5'!$M$9</definedName>
    <definedName name="timet3">'Problem 4'!$M$10</definedName>
    <definedName name="timet4" localSheetId="4">'Problem 5'!$M$10</definedName>
    <definedName name="timet4">'Problem 4'!$M$11</definedName>
    <definedName name="timet5" localSheetId="4">'Problem 5'!$M$11</definedName>
    <definedName name="timet5">'Problem 4'!$M$13</definedName>
    <definedName name="timet6" localSheetId="4">'Problem 5'!$M$14</definedName>
    <definedName name="timet6">'Problem 4'!$M$15</definedName>
    <definedName name="timet7" localSheetId="4">'Problem 5'!$M$19</definedName>
    <definedName name="timet7">'Problem 4'!$M$19</definedName>
    <definedName name="timet8" localSheetId="4">'Problem 5'!$M$29</definedName>
    <definedName name="timet8">'Problem 4'!$M$29</definedName>
    <definedName name="ttt" localSheetId="4">'Problem 5'!$M$6:$M$29</definedName>
    <definedName name="ttt">'Problem 4'!$M$6:$M$29</definedName>
  </definedNames>
  <calcPr calcId="144525" concurrentCalc="0"/>
</workbook>
</file>

<file path=xl/sharedStrings.xml><?xml version="1.0" encoding="utf-8"?>
<sst xmlns="http://schemas.openxmlformats.org/spreadsheetml/2006/main" count="94">
  <si>
    <t>As-Of Date</t>
  </si>
  <si>
    <t>Market Quotes as of 2016/1/29</t>
  </si>
  <si>
    <t>Name</t>
  </si>
  <si>
    <t>Maturity</t>
  </si>
  <si>
    <t>Coupon</t>
  </si>
  <si>
    <t>Day Count</t>
  </si>
  <si>
    <t>Pay Dates</t>
  </si>
  <si>
    <t>Market Quote</t>
  </si>
  <si>
    <t>Quote</t>
  </si>
  <si>
    <t>Type</t>
  </si>
  <si>
    <t>Treasury 
Bill</t>
  </si>
  <si>
    <t>Act/360</t>
  </si>
  <si>
    <t>-</t>
  </si>
  <si>
    <t>Discount Yield</t>
  </si>
  <si>
    <t>Treasury Bill</t>
  </si>
  <si>
    <t>Treasury Note</t>
  </si>
  <si>
    <t>30/360</t>
  </si>
  <si>
    <t>+</t>
  </si>
  <si>
    <t xml:space="preserve">Clean $100 </t>
  </si>
  <si>
    <t>Dscnt Yield</t>
  </si>
  <si>
    <t>Days To Matur</t>
  </si>
  <si>
    <t>Years To Matur</t>
  </si>
  <si>
    <t>Price</t>
  </si>
  <si>
    <t>BEY</t>
  </si>
  <si>
    <t xml:space="preserve"> </t>
  </si>
  <si>
    <t>Treasury Notes/Bonds</t>
  </si>
  <si>
    <t>Bgn Pmnt Prd</t>
  </si>
  <si>
    <t>End Pmnt Prd</t>
  </si>
  <si>
    <t>Days in Pmnt Period</t>
  </si>
  <si>
    <t>Days passed</t>
  </si>
  <si>
    <t>Accrued</t>
  </si>
  <si>
    <t>Clean Price</t>
  </si>
  <si>
    <t>Dirty Price</t>
  </si>
  <si>
    <t>Time</t>
  </si>
  <si>
    <t>CF Dates</t>
  </si>
  <si>
    <t>Time (Act/365)</t>
  </si>
  <si>
    <t>Capit Factor</t>
  </si>
  <si>
    <t xml:space="preserve">Zero Bond </t>
  </si>
  <si>
    <t>Bond 1</t>
  </si>
  <si>
    <t>Bond 2</t>
  </si>
  <si>
    <t>Bond 3</t>
  </si>
  <si>
    <t>Bond 4</t>
  </si>
  <si>
    <t>Bond 5</t>
  </si>
  <si>
    <t>Bond 6</t>
  </si>
  <si>
    <t>Bond 7</t>
  </si>
  <si>
    <t>Bond 8</t>
  </si>
  <si>
    <t>cont rate</t>
  </si>
  <si>
    <t>Market Price</t>
  </si>
  <si>
    <t>Error</t>
  </si>
  <si>
    <t>Delta</t>
  </si>
  <si>
    <t>Delta_Prime</t>
  </si>
  <si>
    <t>Slope</t>
  </si>
  <si>
    <t>a</t>
  </si>
  <si>
    <t>b</t>
  </si>
  <si>
    <t>c</t>
  </si>
  <si>
    <t>d</t>
  </si>
  <si>
    <t>Alpha</t>
  </si>
  <si>
    <t>Payment Dates</t>
  </si>
  <si>
    <t>Principal</t>
  </si>
  <si>
    <t>Period</t>
  </si>
  <si>
    <t>Accrued interest</t>
  </si>
  <si>
    <t>Market invoice price</t>
  </si>
  <si>
    <t>Computed price</t>
  </si>
  <si>
    <t>May 15, Nov 15</t>
  </si>
  <si>
    <t xml:space="preserve">Days till payment </t>
  </si>
  <si>
    <t>(BEY/2)+1</t>
  </si>
  <si>
    <t>cash flow</t>
  </si>
  <si>
    <t>BEY-&gt;Cash flows</t>
  </si>
  <si>
    <t>OAS-&gt;Cash flow</t>
  </si>
  <si>
    <t>OAS</t>
  </si>
  <si>
    <r>
      <rPr>
        <sz val="10"/>
        <rFont val="Arial"/>
        <charset val="134"/>
      </rPr>
      <t>EXP(-OAS*T</t>
    </r>
    <r>
      <rPr>
        <sz val="10"/>
        <rFont val="宋体"/>
        <charset val="134"/>
      </rPr>
      <t>i）</t>
    </r>
  </si>
  <si>
    <t xml:space="preserve"> Price</t>
  </si>
  <si>
    <t>alpha</t>
  </si>
  <si>
    <t>Libor Rates</t>
  </si>
  <si>
    <t>Swap Rates</t>
  </si>
  <si>
    <t>Month</t>
  </si>
  <si>
    <t>Settlement</t>
  </si>
  <si>
    <t>Compounding</t>
  </si>
  <si>
    <t>Rate Quote</t>
  </si>
  <si>
    <t>Computed</t>
  </si>
  <si>
    <t>Input</t>
  </si>
  <si>
    <t>Simple</t>
  </si>
  <si>
    <t>Asof</t>
  </si>
  <si>
    <t>Settlemet</t>
  </si>
  <si>
    <t>Fixed Leg</t>
  </si>
  <si>
    <t>Floating Leg</t>
  </si>
  <si>
    <t>Swap Rate Quote</t>
  </si>
  <si>
    <t>Pay Frequency</t>
  </si>
  <si>
    <t>Tenor</t>
  </si>
  <si>
    <t>Semiannual</t>
  </si>
  <si>
    <t>3M</t>
  </si>
  <si>
    <t>Swap rate</t>
  </si>
  <si>
    <t>Float</t>
  </si>
  <si>
    <t>Fixed</t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</si>
</sst>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176" formatCode="0.00000000_ "/>
    <numFmt numFmtId="177" formatCode="_(&quot;$&quot;* #,##0.00_);_(&quot;$&quot;* \(#,##0.00\);_(&quot;$&quot;* &quot;-&quot;??_);_(@_)"/>
    <numFmt numFmtId="178" formatCode="0.0000_ "/>
    <numFmt numFmtId="179" formatCode="0.000000"/>
    <numFmt numFmtId="180" formatCode="0.0000%"/>
    <numFmt numFmtId="181" formatCode="yyyy/m/d;@"/>
    <numFmt numFmtId="182" formatCode="mm/dd/yyyy"/>
    <numFmt numFmtId="183" formatCode="_(* #,##0.00_);_(* \(#,##0.00\);_(* &quot;-&quot;??_);_(@_)"/>
    <numFmt numFmtId="42" formatCode="_ &quot;￥&quot;* #,##0_ ;_ &quot;￥&quot;* \-#,##0_ ;_ &quot;￥&quot;* &quot;-&quot;_ ;_ @_ "/>
    <numFmt numFmtId="184" formatCode="_(&quot;$&quot;* #,##0.000_);_(&quot;$&quot;* \(#,##0.000\);_(&quot;$&quot;* &quot;-&quot;??_);_(@_)"/>
    <numFmt numFmtId="185" formatCode="_(&quot;$&quot;* #,##0.00000_);_(&quot;$&quot;* \(#,##0.00000\);_(&quot;$&quot;* &quot;-&quot;??_);_(@_)"/>
    <numFmt numFmtId="186" formatCode="0.000%"/>
    <numFmt numFmtId="187" formatCode="0.00000%"/>
    <numFmt numFmtId="188" formatCode="\$#,##0.0000;\-\$#,##0.0000"/>
    <numFmt numFmtId="189" formatCode="0.0000000%"/>
    <numFmt numFmtId="190" formatCode="0.00000000"/>
    <numFmt numFmtId="191" formatCode="_(&quot;$&quot;* #,##0.0000_);_(&quot;$&quot;* \(#,##0.0000\);_(&quot;$&quot;* &quot;-&quot;??_);_(@_)"/>
    <numFmt numFmtId="192" formatCode="0.000000_ "/>
  </numFmts>
  <fonts count="36">
    <font>
      <sz val="10"/>
      <name val="Arial"/>
      <charset val="134"/>
    </font>
    <font>
      <sz val="10.5"/>
      <color rgb="FF7030A0"/>
      <name val="Times New Roman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rgb="FFFF0000"/>
      <name val="Arial"/>
      <charset val="134"/>
    </font>
    <font>
      <sz val="12"/>
      <color rgb="FFFF0000"/>
      <name val="Times New Roman"/>
      <charset val="134"/>
    </font>
    <font>
      <b/>
      <sz val="12"/>
      <name val="Arial"/>
      <charset val="134"/>
    </font>
    <font>
      <sz val="10"/>
      <color rgb="FFC00000"/>
      <name val="Arial"/>
      <charset val="134"/>
    </font>
    <font>
      <b/>
      <sz val="10"/>
      <name val="Times New Roman"/>
      <charset val="134"/>
    </font>
    <font>
      <b/>
      <sz val="10"/>
      <color rgb="FF7030A0"/>
      <name val="Arial"/>
      <charset val="134"/>
    </font>
    <font>
      <b/>
      <sz val="10"/>
      <color rgb="FFFF0000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27" applyNumberFormat="0" applyAlignment="0" applyProtection="0">
      <alignment vertical="center"/>
    </xf>
    <xf numFmtId="177" fontId="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7" fillId="18" borderId="29" applyNumberFormat="0" applyFon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26" applyNumberFormat="0" applyAlignment="0" applyProtection="0">
      <alignment vertical="center"/>
    </xf>
    <xf numFmtId="0" fontId="24" fillId="4" borderId="27" applyNumberFormat="0" applyAlignment="0" applyProtection="0">
      <alignment vertical="center"/>
    </xf>
    <xf numFmtId="0" fontId="30" fillId="22" borderId="3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21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57">
    <xf numFmtId="0" fontId="0" fillId="0" borderId="0" xfId="53" applyAlignment="1"/>
    <xf numFmtId="0" fontId="0" fillId="0" borderId="0" xfId="46" applyFill="1" applyAlignment="1"/>
    <xf numFmtId="0" fontId="1" fillId="0" borderId="0" xfId="50" applyFont="1" applyAlignment="1">
      <alignment horizontal="center" vertical="center"/>
    </xf>
    <xf numFmtId="0" fontId="0" fillId="0" borderId="0" xfId="46" applyFill="1" applyAlignment="1">
      <alignment horizontal="center" vertical="center"/>
    </xf>
    <xf numFmtId="14" fontId="2" fillId="0" borderId="0" xfId="46" applyNumberFormat="1" applyFont="1" applyFill="1" applyAlignment="1">
      <alignment horizontal="center" vertical="center"/>
    </xf>
    <xf numFmtId="14" fontId="0" fillId="0" borderId="0" xfId="46" applyNumberFormat="1" applyFill="1" applyAlignment="1">
      <alignment horizontal="center" vertical="center"/>
    </xf>
    <xf numFmtId="0" fontId="3" fillId="0" borderId="0" xfId="46" applyFont="1" applyFill="1" applyBorder="1" applyAlignment="1">
      <alignment horizontal="center" vertical="center"/>
    </xf>
    <xf numFmtId="0" fontId="4" fillId="0" borderId="0" xfId="46" applyFont="1" applyFill="1" applyAlignment="1">
      <alignment horizontal="center" vertical="center"/>
    </xf>
    <xf numFmtId="0" fontId="5" fillId="0" borderId="0" xfId="46" applyFont="1" applyFill="1" applyBorder="1" applyAlignment="1">
      <alignment horizontal="center" vertical="center" wrapText="1"/>
    </xf>
    <xf numFmtId="14" fontId="5" fillId="0" borderId="0" xfId="46" applyNumberFormat="1" applyFont="1" applyFill="1" applyBorder="1" applyAlignment="1">
      <alignment horizontal="center" vertical="center" wrapText="1"/>
    </xf>
    <xf numFmtId="180" fontId="5" fillId="0" borderId="0" xfId="46" applyNumberFormat="1" applyFont="1" applyFill="1" applyBorder="1" applyAlignment="1">
      <alignment horizontal="center" vertical="center" wrapText="1"/>
    </xf>
    <xf numFmtId="180" fontId="0" fillId="0" borderId="0" xfId="46" applyNumberFormat="1" applyFill="1" applyBorder="1" applyAlignment="1">
      <alignment horizontal="center" vertical="center"/>
    </xf>
    <xf numFmtId="14" fontId="0" fillId="0" borderId="0" xfId="46" applyNumberFormat="1" applyFill="1" applyBorder="1" applyAlignment="1">
      <alignment horizontal="center" vertical="center"/>
    </xf>
    <xf numFmtId="0" fontId="5" fillId="0" borderId="0" xfId="46" applyFont="1" applyFill="1" applyBorder="1" applyAlignment="1">
      <alignment horizontal="center" wrapText="1"/>
    </xf>
    <xf numFmtId="0" fontId="5" fillId="0" borderId="0" xfId="46" applyFont="1" applyFill="1" applyBorder="1" applyAlignment="1">
      <alignment horizontal="center"/>
    </xf>
    <xf numFmtId="0" fontId="6" fillId="0" borderId="0" xfId="46" applyFont="1" applyFill="1" applyAlignment="1">
      <alignment horizontal="center" vertical="center"/>
    </xf>
    <xf numFmtId="14" fontId="7" fillId="0" borderId="0" xfId="46" applyNumberFormat="1" applyFont="1" applyFill="1" applyBorder="1" applyAlignment="1">
      <alignment horizontal="center" vertical="center" wrapText="1"/>
    </xf>
    <xf numFmtId="0" fontId="7" fillId="0" borderId="0" xfId="46" applyFont="1" applyFill="1" applyBorder="1" applyAlignment="1">
      <alignment horizontal="center" vertical="center" wrapText="1"/>
    </xf>
    <xf numFmtId="0" fontId="6" fillId="0" borderId="0" xfId="46" applyFont="1" applyFill="1" applyAlignment="1">
      <alignment horizontal="center"/>
    </xf>
    <xf numFmtId="0" fontId="6" fillId="0" borderId="0" xfId="46" applyFont="1" applyFill="1" applyBorder="1" applyAlignment="1">
      <alignment horizontal="center"/>
    </xf>
    <xf numFmtId="0" fontId="6" fillId="0" borderId="0" xfId="46" applyFont="1" applyAlignment="1">
      <alignment horizontal="center"/>
    </xf>
    <xf numFmtId="0" fontId="0" fillId="0" borderId="0" xfId="46" applyAlignment="1">
      <alignment horizontal="center" vertical="center"/>
    </xf>
    <xf numFmtId="0" fontId="2" fillId="0" borderId="1" xfId="43" applyFont="1" applyBorder="1" applyAlignment="1">
      <alignment horizontal="center" vertical="center"/>
    </xf>
    <xf numFmtId="0" fontId="2" fillId="0" borderId="2" xfId="43" applyFont="1" applyBorder="1" applyAlignment="1">
      <alignment horizontal="center" vertical="center"/>
    </xf>
    <xf numFmtId="178" fontId="0" fillId="0" borderId="0" xfId="43" applyNumberFormat="1" applyFont="1" applyBorder="1" applyAlignment="1">
      <alignment horizontal="center" vertical="center"/>
    </xf>
    <xf numFmtId="176" fontId="0" fillId="0" borderId="0" xfId="8" applyNumberFormat="1" applyFont="1" applyBorder="1" applyAlignment="1">
      <alignment horizontal="center" vertical="center"/>
    </xf>
    <xf numFmtId="176" fontId="0" fillId="0" borderId="0" xfId="43" applyNumberFormat="1" applyAlignment="1">
      <alignment horizontal="center" vertical="center"/>
    </xf>
    <xf numFmtId="176" fontId="0" fillId="0" borderId="3" xfId="43" applyNumberFormat="1" applyBorder="1" applyAlignment="1">
      <alignment horizontal="center" vertical="center"/>
    </xf>
    <xf numFmtId="176" fontId="6" fillId="0" borderId="4" xfId="43" applyNumberFormat="1" applyFont="1" applyBorder="1" applyAlignment="1">
      <alignment horizontal="center" vertical="center"/>
    </xf>
    <xf numFmtId="178" fontId="0" fillId="0" borderId="0" xfId="43" applyNumberFormat="1" applyBorder="1" applyAlignment="1">
      <alignment horizontal="center" vertical="center"/>
    </xf>
    <xf numFmtId="178" fontId="0" fillId="0" borderId="0" xfId="43" applyNumberFormat="1" applyAlignment="1">
      <alignment horizontal="center" vertical="center"/>
    </xf>
    <xf numFmtId="178" fontId="0" fillId="0" borderId="5" xfId="43" applyNumberFormat="1" applyBorder="1" applyAlignment="1">
      <alignment horizontal="center" vertical="center"/>
    </xf>
    <xf numFmtId="176" fontId="0" fillId="0" borderId="5" xfId="43" applyNumberFormat="1" applyBorder="1" applyAlignment="1">
      <alignment horizontal="center" vertical="center"/>
    </xf>
    <xf numFmtId="0" fontId="0" fillId="0" borderId="6" xfId="46" applyFill="1" applyBorder="1" applyAlignment="1">
      <alignment horizontal="center" vertical="center"/>
    </xf>
    <xf numFmtId="0" fontId="2" fillId="0" borderId="7" xfId="46" applyFont="1" applyFill="1" applyBorder="1" applyAlignment="1">
      <alignment horizontal="center" vertical="center"/>
    </xf>
    <xf numFmtId="0" fontId="2" fillId="0" borderId="8" xfId="46" applyFont="1" applyFill="1" applyBorder="1" applyAlignment="1">
      <alignment horizontal="center" vertical="center"/>
    </xf>
    <xf numFmtId="0" fontId="2" fillId="0" borderId="4" xfId="46" applyFont="1" applyFill="1" applyBorder="1" applyAlignment="1">
      <alignment horizontal="center" vertical="center"/>
    </xf>
    <xf numFmtId="0" fontId="2" fillId="2" borderId="4" xfId="46" applyFont="1" applyFill="1" applyBorder="1" applyAlignment="1">
      <alignment horizontal="center" vertical="center"/>
    </xf>
    <xf numFmtId="0" fontId="2" fillId="3" borderId="8" xfId="46" applyFont="1" applyFill="1" applyBorder="1" applyAlignment="1">
      <alignment horizontal="center" vertical="center"/>
    </xf>
    <xf numFmtId="182" fontId="2" fillId="3" borderId="4" xfId="46" applyNumberFormat="1" applyFont="1" applyFill="1" applyBorder="1" applyAlignment="1">
      <alignment horizontal="center" vertical="center"/>
    </xf>
    <xf numFmtId="0" fontId="2" fillId="3" borderId="4" xfId="46" applyFont="1" applyFill="1" applyBorder="1" applyAlignment="1">
      <alignment horizontal="center" vertical="center"/>
    </xf>
    <xf numFmtId="176" fontId="2" fillId="3" borderId="4" xfId="46" applyNumberFormat="1" applyFont="1" applyFill="1" applyBorder="1" applyAlignment="1">
      <alignment horizontal="center" vertical="center"/>
    </xf>
    <xf numFmtId="0" fontId="0" fillId="0" borderId="4" xfId="46" applyFill="1" applyBorder="1" applyAlignment="1">
      <alignment horizontal="center" vertical="center"/>
    </xf>
    <xf numFmtId="180" fontId="8" fillId="2" borderId="4" xfId="46" applyNumberFormat="1" applyFont="1" applyFill="1" applyBorder="1" applyAlignment="1">
      <alignment horizontal="center" vertical="center"/>
    </xf>
    <xf numFmtId="0" fontId="8" fillId="3" borderId="8" xfId="46" applyFont="1" applyFill="1" applyBorder="1" applyAlignment="1">
      <alignment horizontal="center" vertical="center"/>
    </xf>
    <xf numFmtId="182" fontId="8" fillId="3" borderId="4" xfId="46" applyNumberFormat="1" applyFont="1" applyFill="1" applyBorder="1" applyAlignment="1">
      <alignment horizontal="center" vertical="center"/>
    </xf>
    <xf numFmtId="179" fontId="8" fillId="3" borderId="4" xfId="46" applyNumberFormat="1" applyFont="1" applyFill="1" applyBorder="1" applyAlignment="1">
      <alignment horizontal="center" vertical="center"/>
    </xf>
    <xf numFmtId="176" fontId="8" fillId="0" borderId="4" xfId="43" applyNumberFormat="1" applyFont="1" applyBorder="1" applyAlignment="1">
      <alignment horizontal="center" vertical="center"/>
    </xf>
    <xf numFmtId="0" fontId="8" fillId="0" borderId="4" xfId="46" applyFont="1" applyFill="1" applyBorder="1" applyAlignment="1">
      <alignment horizontal="center" vertical="center"/>
    </xf>
    <xf numFmtId="180" fontId="8" fillId="3" borderId="4" xfId="46" applyNumberFormat="1" applyFont="1" applyFill="1" applyBorder="1" applyAlignment="1">
      <alignment horizontal="center" vertical="center"/>
    </xf>
    <xf numFmtId="176" fontId="8" fillId="0" borderId="0" xfId="43" applyNumberFormat="1" applyFont="1" applyAlignment="1">
      <alignment horizontal="center" vertical="center"/>
    </xf>
    <xf numFmtId="180" fontId="7" fillId="0" borderId="0" xfId="46" applyNumberFormat="1" applyFont="1" applyFill="1" applyBorder="1" applyAlignment="1">
      <alignment horizontal="center" vertical="center" wrapText="1"/>
    </xf>
    <xf numFmtId="0" fontId="8" fillId="0" borderId="8" xfId="46" applyFont="1" applyFill="1" applyBorder="1" applyAlignment="1">
      <alignment horizontal="center" vertical="center"/>
    </xf>
    <xf numFmtId="182" fontId="8" fillId="0" borderId="4" xfId="46" applyNumberFormat="1" applyFont="1" applyFill="1" applyBorder="1" applyAlignment="1">
      <alignment horizontal="center" vertical="center"/>
    </xf>
    <xf numFmtId="182" fontId="0" fillId="0" borderId="4" xfId="46" applyNumberFormat="1" applyFill="1" applyBorder="1" applyAlignment="1">
      <alignment horizontal="center" vertical="center"/>
    </xf>
    <xf numFmtId="179" fontId="0" fillId="3" borderId="4" xfId="46" applyNumberFormat="1" applyFill="1" applyBorder="1" applyAlignment="1">
      <alignment horizontal="center" vertical="center"/>
    </xf>
    <xf numFmtId="176" fontId="0" fillId="0" borderId="4" xfId="8" applyNumberFormat="1" applyFont="1" applyFill="1" applyBorder="1" applyAlignment="1">
      <alignment horizontal="center" vertical="center"/>
    </xf>
    <xf numFmtId="0" fontId="0" fillId="0" borderId="8" xfId="46" applyFill="1" applyBorder="1" applyAlignment="1">
      <alignment horizontal="center" vertical="center"/>
    </xf>
    <xf numFmtId="180" fontId="6" fillId="0" borderId="0" xfId="46" applyNumberFormat="1" applyFont="1" applyBorder="1" applyAlignment="1">
      <alignment horizontal="center"/>
    </xf>
    <xf numFmtId="0" fontId="0" fillId="3" borderId="8" xfId="46" applyFill="1" applyBorder="1" applyAlignment="1">
      <alignment horizontal="center" vertical="center"/>
    </xf>
    <xf numFmtId="182" fontId="0" fillId="3" borderId="4" xfId="46" applyNumberFormat="1" applyFill="1" applyBorder="1" applyAlignment="1">
      <alignment horizontal="center" vertical="center"/>
    </xf>
    <xf numFmtId="0" fontId="2" fillId="0" borderId="0" xfId="46" applyFont="1" applyAlignment="1">
      <alignment horizontal="center" vertical="center"/>
    </xf>
    <xf numFmtId="176" fontId="8" fillId="0" borderId="5" xfId="43" applyNumberFormat="1" applyFont="1" applyBorder="1" applyAlignment="1">
      <alignment horizontal="center" vertical="center"/>
    </xf>
    <xf numFmtId="176" fontId="0" fillId="0" borderId="0" xfId="43" applyNumberFormat="1" applyFont="1" applyAlignment="1">
      <alignment horizontal="center" vertical="center"/>
    </xf>
    <xf numFmtId="176" fontId="0" fillId="0" borderId="0" xfId="43" applyNumberFormat="1"/>
    <xf numFmtId="0" fontId="8" fillId="3" borderId="9" xfId="46" applyFont="1" applyFill="1" applyBorder="1" applyAlignment="1">
      <alignment horizontal="center" vertical="center"/>
    </xf>
    <xf numFmtId="182" fontId="8" fillId="3" borderId="10" xfId="46" applyNumberFormat="1" applyFont="1" applyFill="1" applyBorder="1" applyAlignment="1">
      <alignment horizontal="center" vertical="center"/>
    </xf>
    <xf numFmtId="179" fontId="8" fillId="3" borderId="10" xfId="46" applyNumberFormat="1" applyFont="1" applyFill="1" applyBorder="1" applyAlignment="1">
      <alignment horizontal="center" vertical="center"/>
    </xf>
    <xf numFmtId="0" fontId="0" fillId="0" borderId="10" xfId="46" applyBorder="1" applyAlignment="1">
      <alignment horizontal="center" vertical="center"/>
    </xf>
    <xf numFmtId="182" fontId="0" fillId="0" borderId="0" xfId="46" applyNumberFormat="1" applyAlignment="1"/>
    <xf numFmtId="0" fontId="2" fillId="0" borderId="11" xfId="46" applyFont="1" applyFill="1" applyBorder="1" applyAlignment="1">
      <alignment horizontal="center" vertical="center" wrapText="1"/>
    </xf>
    <xf numFmtId="0" fontId="2" fillId="0" borderId="12" xfId="46" applyFont="1" applyFill="1" applyBorder="1" applyAlignment="1">
      <alignment horizontal="center" vertical="center" wrapText="1"/>
    </xf>
    <xf numFmtId="180" fontId="0" fillId="0" borderId="12" xfId="46" applyNumberFormat="1" applyFill="1" applyBorder="1" applyAlignment="1">
      <alignment horizontal="center" vertical="center"/>
    </xf>
    <xf numFmtId="180" fontId="9" fillId="3" borderId="4" xfId="46" applyNumberFormat="1" applyFont="1" applyFill="1" applyBorder="1" applyAlignment="1">
      <alignment horizontal="center" vertical="center" wrapText="1"/>
    </xf>
    <xf numFmtId="178" fontId="8" fillId="3" borderId="4" xfId="4" applyNumberFormat="1" applyFont="1" applyFill="1" applyBorder="1" applyAlignment="1">
      <alignment horizontal="center" vertical="center"/>
    </xf>
    <xf numFmtId="0" fontId="8" fillId="3" borderId="4" xfId="46" applyFont="1" applyFill="1" applyBorder="1" applyAlignment="1">
      <alignment horizontal="center" vertical="center"/>
    </xf>
    <xf numFmtId="180" fontId="8" fillId="3" borderId="12" xfId="11" applyNumberFormat="1" applyFont="1" applyFill="1" applyBorder="1" applyAlignment="1">
      <alignment horizontal="center" vertical="center"/>
    </xf>
    <xf numFmtId="184" fontId="0" fillId="0" borderId="4" xfId="4" applyNumberFormat="1" applyFont="1" applyBorder="1" applyAlignment="1">
      <alignment horizontal="center" vertical="center"/>
    </xf>
    <xf numFmtId="187" fontId="8" fillId="0" borderId="4" xfId="46" applyNumberFormat="1" applyFont="1" applyFill="1" applyBorder="1" applyAlignment="1">
      <alignment horizontal="center" vertical="center"/>
    </xf>
    <xf numFmtId="180" fontId="9" fillId="0" borderId="4" xfId="46" applyNumberFormat="1" applyFont="1" applyFill="1" applyBorder="1" applyAlignment="1">
      <alignment horizontal="center" vertical="center" wrapText="1"/>
    </xf>
    <xf numFmtId="180" fontId="0" fillId="0" borderId="4" xfId="11" applyNumberFormat="1" applyFont="1" applyBorder="1" applyAlignment="1">
      <alignment horizontal="center" vertical="center"/>
    </xf>
    <xf numFmtId="180" fontId="8" fillId="0" borderId="4" xfId="46" applyNumberFormat="1" applyFont="1" applyBorder="1" applyAlignment="1">
      <alignment horizontal="center" vertical="center"/>
    </xf>
    <xf numFmtId="177" fontId="0" fillId="0" borderId="4" xfId="4" applyFont="1" applyBorder="1" applyAlignment="1">
      <alignment horizontal="center" vertical="center"/>
    </xf>
    <xf numFmtId="180" fontId="8" fillId="0" borderId="10" xfId="46" applyNumberFormat="1" applyFont="1" applyBorder="1" applyAlignment="1">
      <alignment horizontal="center" vertical="center"/>
    </xf>
    <xf numFmtId="14" fontId="10" fillId="0" borderId="0" xfId="46" applyNumberFormat="1" applyFont="1" applyFill="1" applyAlignment="1">
      <alignment horizontal="center"/>
    </xf>
    <xf numFmtId="14" fontId="2" fillId="0" borderId="0" xfId="46" applyNumberFormat="1" applyFont="1" applyFill="1" applyAlignment="1">
      <alignment horizontal="center"/>
    </xf>
    <xf numFmtId="0" fontId="5" fillId="0" borderId="13" xfId="46" applyFont="1" applyFill="1" applyBorder="1" applyAlignment="1">
      <alignment horizontal="center" vertical="center" wrapText="1"/>
    </xf>
    <xf numFmtId="0" fontId="5" fillId="0" borderId="1" xfId="46" applyFont="1" applyFill="1" applyBorder="1" applyAlignment="1">
      <alignment horizontal="center" vertical="center" wrapText="1"/>
    </xf>
    <xf numFmtId="0" fontId="5" fillId="0" borderId="2" xfId="46" applyFont="1" applyFill="1" applyBorder="1" applyAlignment="1">
      <alignment horizontal="center" vertical="center" wrapText="1"/>
    </xf>
    <xf numFmtId="14" fontId="5" fillId="0" borderId="14" xfId="46" applyNumberFormat="1" applyFont="1" applyFill="1" applyBorder="1" applyAlignment="1">
      <alignment horizontal="center" vertical="center" wrapText="1"/>
    </xf>
    <xf numFmtId="180" fontId="5" fillId="0" borderId="3" xfId="46" applyNumberFormat="1" applyFont="1" applyFill="1" applyBorder="1" applyAlignment="1">
      <alignment horizontal="center" vertical="center" wrapText="1"/>
    </xf>
    <xf numFmtId="180" fontId="0" fillId="0" borderId="3" xfId="46" applyNumberFormat="1" applyFill="1" applyBorder="1" applyAlignment="1">
      <alignment horizontal="center" vertical="center"/>
    </xf>
    <xf numFmtId="14" fontId="0" fillId="0" borderId="5" xfId="46" applyNumberFormat="1" applyFill="1" applyBorder="1" applyAlignment="1">
      <alignment horizontal="center" vertical="center"/>
    </xf>
    <xf numFmtId="0" fontId="5" fillId="0" borderId="5" xfId="46" applyFont="1" applyFill="1" applyBorder="1" applyAlignment="1">
      <alignment horizontal="center" vertical="center" wrapText="1"/>
    </xf>
    <xf numFmtId="180" fontId="0" fillId="0" borderId="15" xfId="46" applyNumberFormat="1" applyFill="1" applyBorder="1" applyAlignment="1">
      <alignment horizontal="center" vertical="center"/>
    </xf>
    <xf numFmtId="0" fontId="0" fillId="0" borderId="0" xfId="54" applyAlignment="1">
      <alignment horizontal="center" vertical="center"/>
    </xf>
    <xf numFmtId="0" fontId="5" fillId="0" borderId="1" xfId="46" applyFont="1" applyFill="1" applyBorder="1" applyAlignment="1">
      <alignment horizontal="center" vertical="center"/>
    </xf>
    <xf numFmtId="0" fontId="5" fillId="0" borderId="14" xfId="46" applyFont="1" applyFill="1" applyBorder="1" applyAlignment="1">
      <alignment horizontal="center" vertical="center" wrapText="1"/>
    </xf>
    <xf numFmtId="14" fontId="7" fillId="0" borderId="14" xfId="46" applyNumberFormat="1" applyFont="1" applyFill="1" applyBorder="1" applyAlignment="1">
      <alignment horizontal="center" vertical="center" wrapText="1"/>
    </xf>
    <xf numFmtId="0" fontId="6" fillId="0" borderId="0" xfId="46" applyFont="1" applyFill="1" applyBorder="1" applyAlignment="1">
      <alignment horizontal="center" vertical="center"/>
    </xf>
    <xf numFmtId="0" fontId="6" fillId="0" borderId="0" xfId="46" applyFont="1" applyAlignment="1">
      <alignment horizontal="center" vertical="center"/>
    </xf>
    <xf numFmtId="14" fontId="7" fillId="0" borderId="5" xfId="46" applyNumberFormat="1" applyFont="1" applyFill="1" applyBorder="1" applyAlignment="1">
      <alignment horizontal="center" vertical="center" wrapText="1"/>
    </xf>
    <xf numFmtId="0" fontId="7" fillId="0" borderId="5" xfId="46" applyFont="1" applyFill="1" applyBorder="1" applyAlignment="1">
      <alignment horizontal="center" vertical="center" wrapText="1"/>
    </xf>
    <xf numFmtId="0" fontId="6" fillId="0" borderId="5" xfId="46" applyFont="1" applyFill="1" applyBorder="1" applyAlignment="1">
      <alignment horizontal="center" vertical="center"/>
    </xf>
    <xf numFmtId="176" fontId="6" fillId="3" borderId="4" xfId="8" applyNumberFormat="1" applyFont="1" applyFill="1" applyBorder="1" applyAlignment="1">
      <alignment horizontal="center" vertical="center"/>
    </xf>
    <xf numFmtId="176" fontId="8" fillId="3" borderId="4" xfId="8" applyNumberFormat="1" applyFont="1" applyFill="1" applyBorder="1" applyAlignment="1">
      <alignment horizontal="center" vertical="center"/>
    </xf>
    <xf numFmtId="0" fontId="8" fillId="2" borderId="8" xfId="46" applyFont="1" applyFill="1" applyBorder="1" applyAlignment="1">
      <alignment horizontal="center" vertical="center"/>
    </xf>
    <xf numFmtId="0" fontId="5" fillId="0" borderId="3" xfId="46" applyFont="1" applyFill="1" applyBorder="1" applyAlignment="1">
      <alignment horizontal="center" vertical="center" wrapText="1"/>
    </xf>
    <xf numFmtId="180" fontId="7" fillId="0" borderId="3" xfId="46" applyNumberFormat="1" applyFont="1" applyFill="1" applyBorder="1" applyAlignment="1">
      <alignment horizontal="center" vertical="center" wrapText="1"/>
    </xf>
    <xf numFmtId="176" fontId="8" fillId="0" borderId="4" xfId="8" applyNumberFormat="1" applyFont="1" applyFill="1" applyBorder="1" applyAlignment="1">
      <alignment horizontal="center" vertical="center"/>
    </xf>
    <xf numFmtId="180" fontId="6" fillId="0" borderId="3" xfId="46" applyNumberFormat="1" applyFont="1" applyBorder="1" applyAlignment="1">
      <alignment horizontal="center" vertical="center"/>
    </xf>
    <xf numFmtId="180" fontId="6" fillId="0" borderId="15" xfId="46" applyNumberFormat="1" applyFont="1" applyBorder="1" applyAlignment="1">
      <alignment horizontal="center" vertical="center"/>
    </xf>
    <xf numFmtId="176" fontId="8" fillId="3" borderId="10" xfId="46" applyNumberFormat="1" applyFont="1" applyFill="1" applyBorder="1" applyAlignment="1">
      <alignment horizontal="center" vertical="center"/>
    </xf>
    <xf numFmtId="178" fontId="0" fillId="0" borderId="12" xfId="46" applyNumberFormat="1" applyFill="1" applyBorder="1" applyAlignment="1">
      <alignment horizontal="center" vertical="center"/>
    </xf>
    <xf numFmtId="178" fontId="8" fillId="3" borderId="12" xfId="11" applyNumberFormat="1" applyFont="1" applyFill="1" applyBorder="1" applyAlignment="1">
      <alignment horizontal="center" vertical="center"/>
    </xf>
    <xf numFmtId="187" fontId="8" fillId="3" borderId="4" xfId="4" applyNumberFormat="1" applyFont="1" applyFill="1" applyBorder="1" applyAlignment="1">
      <alignment horizontal="center" vertical="center"/>
    </xf>
    <xf numFmtId="187" fontId="0" fillId="0" borderId="4" xfId="46" applyNumberFormat="1" applyFill="1" applyBorder="1" applyAlignment="1">
      <alignment horizontal="center" vertical="center"/>
    </xf>
    <xf numFmtId="187" fontId="0" fillId="0" borderId="0" xfId="54" applyNumberFormat="1" applyAlignment="1"/>
    <xf numFmtId="0" fontId="8" fillId="0" borderId="0" xfId="43" applyFont="1"/>
    <xf numFmtId="0" fontId="0" fillId="0" borderId="13" xfId="46" applyFill="1" applyBorder="1" applyAlignment="1">
      <alignment horizontal="center" vertical="center"/>
    </xf>
    <xf numFmtId="0" fontId="0" fillId="0" borderId="1" xfId="46" applyFill="1" applyBorder="1" applyAlignment="1">
      <alignment horizontal="center" vertical="center"/>
    </xf>
    <xf numFmtId="0" fontId="0" fillId="0" borderId="2" xfId="46" applyFont="1" applyFill="1" applyBorder="1" applyAlignment="1">
      <alignment horizontal="center" vertical="center"/>
    </xf>
    <xf numFmtId="14" fontId="0" fillId="0" borderId="16" xfId="46" applyNumberFormat="1" applyFill="1" applyBorder="1" applyAlignment="1">
      <alignment horizontal="center" vertical="center"/>
    </xf>
    <xf numFmtId="10" fontId="0" fillId="0" borderId="5" xfId="46" applyNumberFormat="1" applyFill="1" applyBorder="1" applyAlignment="1">
      <alignment horizontal="center" vertical="center"/>
    </xf>
    <xf numFmtId="0" fontId="0" fillId="0" borderId="5" xfId="46" applyFill="1" applyBorder="1" applyAlignment="1">
      <alignment horizontal="center" vertical="center"/>
    </xf>
    <xf numFmtId="0" fontId="0" fillId="0" borderId="5" xfId="46" applyFont="1" applyFill="1" applyBorder="1" applyAlignment="1">
      <alignment horizontal="center" vertical="center"/>
    </xf>
    <xf numFmtId="177" fontId="0" fillId="0" borderId="15" xfId="4" applyFont="1" applyBorder="1" applyAlignment="1">
      <alignment horizontal="center" vertical="center"/>
    </xf>
    <xf numFmtId="0" fontId="2" fillId="0" borderId="6" xfId="43" applyFont="1" applyBorder="1" applyAlignment="1">
      <alignment horizontal="center"/>
    </xf>
    <xf numFmtId="0" fontId="2" fillId="0" borderId="7" xfId="43" applyFont="1" applyBorder="1" applyAlignment="1">
      <alignment horizontal="center" vertical="center"/>
    </xf>
    <xf numFmtId="0" fontId="10" fillId="0" borderId="7" xfId="46" applyFont="1" applyBorder="1" applyAlignment="1">
      <alignment horizontal="center" vertical="center"/>
    </xf>
    <xf numFmtId="0" fontId="10" fillId="0" borderId="11" xfId="46" applyFont="1" applyBorder="1" applyAlignment="1">
      <alignment horizontal="center" vertical="center"/>
    </xf>
    <xf numFmtId="0" fontId="2" fillId="0" borderId="17" xfId="43" applyFont="1" applyBorder="1" applyAlignment="1">
      <alignment horizontal="center"/>
    </xf>
    <xf numFmtId="182" fontId="6" fillId="0" borderId="18" xfId="43" applyNumberFormat="1" applyFont="1" applyBorder="1" applyAlignment="1">
      <alignment horizontal="center" vertical="center"/>
    </xf>
    <xf numFmtId="0" fontId="2" fillId="0" borderId="18" xfId="43" applyFont="1" applyBorder="1" applyAlignment="1">
      <alignment horizontal="center" vertical="center"/>
    </xf>
    <xf numFmtId="176" fontId="2" fillId="0" borderId="18" xfId="43" applyNumberFormat="1" applyFont="1" applyBorder="1" applyAlignment="1">
      <alignment horizontal="center" vertical="center"/>
    </xf>
    <xf numFmtId="0" fontId="10" fillId="0" borderId="19" xfId="46" applyFont="1" applyBorder="1" applyAlignment="1">
      <alignment horizontal="center" vertical="center"/>
    </xf>
    <xf numFmtId="0" fontId="10" fillId="0" borderId="20" xfId="46" applyFont="1" applyBorder="1" applyAlignment="1">
      <alignment horizontal="center" vertical="center"/>
    </xf>
    <xf numFmtId="0" fontId="11" fillId="0" borderId="8" xfId="43" applyFont="1" applyBorder="1"/>
    <xf numFmtId="182" fontId="8" fillId="0" borderId="4" xfId="43" applyNumberFormat="1" applyFont="1" applyBorder="1" applyAlignment="1">
      <alignment horizontal="center" vertical="center"/>
    </xf>
    <xf numFmtId="178" fontId="8" fillId="0" borderId="4" xfId="43" applyNumberFormat="1" applyFont="1" applyBorder="1" applyAlignment="1">
      <alignment horizontal="center" vertical="center"/>
    </xf>
    <xf numFmtId="0" fontId="8" fillId="0" borderId="4" xfId="43" applyFont="1" applyBorder="1" applyAlignment="1">
      <alignment horizontal="center" vertical="center"/>
    </xf>
    <xf numFmtId="180" fontId="0" fillId="0" borderId="4" xfId="46" applyNumberFormat="1" applyFont="1" applyBorder="1" applyAlignment="1">
      <alignment horizontal="center" vertical="center"/>
    </xf>
    <xf numFmtId="180" fontId="0" fillId="0" borderId="12" xfId="46" applyNumberFormat="1" applyFont="1" applyBorder="1" applyAlignment="1">
      <alignment horizontal="center" vertical="center"/>
    </xf>
    <xf numFmtId="0" fontId="0" fillId="0" borderId="8" xfId="43" applyBorder="1"/>
    <xf numFmtId="182" fontId="6" fillId="0" borderId="4" xfId="43" applyNumberFormat="1" applyFont="1" applyBorder="1" applyAlignment="1">
      <alignment horizontal="center" vertical="center"/>
    </xf>
    <xf numFmtId="178" fontId="0" fillId="0" borderId="4" xfId="43" applyNumberFormat="1" applyBorder="1" applyAlignment="1">
      <alignment horizontal="center" vertical="center"/>
    </xf>
    <xf numFmtId="176" fontId="0" fillId="0" borderId="4" xfId="43" applyNumberFormat="1" applyFont="1" applyBorder="1" applyAlignment="1">
      <alignment horizontal="center" vertical="center"/>
    </xf>
    <xf numFmtId="0" fontId="0" fillId="0" borderId="4" xfId="43" applyBorder="1" applyAlignment="1">
      <alignment horizontal="center" vertical="center"/>
    </xf>
    <xf numFmtId="0" fontId="2" fillId="0" borderId="19" xfId="43" applyFont="1" applyBorder="1" applyAlignment="1">
      <alignment horizontal="center" vertical="center"/>
    </xf>
    <xf numFmtId="0" fontId="0" fillId="0" borderId="4" xfId="43" applyFont="1" applyBorder="1" applyAlignment="1">
      <alignment horizontal="center" vertical="center"/>
    </xf>
    <xf numFmtId="0" fontId="8" fillId="0" borderId="8" xfId="43" applyFont="1" applyBorder="1"/>
    <xf numFmtId="178" fontId="6" fillId="0" borderId="4" xfId="43" applyNumberFormat="1" applyFont="1" applyBorder="1" applyAlignment="1">
      <alignment horizontal="center" vertical="center"/>
    </xf>
    <xf numFmtId="14" fontId="0" fillId="0" borderId="8" xfId="43" applyNumberFormat="1" applyBorder="1"/>
    <xf numFmtId="0" fontId="8" fillId="0" borderId="9" xfId="43" applyFont="1" applyBorder="1"/>
    <xf numFmtId="182" fontId="8" fillId="0" borderId="10" xfId="43" applyNumberFormat="1" applyFont="1" applyBorder="1" applyAlignment="1">
      <alignment horizontal="center" vertical="center"/>
    </xf>
    <xf numFmtId="0" fontId="8" fillId="0" borderId="21" xfId="43" applyFont="1" applyBorder="1" applyAlignment="1">
      <alignment horizontal="center" vertical="center"/>
    </xf>
    <xf numFmtId="182" fontId="8" fillId="0" borderId="0" xfId="43" applyNumberFormat="1" applyFont="1" applyAlignment="1">
      <alignment horizontal="center" vertical="center"/>
    </xf>
    <xf numFmtId="0" fontId="8" fillId="2" borderId="0" xfId="46" applyFont="1" applyFill="1" applyAlignment="1">
      <alignment horizontal="center" vertical="center"/>
    </xf>
    <xf numFmtId="0" fontId="8" fillId="2" borderId="0" xfId="50" applyFont="1" applyFill="1" applyAlignment="1">
      <alignment horizontal="center" vertical="center"/>
    </xf>
    <xf numFmtId="176" fontId="0" fillId="0" borderId="0" xfId="8" applyNumberFormat="1" applyFont="1" applyAlignment="1">
      <alignment horizontal="center" vertical="center"/>
    </xf>
    <xf numFmtId="0" fontId="0" fillId="0" borderId="13" xfId="46" applyNumberFormat="1" applyBorder="1" applyAlignment="1">
      <alignment horizontal="center" vertical="center"/>
    </xf>
    <xf numFmtId="0" fontId="0" fillId="0" borderId="2" xfId="46" applyNumberFormat="1" applyBorder="1" applyAlignment="1">
      <alignment horizontal="center" vertical="center"/>
    </xf>
    <xf numFmtId="0" fontId="8" fillId="2" borderId="0" xfId="46" applyFont="1" applyFill="1" applyAlignment="1"/>
    <xf numFmtId="189" fontId="8" fillId="2" borderId="0" xfId="46" applyNumberFormat="1" applyFont="1" applyFill="1" applyAlignment="1"/>
    <xf numFmtId="0" fontId="0" fillId="0" borderId="14" xfId="46" applyNumberFormat="1" applyBorder="1" applyAlignment="1">
      <alignment horizontal="center" vertical="center"/>
    </xf>
    <xf numFmtId="190" fontId="0" fillId="0" borderId="3" xfId="46" applyNumberFormat="1" applyBorder="1" applyAlignment="1">
      <alignment horizontal="center" vertical="center"/>
    </xf>
    <xf numFmtId="0" fontId="0" fillId="2" borderId="3" xfId="46" applyNumberFormat="1" applyFill="1" applyBorder="1" applyAlignment="1">
      <alignment horizontal="center" vertical="center"/>
    </xf>
    <xf numFmtId="0" fontId="0" fillId="0" borderId="16" xfId="46" applyNumberFormat="1" applyBorder="1" applyAlignment="1">
      <alignment horizontal="center" vertical="center"/>
    </xf>
    <xf numFmtId="0" fontId="6" fillId="2" borderId="15" xfId="43" applyNumberFormat="1" applyFont="1" applyFill="1" applyBorder="1" applyAlignment="1">
      <alignment horizontal="center" vertical="center"/>
    </xf>
    <xf numFmtId="0" fontId="0" fillId="2" borderId="0" xfId="46" applyFill="1" applyAlignment="1">
      <alignment horizontal="center" vertical="center"/>
    </xf>
    <xf numFmtId="0" fontId="0" fillId="2" borderId="13" xfId="54" applyFill="1" applyBorder="1" applyAlignment="1"/>
    <xf numFmtId="0" fontId="0" fillId="2" borderId="1" xfId="54" applyFill="1" applyBorder="1" applyAlignment="1"/>
    <xf numFmtId="0" fontId="0" fillId="0" borderId="1" xfId="50" applyFont="1" applyBorder="1" applyAlignment="1"/>
    <xf numFmtId="0" fontId="0" fillId="0" borderId="1" xfId="54" applyBorder="1" applyAlignment="1"/>
    <xf numFmtId="0" fontId="0" fillId="0" borderId="2" xfId="54" applyBorder="1" applyAlignment="1"/>
    <xf numFmtId="0" fontId="6" fillId="0" borderId="0" xfId="43" applyFont="1" applyAlignment="1">
      <alignment horizontal="center" vertical="center"/>
    </xf>
    <xf numFmtId="0" fontId="8" fillId="0" borderId="14" xfId="43" applyFont="1" applyBorder="1"/>
    <xf numFmtId="0" fontId="8" fillId="2" borderId="0" xfId="43" applyFont="1" applyFill="1" applyAlignment="1">
      <alignment horizontal="center" vertical="center"/>
    </xf>
    <xf numFmtId="190" fontId="8" fillId="0" borderId="3" xfId="43" applyNumberFormat="1" applyFont="1" applyBorder="1"/>
    <xf numFmtId="0" fontId="0" fillId="0" borderId="3" xfId="54" applyBorder="1" applyAlignment="1"/>
    <xf numFmtId="0" fontId="8" fillId="0" borderId="3" xfId="43" applyFont="1" applyBorder="1"/>
    <xf numFmtId="0" fontId="0" fillId="0" borderId="0" xfId="46" applyNumberFormat="1" applyBorder="1" applyAlignment="1"/>
    <xf numFmtId="0" fontId="0" fillId="0" borderId="3" xfId="46" applyNumberFormat="1" applyBorder="1" applyAlignment="1"/>
    <xf numFmtId="0" fontId="6" fillId="0" borderId="0" xfId="43" applyNumberFormat="1" applyFont="1" applyBorder="1" applyAlignment="1">
      <alignment horizontal="center" vertical="center"/>
    </xf>
    <xf numFmtId="0" fontId="6" fillId="0" borderId="0" xfId="43" applyNumberFormat="1" applyFont="1"/>
    <xf numFmtId="0" fontId="6" fillId="0" borderId="3" xfId="43" applyNumberFormat="1" applyFont="1" applyBorder="1"/>
    <xf numFmtId="0" fontId="8" fillId="0" borderId="0" xfId="43" applyFont="1" applyAlignment="1">
      <alignment horizontal="center" vertical="center"/>
    </xf>
    <xf numFmtId="0" fontId="0" fillId="0" borderId="0" xfId="46" applyNumberFormat="1" applyBorder="1" applyAlignment="1">
      <alignment horizontal="center" vertical="center"/>
    </xf>
    <xf numFmtId="0" fontId="0" fillId="3" borderId="0" xfId="46" applyNumberFormat="1" applyFill="1" applyAlignment="1"/>
    <xf numFmtId="0" fontId="6" fillId="0" borderId="0" xfId="43" applyNumberFormat="1" applyFont="1" applyBorder="1"/>
    <xf numFmtId="0" fontId="8" fillId="3" borderId="0" xfId="43" applyNumberFormat="1" applyFont="1" applyFill="1"/>
    <xf numFmtId="0" fontId="8" fillId="0" borderId="3" xfId="43" applyNumberFormat="1" applyFont="1" applyBorder="1"/>
    <xf numFmtId="0" fontId="0" fillId="3" borderId="0" xfId="46" applyNumberFormat="1" applyFill="1" applyBorder="1" applyAlignment="1"/>
    <xf numFmtId="0" fontId="8" fillId="0" borderId="16" xfId="43" applyFont="1" applyBorder="1"/>
    <xf numFmtId="0" fontId="8" fillId="0" borderId="5" xfId="43" applyFont="1" applyBorder="1" applyAlignment="1">
      <alignment horizontal="center" vertical="center"/>
    </xf>
    <xf numFmtId="0" fontId="0" fillId="0" borderId="5" xfId="54" applyBorder="1" applyAlignment="1"/>
    <xf numFmtId="0" fontId="8" fillId="0" borderId="5" xfId="43" applyFont="1" applyBorder="1"/>
    <xf numFmtId="0" fontId="8" fillId="0" borderId="15" xfId="43" applyFont="1" applyBorder="1"/>
    <xf numFmtId="0" fontId="0" fillId="3" borderId="0" xfId="46" applyFill="1" applyAlignment="1">
      <alignment horizontal="center" vertical="center"/>
    </xf>
    <xf numFmtId="192" fontId="0" fillId="0" borderId="0" xfId="43" applyNumberFormat="1"/>
    <xf numFmtId="14" fontId="0" fillId="0" borderId="0" xfId="43" applyNumberFormat="1"/>
    <xf numFmtId="0" fontId="6" fillId="0" borderId="4" xfId="43" applyFont="1" applyBorder="1" applyAlignment="1">
      <alignment horizontal="center" vertical="center"/>
    </xf>
    <xf numFmtId="0" fontId="0" fillId="0" borderId="4" xfId="43" applyBorder="1"/>
    <xf numFmtId="0" fontId="8" fillId="0" borderId="4" xfId="43" applyFont="1" applyBorder="1"/>
    <xf numFmtId="178" fontId="8" fillId="0" borderId="10" xfId="43" applyNumberFormat="1" applyFont="1" applyBorder="1" applyAlignment="1">
      <alignment horizontal="center" vertical="center"/>
    </xf>
    <xf numFmtId="0" fontId="8" fillId="0" borderId="10" xfId="43" applyFont="1" applyBorder="1"/>
    <xf numFmtId="190" fontId="0" fillId="0" borderId="0" xfId="43" applyNumberFormat="1"/>
    <xf numFmtId="0" fontId="2" fillId="0" borderId="5" xfId="43" applyFont="1" applyBorder="1" applyAlignment="1">
      <alignment horizontal="center"/>
    </xf>
    <xf numFmtId="0" fontId="2" fillId="0" borderId="1" xfId="43" applyFont="1" applyBorder="1" applyAlignment="1">
      <alignment horizontal="center"/>
    </xf>
    <xf numFmtId="0" fontId="2" fillId="0" borderId="7" xfId="43" applyFont="1" applyBorder="1" applyAlignment="1">
      <alignment horizontal="center"/>
    </xf>
    <xf numFmtId="0" fontId="2" fillId="0" borderId="7" xfId="43" applyFont="1" applyBorder="1"/>
    <xf numFmtId="0" fontId="2" fillId="0" borderId="18" xfId="43" applyFont="1" applyBorder="1" applyAlignment="1">
      <alignment horizontal="center"/>
    </xf>
    <xf numFmtId="0" fontId="2" fillId="0" borderId="18" xfId="43" applyFont="1" applyBorder="1"/>
    <xf numFmtId="0" fontId="0" fillId="0" borderId="4" xfId="43" applyBorder="1" applyAlignment="1">
      <alignment horizontal="center"/>
    </xf>
    <xf numFmtId="0" fontId="8" fillId="0" borderId="4" xfId="43" applyFont="1" applyBorder="1" applyAlignment="1">
      <alignment horizontal="center"/>
    </xf>
    <xf numFmtId="0" fontId="0" fillId="0" borderId="0" xfId="43" applyAlignment="1">
      <alignment horizontal="center"/>
    </xf>
    <xf numFmtId="0" fontId="10" fillId="0" borderId="0" xfId="43" applyFont="1"/>
    <xf numFmtId="0" fontId="2" fillId="0" borderId="0" xfId="43" applyFont="1"/>
    <xf numFmtId="182" fontId="2" fillId="0" borderId="0" xfId="43" applyNumberFormat="1" applyFont="1" applyAlignment="1">
      <alignment horizontal="center"/>
    </xf>
    <xf numFmtId="0" fontId="3" fillId="0" borderId="22" xfId="43" applyFont="1" applyBorder="1" applyAlignment="1">
      <alignment horizontal="center"/>
    </xf>
    <xf numFmtId="0" fontId="5" fillId="0" borderId="23" xfId="43" applyFont="1" applyBorder="1" applyAlignment="1">
      <alignment horizontal="center" vertical="center" wrapText="1"/>
    </xf>
    <xf numFmtId="0" fontId="0" fillId="0" borderId="0" xfId="43" applyAlignment="1">
      <alignment horizontal="center" vertical="center"/>
    </xf>
    <xf numFmtId="0" fontId="5" fillId="0" borderId="23" xfId="43" applyFont="1" applyBorder="1" applyAlignment="1">
      <alignment horizontal="center" vertical="center"/>
    </xf>
    <xf numFmtId="181" fontId="5" fillId="0" borderId="23" xfId="43" applyNumberFormat="1" applyFont="1" applyBorder="1" applyAlignment="1">
      <alignment horizontal="center" vertical="center" wrapText="1"/>
    </xf>
    <xf numFmtId="180" fontId="5" fillId="0" borderId="23" xfId="43" applyNumberFormat="1" applyFont="1" applyBorder="1" applyAlignment="1">
      <alignment horizontal="center" vertical="center" wrapText="1"/>
    </xf>
    <xf numFmtId="188" fontId="5" fillId="0" borderId="23" xfId="43" applyNumberFormat="1" applyFont="1" applyBorder="1" applyAlignment="1">
      <alignment horizontal="center" vertical="center" wrapText="1"/>
    </xf>
    <xf numFmtId="0" fontId="7" fillId="0" borderId="23" xfId="46" applyNumberFormat="1" applyFont="1" applyBorder="1" applyAlignment="1">
      <alignment horizontal="center" vertical="center"/>
    </xf>
    <xf numFmtId="0" fontId="3" fillId="0" borderId="0" xfId="43" applyFont="1" applyAlignment="1">
      <alignment horizontal="center"/>
    </xf>
    <xf numFmtId="0" fontId="12" fillId="0" borderId="24" xfId="43" applyFont="1" applyFill="1" applyBorder="1" applyAlignment="1">
      <alignment horizontal="center" wrapText="1"/>
    </xf>
    <xf numFmtId="0" fontId="2" fillId="0" borderId="24" xfId="43" applyFont="1" applyBorder="1" applyAlignment="1">
      <alignment horizontal="center"/>
    </xf>
    <xf numFmtId="14" fontId="0" fillId="0" borderId="24" xfId="43" applyNumberFormat="1" applyBorder="1" applyAlignment="1">
      <alignment horizontal="center" vertical="center"/>
    </xf>
    <xf numFmtId="14" fontId="5" fillId="0" borderId="24" xfId="43" applyNumberFormat="1" applyFont="1" applyBorder="1" applyAlignment="1">
      <alignment horizontal="center" vertical="center" wrapText="1"/>
    </xf>
    <xf numFmtId="180" fontId="5" fillId="0" borderId="24" xfId="43" applyNumberFormat="1" applyFont="1" applyBorder="1" applyAlignment="1">
      <alignment horizontal="center" vertical="center" wrapText="1"/>
    </xf>
    <xf numFmtId="0" fontId="2" fillId="0" borderId="24" xfId="43" applyFont="1" applyBorder="1" applyAlignment="1">
      <alignment horizontal="center" vertical="center"/>
    </xf>
    <xf numFmtId="178" fontId="13" fillId="0" borderId="24" xfId="43" applyNumberFormat="1" applyFont="1" applyBorder="1" applyAlignment="1">
      <alignment horizontal="center" vertical="center"/>
    </xf>
    <xf numFmtId="188" fontId="14" fillId="0" borderId="24" xfId="43" applyNumberFormat="1" applyFont="1" applyBorder="1" applyAlignment="1">
      <alignment horizontal="center" vertical="center"/>
    </xf>
    <xf numFmtId="0" fontId="0" fillId="0" borderId="24" xfId="43" applyBorder="1" applyAlignment="1">
      <alignment horizontal="center" vertical="center"/>
    </xf>
    <xf numFmtId="14" fontId="0" fillId="0" borderId="0" xfId="43" applyNumberFormat="1" applyAlignment="1">
      <alignment horizontal="center" vertical="center"/>
    </xf>
    <xf numFmtId="186" fontId="0" fillId="0" borderId="0" xfId="11" applyNumberFormat="1" applyFont="1" applyAlignment="1">
      <alignment horizontal="center" vertical="center"/>
    </xf>
    <xf numFmtId="185" fontId="14" fillId="3" borderId="0" xfId="4" applyNumberFormat="1" applyFont="1" applyFill="1" applyAlignment="1">
      <alignment horizontal="center" vertical="center"/>
    </xf>
    <xf numFmtId="0" fontId="3" fillId="0" borderId="5" xfId="43" applyFont="1" applyBorder="1" applyAlignment="1">
      <alignment horizontal="center" vertical="center"/>
    </xf>
    <xf numFmtId="0" fontId="12" fillId="0" borderId="6" xfId="43" applyFont="1" applyFill="1" applyBorder="1" applyAlignment="1">
      <alignment horizontal="center" vertical="center" wrapText="1"/>
    </xf>
    <xf numFmtId="0" fontId="2" fillId="0" borderId="7" xfId="43" applyFont="1" applyBorder="1" applyAlignment="1">
      <alignment horizontal="center" vertical="center" wrapText="1"/>
    </xf>
    <xf numFmtId="14" fontId="0" fillId="0" borderId="8" xfId="43" applyNumberFormat="1" applyBorder="1" applyAlignment="1">
      <alignment horizontal="center" vertical="center"/>
    </xf>
    <xf numFmtId="14" fontId="5" fillId="0" borderId="4" xfId="43" applyNumberFormat="1" applyFont="1" applyBorder="1" applyAlignment="1">
      <alignment horizontal="center" vertical="center" wrapText="1"/>
    </xf>
    <xf numFmtId="1" fontId="0" fillId="0" borderId="4" xfId="43" applyNumberFormat="1" applyBorder="1" applyAlignment="1">
      <alignment horizontal="center" vertical="center"/>
    </xf>
    <xf numFmtId="180" fontId="5" fillId="0" borderId="4" xfId="43" applyNumberFormat="1" applyFont="1" applyBorder="1" applyAlignment="1">
      <alignment horizontal="center" vertical="center" wrapText="1"/>
    </xf>
    <xf numFmtId="14" fontId="0" fillId="0" borderId="9" xfId="43" applyNumberFormat="1" applyBorder="1" applyAlignment="1">
      <alignment horizontal="center" vertical="center"/>
    </xf>
    <xf numFmtId="14" fontId="5" fillId="0" borderId="10" xfId="43" applyNumberFormat="1" applyFont="1" applyBorder="1" applyAlignment="1">
      <alignment horizontal="center" vertical="center" wrapText="1"/>
    </xf>
    <xf numFmtId="180" fontId="5" fillId="0" borderId="10" xfId="43" applyNumberFormat="1" applyFont="1" applyBorder="1" applyAlignment="1">
      <alignment horizontal="center" vertical="center" wrapText="1"/>
    </xf>
    <xf numFmtId="180" fontId="0" fillId="0" borderId="0" xfId="43" applyNumberFormat="1" applyAlignment="1">
      <alignment horizontal="center" vertical="center"/>
    </xf>
    <xf numFmtId="0" fontId="2" fillId="0" borderId="11" xfId="43" applyFont="1" applyBorder="1" applyAlignment="1">
      <alignment horizontal="center" vertical="center" wrapText="1"/>
    </xf>
    <xf numFmtId="191" fontId="0" fillId="0" borderId="4" xfId="4" applyNumberFormat="1" applyFont="1" applyBorder="1" applyAlignment="1">
      <alignment horizontal="center" vertical="center"/>
    </xf>
    <xf numFmtId="188" fontId="5" fillId="0" borderId="4" xfId="43" applyNumberFormat="1" applyFont="1" applyBorder="1" applyAlignment="1">
      <alignment horizontal="center" vertical="center" wrapText="1"/>
    </xf>
    <xf numFmtId="191" fontId="14" fillId="3" borderId="12" xfId="4" applyNumberFormat="1" applyFont="1" applyFill="1" applyBorder="1" applyAlignment="1">
      <alignment horizontal="center" vertical="center"/>
    </xf>
    <xf numFmtId="188" fontId="5" fillId="0" borderId="10" xfId="43" applyNumberFormat="1" applyFont="1" applyBorder="1" applyAlignment="1">
      <alignment horizontal="center" vertical="center" wrapText="1"/>
    </xf>
    <xf numFmtId="191" fontId="14" fillId="3" borderId="25" xfId="4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Normal 6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Normal 4" xfId="50"/>
    <cellStyle name="40% - 强调文字颜色 6" xfId="51" builtinId="51"/>
    <cellStyle name="60% - 强调文字颜色 6" xfId="52" builtinId="52"/>
    <cellStyle name="Normal" xfId="53"/>
    <cellStyle name="Normal 5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'problem 2'!$D$4:$D$28</c:f>
              <c:numCache>
                <c:formatCode>0.00000000_ </c:formatCode>
                <c:ptCount val="25"/>
                <c:pt idx="0">
                  <c:v>0</c:v>
                </c:pt>
                <c:pt idx="1">
                  <c:v>9.11839235720312e-5</c:v>
                </c:pt>
                <c:pt idx="2">
                  <c:v>0.000116006728524154</c:v>
                </c:pt>
                <c:pt idx="3">
                  <c:v>0.00229863987949642</c:v>
                </c:pt>
                <c:pt idx="4">
                  <c:v>0.00274052024000518</c:v>
                </c:pt>
                <c:pt idx="5">
                  <c:v>0.0060029822741324</c:v>
                </c:pt>
                <c:pt idx="6">
                  <c:v>0.0072603027432704</c:v>
                </c:pt>
                <c:pt idx="7">
                  <c:v>0.0138765517991961</c:v>
                </c:pt>
                <c:pt idx="8">
                  <c:v>0.0220602409956281</c:v>
                </c:pt>
                <c:pt idx="9">
                  <c:v>0.0319946651999477</c:v>
                </c:pt>
                <c:pt idx="10">
                  <c:v>0.0435868502378611</c:v>
                </c:pt>
                <c:pt idx="11">
                  <c:v>0.0547180271576068</c:v>
                </c:pt>
                <c:pt idx="12">
                  <c:v>0.0639778467461532</c:v>
                </c:pt>
                <c:pt idx="13">
                  <c:v>0.0702341582028837</c:v>
                </c:pt>
                <c:pt idx="14">
                  <c:v>0.0753673371920256</c:v>
                </c:pt>
                <c:pt idx="15">
                  <c:v>0.0813390154478229</c:v>
                </c:pt>
                <c:pt idx="16">
                  <c:v>0.0893650467062997</c:v>
                </c:pt>
                <c:pt idx="17">
                  <c:v>0.0987494217372931</c:v>
                </c:pt>
                <c:pt idx="18">
                  <c:v>0.10973219610906</c:v>
                </c:pt>
                <c:pt idx="19">
                  <c:v>0.122359806023103</c:v>
                </c:pt>
                <c:pt idx="20">
                  <c:v>0.13693807626726</c:v>
                </c:pt>
                <c:pt idx="21">
                  <c:v>0.152224610257522</c:v>
                </c:pt>
                <c:pt idx="22">
                  <c:v>0.167680718768052</c:v>
                </c:pt>
                <c:pt idx="23">
                  <c:v>0.182033020694184</c:v>
                </c:pt>
                <c:pt idx="24">
                  <c:v>0.194886601658413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4961712"/>
        <c:axId val="44960624"/>
      </c:scatterChart>
      <c:valAx>
        <c:axId val="4496171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0624"/>
        <c:crosses val="autoZero"/>
        <c:crossBetween val="midCat"/>
      </c:valAx>
      <c:valAx>
        <c:axId val="449606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capit factor</a:t>
            </a:r>
            <a:endParaRPr lang="en-US" alt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noFill/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'Problem 4'!$N$7:$N$29</c:f>
              <c:numCache>
                <c:formatCode>0.00000000_ </c:formatCode>
                <c:ptCount val="23"/>
                <c:pt idx="0">
                  <c:v>3.49251785065562e-5</c:v>
                </c:pt>
                <c:pt idx="1">
                  <c:v>0.000377228004809112</c:v>
                </c:pt>
                <c:pt idx="2">
                  <c:v>0.00131280132959346</c:v>
                </c:pt>
                <c:pt idx="3">
                  <c:v>0.002848022272252</c:v>
                </c:pt>
                <c:pt idx="4">
                  <c:v>0.00626865411841703</c:v>
                </c:pt>
                <c:pt idx="5">
                  <c:v>0.0111001542272029</c:v>
                </c:pt>
                <c:pt idx="6">
                  <c:v>0.0168409771579129</c:v>
                </c:pt>
                <c:pt idx="7">
                  <c:v>0.0228099917450823</c:v>
                </c:pt>
                <c:pt idx="8">
                  <c:v>0.0300669796574063</c:v>
                </c:pt>
                <c:pt idx="9">
                  <c:v>0.0390316873629014</c:v>
                </c:pt>
                <c:pt idx="10">
                  <c:v>0.0493655306703254</c:v>
                </c:pt>
                <c:pt idx="11">
                  <c:v>0.0602021288076358</c:v>
                </c:pt>
                <c:pt idx="12">
                  <c:v>0.0711742918891409</c:v>
                </c:pt>
                <c:pt idx="13">
                  <c:v>0.0818714256618382</c:v>
                </c:pt>
                <c:pt idx="14">
                  <c:v>0.0929127005609587</c:v>
                </c:pt>
                <c:pt idx="15">
                  <c:v>0.103897213292861</c:v>
                </c:pt>
                <c:pt idx="16">
                  <c:v>0.115147324128293</c:v>
                </c:pt>
                <c:pt idx="17">
                  <c:v>0.126255319906125</c:v>
                </c:pt>
                <c:pt idx="18">
                  <c:v>0.137547654257745</c:v>
                </c:pt>
                <c:pt idx="19">
                  <c:v>0.148676196627022</c:v>
                </c:pt>
                <c:pt idx="20">
                  <c:v>0.159843572421689</c:v>
                </c:pt>
                <c:pt idx="21">
                  <c:v>0.170706061671415</c:v>
                </c:pt>
                <c:pt idx="22">
                  <c:v>0.181581979669638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4966608"/>
        <c:axId val="44972592"/>
      </c:scatterChart>
      <c:valAx>
        <c:axId val="4496660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72592"/>
        <c:crosses val="autoZero"/>
        <c:crossBetween val="midCat"/>
      </c:valAx>
      <c:valAx>
        <c:axId val="4497259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688975</xdr:colOff>
      <xdr:row>34</xdr:row>
      <xdr:rowOff>73025</xdr:rowOff>
    </xdr:from>
    <xdr:to>
      <xdr:col>17</xdr:col>
      <xdr:colOff>494030</xdr:colOff>
      <xdr:row>51</xdr:row>
      <xdr:rowOff>63500</xdr:rowOff>
    </xdr:to>
    <xdr:graphicFrame>
      <xdr:nvGraphicFramePr>
        <xdr:cNvPr id="6" name="图表 5"/>
        <xdr:cNvGraphicFramePr/>
      </xdr:nvGraphicFramePr>
      <xdr:xfrm>
        <a:off x="9262745" y="6074410"/>
        <a:ext cx="4988560" cy="2646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273050</xdr:colOff>
      <xdr:row>29</xdr:row>
      <xdr:rowOff>133350</xdr:rowOff>
    </xdr:from>
    <xdr:to>
      <xdr:col>11</xdr:col>
      <xdr:colOff>339725</xdr:colOff>
      <xdr:row>46</xdr:row>
      <xdr:rowOff>123825</xdr:rowOff>
    </xdr:to>
    <xdr:graphicFrame>
      <xdr:nvGraphicFramePr>
        <xdr:cNvPr id="3" name="图表 2"/>
        <xdr:cNvGraphicFramePr/>
      </xdr:nvGraphicFramePr>
      <xdr:xfrm>
        <a:off x="4084320" y="7626350"/>
        <a:ext cx="4680585" cy="2646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1"/>
  <sheetViews>
    <sheetView topLeftCell="A15" workbookViewId="0">
      <selection activeCell="I24" sqref="I24"/>
    </sheetView>
  </sheetViews>
  <sheetFormatPr defaultColWidth="9" defaultRowHeight="12.3"/>
  <cols>
    <col min="1" max="1" width="5.57407407407407" customWidth="1"/>
    <col min="2" max="2" width="15.1388888888889" customWidth="1"/>
    <col min="3" max="3" width="13.8611111111111" customWidth="1"/>
    <col min="4" max="4" width="14.712962962963" customWidth="1"/>
    <col min="5" max="5" width="17" customWidth="1"/>
    <col min="6" max="6" width="18.712962962963" customWidth="1"/>
    <col min="7" max="7" width="15.1388888888889" customWidth="1"/>
    <col min="8" max="8" width="15" customWidth="1"/>
    <col min="9" max="9" width="13.1388888888889" customWidth="1"/>
    <col min="10" max="10" width="12.1388888888889" customWidth="1"/>
    <col min="11" max="11" width="13.5740740740741" customWidth="1"/>
  </cols>
  <sheetData>
    <row r="1" ht="12.75" customHeight="1" spans="1:1">
      <c r="A1" s="216"/>
    </row>
    <row r="2" spans="2:3">
      <c r="B2" s="217" t="s">
        <v>0</v>
      </c>
      <c r="C2" s="218">
        <v>42398</v>
      </c>
    </row>
    <row r="3" ht="18" customHeight="1" spans="2:8">
      <c r="B3" s="219" t="s">
        <v>1</v>
      </c>
      <c r="C3" s="219"/>
      <c r="D3" s="219"/>
      <c r="E3" s="219"/>
      <c r="F3" s="219"/>
      <c r="G3" s="219"/>
      <c r="H3" s="219"/>
    </row>
    <row r="4" ht="16.05" spans="2:8">
      <c r="B4" s="220" t="s">
        <v>2</v>
      </c>
      <c r="C4" s="220" t="s">
        <v>3</v>
      </c>
      <c r="D4" s="220" t="s">
        <v>4</v>
      </c>
      <c r="E4" s="220" t="s">
        <v>5</v>
      </c>
      <c r="F4" s="220" t="s">
        <v>6</v>
      </c>
      <c r="G4" s="220" t="s">
        <v>7</v>
      </c>
      <c r="H4" s="220"/>
    </row>
    <row r="5" ht="16.05" spans="2:8">
      <c r="B5" s="220"/>
      <c r="C5" s="220"/>
      <c r="D5" s="220"/>
      <c r="E5" s="220"/>
      <c r="F5" s="220"/>
      <c r="G5" s="220" t="s">
        <v>8</v>
      </c>
      <c r="H5" s="220" t="s">
        <v>9</v>
      </c>
    </row>
    <row r="6" ht="24" customHeight="1" spans="1:8">
      <c r="A6" s="221">
        <v>1</v>
      </c>
      <c r="B6" s="222" t="s">
        <v>10</v>
      </c>
      <c r="C6" s="223">
        <v>42418</v>
      </c>
      <c r="D6" s="220">
        <v>0</v>
      </c>
      <c r="E6" s="220" t="s">
        <v>11</v>
      </c>
      <c r="F6" s="220" t="s">
        <v>12</v>
      </c>
      <c r="G6" s="224">
        <v>0.00208</v>
      </c>
      <c r="H6" s="220" t="s">
        <v>13</v>
      </c>
    </row>
    <row r="7" ht="21" customHeight="1" spans="1:8">
      <c r="A7" s="221">
        <v>2</v>
      </c>
      <c r="B7" s="220" t="s">
        <v>14</v>
      </c>
      <c r="C7" s="223">
        <v>42572</v>
      </c>
      <c r="D7" s="220">
        <v>0</v>
      </c>
      <c r="E7" s="220" t="s">
        <v>11</v>
      </c>
      <c r="F7" s="220" t="s">
        <v>12</v>
      </c>
      <c r="G7" s="224">
        <v>0.00475</v>
      </c>
      <c r="H7" s="220" t="s">
        <v>13</v>
      </c>
    </row>
    <row r="8" ht="23.1" customHeight="1" spans="1:8">
      <c r="A8" s="221">
        <v>3</v>
      </c>
      <c r="B8" s="220" t="s">
        <v>14</v>
      </c>
      <c r="C8" s="223">
        <v>42740</v>
      </c>
      <c r="D8" s="220">
        <v>0</v>
      </c>
      <c r="E8" s="220" t="s">
        <v>11</v>
      </c>
      <c r="F8" s="220" t="s">
        <v>12</v>
      </c>
      <c r="G8" s="224">
        <v>0.0063</v>
      </c>
      <c r="H8" s="220" t="s">
        <v>13</v>
      </c>
    </row>
    <row r="9" ht="24" customHeight="1" spans="1:8">
      <c r="A9" s="221">
        <v>4</v>
      </c>
      <c r="B9" s="220" t="s">
        <v>15</v>
      </c>
      <c r="C9" s="223">
        <v>43146</v>
      </c>
      <c r="D9" s="224">
        <v>0.01</v>
      </c>
      <c r="E9" s="220" t="s">
        <v>16</v>
      </c>
      <c r="F9" s="220" t="s">
        <v>17</v>
      </c>
      <c r="G9" s="225">
        <v>99.8415</v>
      </c>
      <c r="H9" s="226" t="s">
        <v>18</v>
      </c>
    </row>
    <row r="10" ht="24" customHeight="1" spans="1:8">
      <c r="A10" s="221">
        <v>5</v>
      </c>
      <c r="B10" s="220" t="s">
        <v>15</v>
      </c>
      <c r="C10" s="223">
        <v>43876</v>
      </c>
      <c r="D10" s="224">
        <v>0.03625</v>
      </c>
      <c r="E10" s="220" t="s">
        <v>16</v>
      </c>
      <c r="F10" s="220" t="s">
        <v>17</v>
      </c>
      <c r="G10" s="225">
        <v>108.0441</v>
      </c>
      <c r="H10" s="226" t="s">
        <v>18</v>
      </c>
    </row>
    <row r="11" ht="24" customHeight="1" spans="1:8">
      <c r="A11" s="221">
        <v>6</v>
      </c>
      <c r="B11" s="220" t="s">
        <v>15</v>
      </c>
      <c r="C11" s="223">
        <v>44423</v>
      </c>
      <c r="D11" s="224">
        <v>0.02125</v>
      </c>
      <c r="E11" s="220" t="s">
        <v>16</v>
      </c>
      <c r="F11" s="220" t="s">
        <v>17</v>
      </c>
      <c r="G11" s="225">
        <v>103.4919</v>
      </c>
      <c r="H11" s="226" t="s">
        <v>18</v>
      </c>
    </row>
    <row r="12" ht="24" customHeight="1" spans="1:8">
      <c r="A12" s="221">
        <v>7</v>
      </c>
      <c r="B12" s="220" t="s">
        <v>15</v>
      </c>
      <c r="C12" s="223">
        <v>44972</v>
      </c>
      <c r="D12" s="224">
        <v>0.02</v>
      </c>
      <c r="E12" s="220" t="s">
        <v>16</v>
      </c>
      <c r="F12" s="220" t="s">
        <v>17</v>
      </c>
      <c r="G12" s="225">
        <v>102.9628</v>
      </c>
      <c r="H12" s="226" t="s">
        <v>18</v>
      </c>
    </row>
    <row r="13" ht="24.95" customHeight="1" spans="1:8">
      <c r="A13" s="221">
        <v>8</v>
      </c>
      <c r="B13" s="222" t="s">
        <v>15</v>
      </c>
      <c r="C13" s="223">
        <v>46068</v>
      </c>
      <c r="D13" s="224">
        <v>0.06</v>
      </c>
      <c r="E13" s="220" t="s">
        <v>16</v>
      </c>
      <c r="F13" s="220" t="s">
        <v>17</v>
      </c>
      <c r="G13" s="225">
        <v>137.7123</v>
      </c>
      <c r="H13" s="226" t="s">
        <v>18</v>
      </c>
    </row>
    <row r="15" ht="15.75" customHeight="1" spans="2:8">
      <c r="B15" s="227" t="s">
        <v>14</v>
      </c>
      <c r="C15" s="227"/>
      <c r="D15" s="227"/>
      <c r="E15" s="227"/>
      <c r="F15" s="227"/>
      <c r="G15" s="227"/>
      <c r="H15" s="227"/>
    </row>
    <row r="16" s="215" customFormat="1" ht="21.95" customHeight="1" spans="2:10">
      <c r="B16" s="228" t="s">
        <v>0</v>
      </c>
      <c r="C16" s="229" t="s">
        <v>3</v>
      </c>
      <c r="D16" s="229" t="s">
        <v>19</v>
      </c>
      <c r="E16" s="229" t="s">
        <v>20</v>
      </c>
      <c r="F16" s="229" t="s">
        <v>21</v>
      </c>
      <c r="G16" s="229" t="s">
        <v>22</v>
      </c>
      <c r="J16" s="215" t="s">
        <v>23</v>
      </c>
    </row>
    <row r="17" s="215" customFormat="1" ht="30" customHeight="1" spans="1:11">
      <c r="A17" s="215">
        <v>1</v>
      </c>
      <c r="B17" s="230">
        <f>AsOfDate</f>
        <v>42398</v>
      </c>
      <c r="C17" s="231">
        <v>42418</v>
      </c>
      <c r="D17" s="232">
        <v>0.00208</v>
      </c>
      <c r="E17" s="233">
        <v>20</v>
      </c>
      <c r="F17" s="234">
        <f t="shared" ref="F17:F19" si="0">E17/360</f>
        <v>0.0555555555555556</v>
      </c>
      <c r="G17" s="235">
        <f t="shared" ref="G17:G19" si="1">100*(1-D17*E17/360)</f>
        <v>99.9884444444444</v>
      </c>
      <c r="H17" s="221" t="s">
        <v>24</v>
      </c>
      <c r="I17" s="221"/>
      <c r="J17" s="250">
        <f>(100/G17-1)*365/20</f>
        <v>0.00210913261088119</v>
      </c>
      <c r="K17" s="221"/>
    </row>
    <row r="18" s="215" customFormat="1" ht="27" customHeight="1" spans="1:11">
      <c r="A18" s="215">
        <v>2</v>
      </c>
      <c r="B18" s="230">
        <f>AsOfDate</f>
        <v>42398</v>
      </c>
      <c r="C18" s="231">
        <v>42572</v>
      </c>
      <c r="D18" s="232">
        <v>0.00475</v>
      </c>
      <c r="E18" s="233">
        <v>174</v>
      </c>
      <c r="F18" s="234">
        <f t="shared" si="0"/>
        <v>0.483333333333333</v>
      </c>
      <c r="G18" s="235">
        <f t="shared" si="1"/>
        <v>99.7704166666667</v>
      </c>
      <c r="H18" s="221">
        <f t="shared" ref="H18:H19" si="2">EXP(-D18*E18/360)</f>
        <v>0.997706800076338</v>
      </c>
      <c r="I18" s="221"/>
      <c r="J18" s="250">
        <f>(100/G18-1)*365/174</f>
        <v>0.00482705433446518</v>
      </c>
      <c r="K18" s="221"/>
    </row>
    <row r="19" ht="27.95" customHeight="1" spans="1:13">
      <c r="A19" s="215">
        <v>3</v>
      </c>
      <c r="B19" s="230">
        <f>AsOfDate</f>
        <v>42398</v>
      </c>
      <c r="C19" s="231">
        <v>42740</v>
      </c>
      <c r="D19" s="232">
        <v>0.0063</v>
      </c>
      <c r="E19" s="236">
        <f>C19-AsOfDate</f>
        <v>342</v>
      </c>
      <c r="F19" s="234">
        <f t="shared" si="0"/>
        <v>0.95</v>
      </c>
      <c r="G19" s="235">
        <f t="shared" si="1"/>
        <v>99.4015</v>
      </c>
      <c r="H19" s="221">
        <f t="shared" si="2"/>
        <v>0.994032874435224</v>
      </c>
      <c r="I19" s="221"/>
      <c r="J19" s="250">
        <f>(-K20+M19)/K19</f>
        <v>0.00641635913071859</v>
      </c>
      <c r="K19" s="221">
        <f>342*2/365-1</f>
        <v>0.873972602739726</v>
      </c>
      <c r="L19" s="221">
        <f>1-(100/G19)</f>
        <v>-0.00602103589986069</v>
      </c>
      <c r="M19" s="221">
        <f>SQRT(K20^2-4*K19*L19)</f>
        <v>1.87958032482931</v>
      </c>
    </row>
    <row r="20" ht="24.95" customHeight="1" spans="1:11">
      <c r="A20" s="215"/>
      <c r="B20" s="237"/>
      <c r="C20" s="237"/>
      <c r="D20" s="238"/>
      <c r="E20" s="221"/>
      <c r="F20" s="221"/>
      <c r="G20" s="239"/>
      <c r="H20" s="221"/>
      <c r="I20" s="221"/>
      <c r="J20" s="221"/>
      <c r="K20" s="221">
        <f>K19+1</f>
        <v>1.87397260273973</v>
      </c>
    </row>
    <row r="21" spans="1:11">
      <c r="A21" s="215"/>
      <c r="B21" s="221"/>
      <c r="C21" s="221"/>
      <c r="D21" s="221"/>
      <c r="E21" s="221"/>
      <c r="F21" s="221"/>
      <c r="G21" s="221"/>
      <c r="H21" s="221"/>
      <c r="I21" s="221"/>
      <c r="J21" s="221"/>
      <c r="K21" s="221"/>
    </row>
    <row r="22" ht="17.25" customHeight="1" spans="1:11">
      <c r="A22" s="215"/>
      <c r="B22" s="240" t="s">
        <v>25</v>
      </c>
      <c r="C22" s="240"/>
      <c r="D22" s="240"/>
      <c r="E22" s="240"/>
      <c r="F22" s="240"/>
      <c r="G22" s="240"/>
      <c r="H22" s="240"/>
      <c r="I22" s="240"/>
      <c r="J22" s="240"/>
      <c r="K22" s="240"/>
    </row>
    <row r="23" s="215" customFormat="1" ht="29.1" customHeight="1" spans="2:11">
      <c r="B23" s="241" t="s">
        <v>0</v>
      </c>
      <c r="C23" s="242" t="s">
        <v>3</v>
      </c>
      <c r="D23" s="242" t="s">
        <v>26</v>
      </c>
      <c r="E23" s="242" t="s">
        <v>27</v>
      </c>
      <c r="F23" s="242" t="s">
        <v>28</v>
      </c>
      <c r="G23" s="242" t="s">
        <v>29</v>
      </c>
      <c r="H23" s="242" t="s">
        <v>4</v>
      </c>
      <c r="I23" s="242" t="s">
        <v>30</v>
      </c>
      <c r="J23" s="242" t="s">
        <v>31</v>
      </c>
      <c r="K23" s="251" t="s">
        <v>32</v>
      </c>
    </row>
    <row r="24" ht="30.95" customHeight="1" spans="1:11">
      <c r="A24" s="215">
        <v>4</v>
      </c>
      <c r="B24" s="243">
        <f>AsOfDate</f>
        <v>42398</v>
      </c>
      <c r="C24" s="244">
        <v>43146</v>
      </c>
      <c r="D24" s="244">
        <v>42231</v>
      </c>
      <c r="E24" s="244">
        <v>42415</v>
      </c>
      <c r="F24" s="245">
        <v>184</v>
      </c>
      <c r="G24" s="245">
        <f t="shared" ref="G24:G28" si="3">184-17</f>
        <v>167</v>
      </c>
      <c r="H24" s="246">
        <v>0.01</v>
      </c>
      <c r="I24" s="252">
        <f t="shared" ref="I24:I28" si="4">(H24/2)*(167/184)*100</f>
        <v>0.453804347826087</v>
      </c>
      <c r="J24" s="253">
        <v>99.8415</v>
      </c>
      <c r="K24" s="254">
        <f t="shared" ref="K24:K28" si="5">J24+I24</f>
        <v>100.295304347826</v>
      </c>
    </row>
    <row r="25" ht="27" customHeight="1" spans="1:11">
      <c r="A25" s="215">
        <v>5</v>
      </c>
      <c r="B25" s="243">
        <f>AsOfDate</f>
        <v>42398</v>
      </c>
      <c r="C25" s="244">
        <v>43876</v>
      </c>
      <c r="D25" s="244">
        <v>42231</v>
      </c>
      <c r="E25" s="244">
        <v>42415</v>
      </c>
      <c r="F25" s="245">
        <v>184</v>
      </c>
      <c r="G25" s="245">
        <f t="shared" si="3"/>
        <v>167</v>
      </c>
      <c r="H25" s="246">
        <v>0.03625</v>
      </c>
      <c r="I25" s="252">
        <f t="shared" si="4"/>
        <v>1.64504076086957</v>
      </c>
      <c r="J25" s="253">
        <v>108.0441</v>
      </c>
      <c r="K25" s="254">
        <f t="shared" si="5"/>
        <v>109.68914076087</v>
      </c>
    </row>
    <row r="26" ht="26.1" customHeight="1" spans="1:11">
      <c r="A26" s="215">
        <v>6</v>
      </c>
      <c r="B26" s="243">
        <f>AsOfDate</f>
        <v>42398</v>
      </c>
      <c r="C26" s="244">
        <v>44423</v>
      </c>
      <c r="D26" s="244">
        <v>42231</v>
      </c>
      <c r="E26" s="244">
        <v>42415</v>
      </c>
      <c r="F26" s="245">
        <v>184</v>
      </c>
      <c r="G26" s="245">
        <f t="shared" si="3"/>
        <v>167</v>
      </c>
      <c r="H26" s="246">
        <v>0.02125</v>
      </c>
      <c r="I26" s="252">
        <f t="shared" si="4"/>
        <v>0.964334239130435</v>
      </c>
      <c r="J26" s="253">
        <v>103.4919</v>
      </c>
      <c r="K26" s="254">
        <f t="shared" si="5"/>
        <v>104.45623423913</v>
      </c>
    </row>
    <row r="27" ht="27" customHeight="1" spans="1:11">
      <c r="A27" s="215">
        <v>7</v>
      </c>
      <c r="B27" s="243">
        <f>AsOfDate</f>
        <v>42398</v>
      </c>
      <c r="C27" s="244">
        <v>44972</v>
      </c>
      <c r="D27" s="244">
        <v>42231</v>
      </c>
      <c r="E27" s="244">
        <v>42415</v>
      </c>
      <c r="F27" s="245">
        <v>184</v>
      </c>
      <c r="G27" s="245">
        <f t="shared" si="3"/>
        <v>167</v>
      </c>
      <c r="H27" s="246">
        <v>0.02</v>
      </c>
      <c r="I27" s="252">
        <f t="shared" si="4"/>
        <v>0.907608695652174</v>
      </c>
      <c r="J27" s="253">
        <v>102.9628</v>
      </c>
      <c r="K27" s="254">
        <f t="shared" si="5"/>
        <v>103.870408695652</v>
      </c>
    </row>
    <row r="28" ht="27" customHeight="1" spans="1:11">
      <c r="A28" s="215">
        <v>8</v>
      </c>
      <c r="B28" s="247">
        <f>AsOfDate</f>
        <v>42398</v>
      </c>
      <c r="C28" s="248">
        <v>46068</v>
      </c>
      <c r="D28" s="248">
        <v>42231</v>
      </c>
      <c r="E28" s="248">
        <v>42415</v>
      </c>
      <c r="F28" s="245">
        <v>184</v>
      </c>
      <c r="G28" s="245">
        <f t="shared" si="3"/>
        <v>167</v>
      </c>
      <c r="H28" s="249">
        <v>0.06</v>
      </c>
      <c r="I28" s="252">
        <f t="shared" si="4"/>
        <v>2.72282608695652</v>
      </c>
      <c r="J28" s="255">
        <v>137.7123</v>
      </c>
      <c r="K28" s="256">
        <f t="shared" si="5"/>
        <v>140.435126086957</v>
      </c>
    </row>
    <row r="29" spans="2:11">
      <c r="B29" s="221"/>
      <c r="C29" s="221"/>
      <c r="D29" s="221"/>
      <c r="E29" s="221"/>
      <c r="F29" s="221"/>
      <c r="G29" s="221"/>
      <c r="H29" s="221"/>
      <c r="I29" s="221"/>
      <c r="J29" s="221"/>
      <c r="K29" s="221"/>
    </row>
    <row r="30" spans="2:11">
      <c r="B30" s="221"/>
      <c r="C30" s="221"/>
      <c r="D30" s="221"/>
      <c r="E30" s="221"/>
      <c r="F30" s="221"/>
      <c r="G30" s="221"/>
      <c r="H30" s="221"/>
      <c r="I30" s="221"/>
      <c r="J30" s="221"/>
      <c r="K30" s="221"/>
    </row>
    <row r="31" spans="2:11">
      <c r="B31" s="221"/>
      <c r="C31" s="221"/>
      <c r="D31" s="221"/>
      <c r="E31" s="221"/>
      <c r="F31" s="221"/>
      <c r="G31" s="221"/>
      <c r="H31" s="221"/>
      <c r="I31" s="221"/>
      <c r="J31" s="221"/>
      <c r="K31" s="221"/>
    </row>
    <row r="32" spans="2:11">
      <c r="B32" s="221"/>
      <c r="C32" s="221"/>
      <c r="D32" s="221"/>
      <c r="E32" s="221"/>
      <c r="F32" s="221"/>
      <c r="G32" s="221"/>
      <c r="H32" s="221"/>
      <c r="I32" s="221"/>
      <c r="J32" s="221"/>
      <c r="K32" s="221"/>
    </row>
    <row r="33" spans="2:11">
      <c r="B33" s="221"/>
      <c r="C33" s="221"/>
      <c r="D33" s="221"/>
      <c r="E33" s="221"/>
      <c r="F33" s="221"/>
      <c r="G33" s="221"/>
      <c r="H33" s="221"/>
      <c r="I33" s="221"/>
      <c r="J33" s="221"/>
      <c r="K33" s="221"/>
    </row>
    <row r="34" spans="2:11">
      <c r="B34" s="221"/>
      <c r="C34" s="221"/>
      <c r="D34" s="221"/>
      <c r="E34" s="221"/>
      <c r="F34" s="221"/>
      <c r="G34" s="221"/>
      <c r="H34" s="221"/>
      <c r="I34" s="221"/>
      <c r="J34" s="221"/>
      <c r="K34" s="221"/>
    </row>
    <row r="35" spans="2:11">
      <c r="B35" s="221"/>
      <c r="C35" s="221"/>
      <c r="D35" s="221"/>
      <c r="E35" s="221"/>
      <c r="F35" s="221"/>
      <c r="G35" s="221"/>
      <c r="H35" s="221"/>
      <c r="I35" s="221"/>
      <c r="J35" s="221"/>
      <c r="K35" s="221"/>
    </row>
    <row r="36" spans="2:11">
      <c r="B36" s="221"/>
      <c r="C36" s="221"/>
      <c r="D36" s="221"/>
      <c r="E36" s="221"/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/>
      <c r="F37" s="221"/>
      <c r="G37" s="221"/>
      <c r="H37" s="221"/>
      <c r="I37" s="221"/>
      <c r="J37" s="221"/>
      <c r="K37" s="221"/>
    </row>
    <row r="38" spans="2:11">
      <c r="B38" s="221"/>
      <c r="C38" s="221"/>
      <c r="D38" s="221"/>
      <c r="E38" s="221"/>
      <c r="F38" s="221"/>
      <c r="G38" s="221"/>
      <c r="H38" s="221"/>
      <c r="I38" s="221"/>
      <c r="J38" s="221"/>
      <c r="K38" s="221"/>
    </row>
    <row r="39" spans="2:11">
      <c r="B39" s="221"/>
      <c r="C39" s="221"/>
      <c r="D39" s="221"/>
      <c r="E39" s="221"/>
      <c r="F39" s="221"/>
      <c r="G39" s="221"/>
      <c r="H39" s="221"/>
      <c r="I39" s="221"/>
      <c r="J39" s="221"/>
      <c r="K39" s="221"/>
    </row>
    <row r="40" spans="2:11">
      <c r="B40" s="221"/>
      <c r="C40" s="221"/>
      <c r="D40" s="221"/>
      <c r="E40" s="221"/>
      <c r="F40" s="221"/>
      <c r="G40" s="221"/>
      <c r="H40" s="221"/>
      <c r="I40" s="221"/>
      <c r="J40" s="221"/>
      <c r="K40" s="221"/>
    </row>
    <row r="41" spans="2:11">
      <c r="B41" s="221"/>
      <c r="C41" s="221"/>
      <c r="D41" s="221"/>
      <c r="E41" s="221"/>
      <c r="F41" s="221"/>
      <c r="G41" s="221"/>
      <c r="H41" s="221"/>
      <c r="I41" s="221"/>
      <c r="J41" s="221"/>
      <c r="K41" s="221"/>
    </row>
    <row r="42" spans="2:11">
      <c r="B42" s="221"/>
      <c r="C42" s="221"/>
      <c r="D42" s="221"/>
      <c r="E42" s="221"/>
      <c r="F42" s="221"/>
      <c r="G42" s="221"/>
      <c r="H42" s="221"/>
      <c r="I42" s="221"/>
      <c r="J42" s="221"/>
      <c r="K42" s="221"/>
    </row>
    <row r="43" spans="2:11">
      <c r="B43" s="221"/>
      <c r="C43" s="221"/>
      <c r="D43" s="221"/>
      <c r="E43" s="221"/>
      <c r="F43" s="221"/>
      <c r="G43" s="221"/>
      <c r="H43" s="221"/>
      <c r="I43" s="221"/>
      <c r="J43" s="221"/>
      <c r="K43" s="221"/>
    </row>
    <row r="44" spans="2:11">
      <c r="B44" s="221"/>
      <c r="C44" s="221"/>
      <c r="D44" s="221"/>
      <c r="E44" s="221"/>
      <c r="F44" s="221"/>
      <c r="G44" s="221"/>
      <c r="H44" s="221"/>
      <c r="I44" s="221"/>
      <c r="J44" s="221"/>
      <c r="K44" s="221"/>
    </row>
    <row r="45" spans="2:11">
      <c r="B45" s="221"/>
      <c r="C45" s="221"/>
      <c r="D45" s="221"/>
      <c r="E45" s="221"/>
      <c r="F45" s="221"/>
      <c r="G45" s="221"/>
      <c r="H45" s="221"/>
      <c r="I45" s="221"/>
      <c r="J45" s="221"/>
      <c r="K45" s="221"/>
    </row>
    <row r="46" spans="2:11">
      <c r="B46" s="221"/>
      <c r="C46" s="221"/>
      <c r="D46" s="221"/>
      <c r="E46" s="221"/>
      <c r="F46" s="221"/>
      <c r="G46" s="221"/>
      <c r="H46" s="221"/>
      <c r="I46" s="221"/>
      <c r="J46" s="221"/>
      <c r="K46" s="221"/>
    </row>
    <row r="47" spans="2:11">
      <c r="B47" s="221"/>
      <c r="C47" s="221"/>
      <c r="D47" s="221"/>
      <c r="E47" s="221"/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/>
      <c r="F48" s="221"/>
      <c r="G48" s="221"/>
      <c r="H48" s="221"/>
      <c r="I48" s="221"/>
      <c r="J48" s="221"/>
      <c r="K48" s="221"/>
    </row>
    <row r="49" spans="2:11">
      <c r="B49" s="221"/>
      <c r="C49" s="221"/>
      <c r="D49" s="221"/>
      <c r="E49" s="221"/>
      <c r="F49" s="221"/>
      <c r="G49" s="221"/>
      <c r="H49" s="221"/>
      <c r="I49" s="221"/>
      <c r="J49" s="221"/>
      <c r="K49" s="221"/>
    </row>
    <row r="50" spans="2:11">
      <c r="B50" s="221"/>
      <c r="C50" s="221"/>
      <c r="D50" s="221"/>
      <c r="E50" s="221"/>
      <c r="F50" s="221"/>
      <c r="G50" s="221"/>
      <c r="H50" s="221"/>
      <c r="I50" s="221"/>
      <c r="J50" s="221"/>
      <c r="K50" s="221"/>
    </row>
    <row r="61" ht="15" customHeight="1"/>
  </sheetData>
  <mergeCells count="9">
    <mergeCell ref="B3:H3"/>
    <mergeCell ref="G4:H4"/>
    <mergeCell ref="B15:H15"/>
    <mergeCell ref="B22:K22"/>
    <mergeCell ref="B4:B5"/>
    <mergeCell ref="C4:C5"/>
    <mergeCell ref="D4:D5"/>
    <mergeCell ref="E4:E5"/>
    <mergeCell ref="F4:F5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6"/>
  <sheetViews>
    <sheetView tabSelected="1" workbookViewId="0">
      <selection activeCell="D5" sqref="D5"/>
    </sheetView>
  </sheetViews>
  <sheetFormatPr defaultColWidth="10.287037037037" defaultRowHeight="12.3"/>
  <cols>
    <col min="1" max="1" width="5.28703703703704" customWidth="1"/>
    <col min="2" max="2" width="14.712962962963" customWidth="1"/>
    <col min="3" max="3" width="15.287037037037" customWidth="1"/>
    <col min="4" max="4" width="16.287037037037" customWidth="1"/>
    <col min="5" max="5" width="12.5740740740741" customWidth="1"/>
    <col min="6" max="6" width="11.8611111111111" customWidth="1"/>
    <col min="7" max="7" width="11.5740740740741" customWidth="1"/>
    <col min="8" max="8" width="13.287037037037" customWidth="1"/>
    <col min="9" max="9" width="11.5740740740741" customWidth="1"/>
    <col min="10" max="10" width="12.5740740740741" customWidth="1"/>
    <col min="11" max="11" width="11.8611111111111" customWidth="1"/>
    <col min="13" max="13" width="14.5740740740741" customWidth="1"/>
    <col min="15" max="15" width="8" customWidth="1"/>
  </cols>
  <sheetData>
    <row r="1" spans="2:2">
      <c r="B1" s="200"/>
    </row>
    <row r="3" ht="15" spans="1:15">
      <c r="A3" s="127" t="s">
        <v>33</v>
      </c>
      <c r="B3" s="128" t="s">
        <v>34</v>
      </c>
      <c r="C3" s="128" t="s">
        <v>35</v>
      </c>
      <c r="D3" s="128" t="s">
        <v>36</v>
      </c>
      <c r="E3" s="128" t="s">
        <v>37</v>
      </c>
      <c r="F3" s="128" t="s">
        <v>38</v>
      </c>
      <c r="G3" s="128" t="s">
        <v>39</v>
      </c>
      <c r="H3" s="128" t="s">
        <v>40</v>
      </c>
      <c r="I3" s="128" t="s">
        <v>41</v>
      </c>
      <c r="J3" s="128" t="s">
        <v>42</v>
      </c>
      <c r="K3" s="209" t="s">
        <v>43</v>
      </c>
      <c r="L3" s="210" t="s">
        <v>44</v>
      </c>
      <c r="M3" s="210" t="s">
        <v>45</v>
      </c>
      <c r="N3" s="129" t="s">
        <v>46</v>
      </c>
      <c r="O3" s="130"/>
    </row>
    <row r="4" ht="15" spans="1:15">
      <c r="A4" s="131">
        <v>0</v>
      </c>
      <c r="B4" s="132">
        <v>42398</v>
      </c>
      <c r="C4" s="133">
        <v>0</v>
      </c>
      <c r="D4" s="134">
        <v>0</v>
      </c>
      <c r="E4" s="133">
        <v>1</v>
      </c>
      <c r="F4" s="133"/>
      <c r="G4" s="133"/>
      <c r="H4" s="133"/>
      <c r="I4" s="133"/>
      <c r="J4" s="133"/>
      <c r="K4" s="211"/>
      <c r="L4" s="212"/>
      <c r="M4" s="212"/>
      <c r="N4" s="135"/>
      <c r="O4" s="136"/>
    </row>
    <row r="5" spans="1:15">
      <c r="A5" s="143"/>
      <c r="B5" s="144">
        <v>42415</v>
      </c>
      <c r="C5" s="145">
        <f t="shared" ref="C5:C28" si="0">(B5-AsOfDate)/365</f>
        <v>0.0465753424657534</v>
      </c>
      <c r="D5" s="146">
        <f>a_0+b_0*(time-time0)+c_0*(time-time0)^2+d_0*(time-time0)^3</f>
        <v>9.11839235720312e-5</v>
      </c>
      <c r="E5" s="147">
        <f t="shared" ref="E5:E7" si="1">EXP(-D5)</f>
        <v>0.999908820233556</v>
      </c>
      <c r="F5" s="147"/>
      <c r="G5" s="147"/>
      <c r="H5" s="147"/>
      <c r="I5" s="147">
        <v>0.5</v>
      </c>
      <c r="J5" s="147">
        <f>3.625/2</f>
        <v>1.8125</v>
      </c>
      <c r="K5" s="213">
        <f>2.125/2</f>
        <v>1.0625</v>
      </c>
      <c r="L5" s="202">
        <v>1</v>
      </c>
      <c r="M5" s="202">
        <v>3</v>
      </c>
      <c r="N5" s="141">
        <f t="shared" ref="N5:N11" si="2">D5/C5</f>
        <v>0.00195777247669361</v>
      </c>
      <c r="O5" s="142"/>
    </row>
    <row r="6" s="118" customFormat="1" spans="1:15">
      <c r="A6" s="137">
        <v>1</v>
      </c>
      <c r="B6" s="138">
        <v>42418</v>
      </c>
      <c r="C6" s="139">
        <f t="shared" si="0"/>
        <v>0.0547945205479452</v>
      </c>
      <c r="D6" s="47">
        <v>0.000116006728524154</v>
      </c>
      <c r="E6" s="140">
        <f t="shared" si="1"/>
        <v>0.999883999999996</v>
      </c>
      <c r="F6" s="201">
        <v>100</v>
      </c>
      <c r="G6" s="140"/>
      <c r="H6" s="140"/>
      <c r="I6" s="140"/>
      <c r="J6" s="140"/>
      <c r="K6" s="214"/>
      <c r="L6" s="203"/>
      <c r="M6" s="203"/>
      <c r="N6" s="141">
        <f t="shared" ref="N6:N9" si="3">D6/C6</f>
        <v>0.00211712279556581</v>
      </c>
      <c r="O6" s="142"/>
    </row>
    <row r="7" s="118" customFormat="1" spans="1:15">
      <c r="A7" s="137">
        <v>2</v>
      </c>
      <c r="B7" s="138">
        <v>42572</v>
      </c>
      <c r="C7" s="139">
        <f t="shared" si="0"/>
        <v>0.476712328767123</v>
      </c>
      <c r="D7" s="47">
        <v>0.00229863987949642</v>
      </c>
      <c r="E7" s="140">
        <f t="shared" si="1"/>
        <v>0.997703999970076</v>
      </c>
      <c r="F7" s="140"/>
      <c r="G7" s="201">
        <v>100</v>
      </c>
      <c r="H7" s="140"/>
      <c r="I7" s="140"/>
      <c r="J7" s="140"/>
      <c r="K7" s="214"/>
      <c r="L7" s="203"/>
      <c r="M7" s="203"/>
      <c r="N7" s="141">
        <f t="shared" si="3"/>
        <v>0.00482185951733444</v>
      </c>
      <c r="O7" s="142"/>
    </row>
    <row r="8" spans="1:15">
      <c r="A8" s="143"/>
      <c r="B8" s="144">
        <v>42597</v>
      </c>
      <c r="C8" s="145">
        <f t="shared" si="0"/>
        <v>0.545205479452055</v>
      </c>
      <c r="D8" s="146">
        <f>a_2+b_2*(time-time2)+c_2*(time-time2)^2+d_2*(time-time2)^3</f>
        <v>0.00274052024000518</v>
      </c>
      <c r="E8" s="149">
        <f t="shared" ref="E8:E28" si="4">EXP(-D8)</f>
        <v>0.997263231557513</v>
      </c>
      <c r="F8" s="147"/>
      <c r="G8" s="147"/>
      <c r="H8" s="147"/>
      <c r="I8" s="147">
        <v>0.5</v>
      </c>
      <c r="J8" s="147">
        <f>3.625/2</f>
        <v>1.8125</v>
      </c>
      <c r="K8" s="213">
        <f>2.125/2</f>
        <v>1.0625</v>
      </c>
      <c r="L8" s="202">
        <v>1</v>
      </c>
      <c r="M8" s="202">
        <v>3</v>
      </c>
      <c r="N8" s="141">
        <f t="shared" si="3"/>
        <v>0.00502658234975825</v>
      </c>
      <c r="O8" s="142"/>
    </row>
    <row r="9" s="118" customFormat="1" spans="1:15">
      <c r="A9" s="137">
        <v>3</v>
      </c>
      <c r="B9" s="138">
        <v>42740</v>
      </c>
      <c r="C9" s="139">
        <f t="shared" si="0"/>
        <v>0.936986301369863</v>
      </c>
      <c r="D9" s="47">
        <v>0.0060029822741324</v>
      </c>
      <c r="E9" s="140">
        <f t="shared" si="4"/>
        <v>0.994014999624294</v>
      </c>
      <c r="F9" s="140"/>
      <c r="G9" s="140"/>
      <c r="H9" s="201">
        <v>100</v>
      </c>
      <c r="I9" s="140"/>
      <c r="J9" s="140"/>
      <c r="K9" s="214"/>
      <c r="L9" s="203"/>
      <c r="M9" s="203"/>
      <c r="N9" s="141">
        <f t="shared" si="3"/>
        <v>0.00640669160835768</v>
      </c>
      <c r="O9" s="142"/>
    </row>
    <row r="10" spans="1:15">
      <c r="A10" s="143"/>
      <c r="B10" s="144">
        <f>DATE(YEAR(B8),MONTH(B8)+6,DAY(B8))</f>
        <v>42781</v>
      </c>
      <c r="C10" s="145">
        <f t="shared" si="0"/>
        <v>1.04931506849315</v>
      </c>
      <c r="D10" s="146">
        <f ca="1">a_3+b_3*(time-time3)+c_3*(time-time3)^2+d_3*(time-time3)^3</f>
        <v>0.0072603027432704</v>
      </c>
      <c r="E10" s="149">
        <f ca="1" t="shared" si="4"/>
        <v>0.992765989586122</v>
      </c>
      <c r="F10" s="147"/>
      <c r="G10" s="147"/>
      <c r="H10" s="147"/>
      <c r="I10" s="147">
        <v>0.5</v>
      </c>
      <c r="J10" s="147">
        <f t="shared" ref="J10:J15" si="5">3.625/2</f>
        <v>1.8125</v>
      </c>
      <c r="K10" s="213">
        <f t="shared" ref="K10:K18" si="6">2.125/2</f>
        <v>1.0625</v>
      </c>
      <c r="L10" s="202">
        <v>1</v>
      </c>
      <c r="M10" s="202">
        <v>3</v>
      </c>
      <c r="N10" s="141">
        <f ca="1" t="shared" si="2"/>
        <v>0.00691908747074073</v>
      </c>
      <c r="O10" s="142"/>
    </row>
    <row r="11" spans="1:15">
      <c r="A11" s="143"/>
      <c r="B11" s="144">
        <f t="shared" ref="B11:B13" si="7">DATE(YEAR(B10),MONTH(B10)+6,DAY(B10))</f>
        <v>42962</v>
      </c>
      <c r="C11" s="145">
        <f t="shared" si="0"/>
        <v>1.54520547945205</v>
      </c>
      <c r="D11" s="146">
        <f ca="1">a_3+b_3*(time-time3)+c_3*(time-time3)^2+d_3*(time-time3)^3</f>
        <v>0.0138765517991961</v>
      </c>
      <c r="E11" s="149">
        <f ca="1" t="shared" si="4"/>
        <v>0.986219283744624</v>
      </c>
      <c r="F11" s="147"/>
      <c r="G11" s="147"/>
      <c r="H11" s="147"/>
      <c r="I11" s="147">
        <v>0.5</v>
      </c>
      <c r="J11" s="147">
        <f t="shared" si="5"/>
        <v>1.8125</v>
      </c>
      <c r="K11" s="213">
        <f t="shared" si="6"/>
        <v>1.0625</v>
      </c>
      <c r="L11" s="202">
        <v>1</v>
      </c>
      <c r="M11" s="202">
        <v>3</v>
      </c>
      <c r="N11" s="141">
        <f ca="1" t="shared" si="2"/>
        <v>0.00898039256508258</v>
      </c>
      <c r="O11" s="142"/>
    </row>
    <row r="12" s="118" customFormat="1" spans="1:15">
      <c r="A12" s="150">
        <v>4</v>
      </c>
      <c r="B12" s="138">
        <f t="shared" si="7"/>
        <v>43146</v>
      </c>
      <c r="C12" s="139">
        <f t="shared" si="0"/>
        <v>2.04931506849315</v>
      </c>
      <c r="D12" s="47">
        <v>0.0220602409956281</v>
      </c>
      <c r="E12" s="140">
        <f t="shared" si="4"/>
        <v>0.978181306660457</v>
      </c>
      <c r="F12" s="140"/>
      <c r="G12" s="140"/>
      <c r="H12" s="140"/>
      <c r="I12" s="140">
        <v>100.5</v>
      </c>
      <c r="J12" s="140">
        <f t="shared" si="5"/>
        <v>1.8125</v>
      </c>
      <c r="K12" s="214">
        <f t="shared" si="6"/>
        <v>1.0625</v>
      </c>
      <c r="L12" s="203">
        <v>1</v>
      </c>
      <c r="M12" s="203">
        <v>3</v>
      </c>
      <c r="N12" s="141">
        <f t="shared" ref="N12:N28" si="8">D12/C12</f>
        <v>0.0107646897906474</v>
      </c>
      <c r="O12" s="142"/>
    </row>
    <row r="13" s="118" customFormat="1" spans="1:15">
      <c r="A13" s="150"/>
      <c r="B13" s="144">
        <f t="shared" si="7"/>
        <v>43327</v>
      </c>
      <c r="C13" s="151">
        <f t="shared" si="0"/>
        <v>2.54520547945205</v>
      </c>
      <c r="D13" s="146">
        <f ca="1">a_4+b_4*(time-time4)+c_4*(time-time4)^2+d_4*(time-time4)^3</f>
        <v>0.0319946651999477</v>
      </c>
      <c r="E13" s="149">
        <f ca="1" t="shared" si="4"/>
        <v>0.968511748881944</v>
      </c>
      <c r="F13" s="140"/>
      <c r="G13" s="140"/>
      <c r="H13" s="140"/>
      <c r="I13" s="140"/>
      <c r="J13" s="147">
        <f t="shared" si="5"/>
        <v>1.8125</v>
      </c>
      <c r="K13" s="213">
        <f t="shared" si="6"/>
        <v>1.0625</v>
      </c>
      <c r="L13" s="202">
        <v>1</v>
      </c>
      <c r="M13" s="202">
        <v>3</v>
      </c>
      <c r="N13" s="141">
        <f ca="1" t="shared" si="8"/>
        <v>0.0125705627534779</v>
      </c>
      <c r="O13" s="142"/>
    </row>
    <row r="14" spans="1:15">
      <c r="A14" s="143"/>
      <c r="B14" s="144">
        <f t="shared" ref="B14:B28" si="9">DATE(YEAR(B13),MONTH(B13)+6,DAY(B13))</f>
        <v>43511</v>
      </c>
      <c r="C14" s="151">
        <f t="shared" si="0"/>
        <v>3.04931506849315</v>
      </c>
      <c r="D14" s="146">
        <f ca="1">a_4+b_4*(time-time4)+c_4*(time-time4)^2+d_4*(time-time4)^3</f>
        <v>0.0435868502378611</v>
      </c>
      <c r="E14" s="149">
        <f ca="1" t="shared" si="4"/>
        <v>0.957349404456743</v>
      </c>
      <c r="F14" s="202"/>
      <c r="G14" s="202"/>
      <c r="H14" s="202"/>
      <c r="I14" s="202"/>
      <c r="J14" s="147">
        <f t="shared" si="5"/>
        <v>1.8125</v>
      </c>
      <c r="K14" s="213">
        <f t="shared" si="6"/>
        <v>1.0625</v>
      </c>
      <c r="L14" s="202">
        <v>1</v>
      </c>
      <c r="M14" s="202">
        <v>3</v>
      </c>
      <c r="N14" s="141">
        <f ca="1" t="shared" si="8"/>
        <v>0.0142939805362258</v>
      </c>
      <c r="O14" s="142"/>
    </row>
    <row r="15" spans="1:15">
      <c r="A15" s="143"/>
      <c r="B15" s="144">
        <f t="shared" si="9"/>
        <v>43692</v>
      </c>
      <c r="C15" s="151">
        <f t="shared" si="0"/>
        <v>3.54520547945205</v>
      </c>
      <c r="D15" s="146">
        <f ca="1">a_4+b_4*(time-time4)+c_4*(time-time4)^2+d_4*(time-time4)^3</f>
        <v>0.0547180271576068</v>
      </c>
      <c r="E15" s="149">
        <f ca="1" t="shared" si="4"/>
        <v>0.946752068691366</v>
      </c>
      <c r="F15" s="202"/>
      <c r="G15" s="202"/>
      <c r="H15" s="202"/>
      <c r="I15" s="202"/>
      <c r="J15" s="147">
        <f t="shared" si="5"/>
        <v>1.8125</v>
      </c>
      <c r="K15" s="213">
        <f t="shared" si="6"/>
        <v>1.0625</v>
      </c>
      <c r="L15" s="202">
        <v>1</v>
      </c>
      <c r="M15" s="202">
        <v>3</v>
      </c>
      <c r="N15" s="141">
        <f ca="1" t="shared" si="8"/>
        <v>0.0154343739664038</v>
      </c>
      <c r="O15" s="142"/>
    </row>
    <row r="16" s="118" customFormat="1" spans="1:15">
      <c r="A16" s="150">
        <v>5</v>
      </c>
      <c r="B16" s="138">
        <f t="shared" si="9"/>
        <v>43876</v>
      </c>
      <c r="C16" s="139">
        <f t="shared" si="0"/>
        <v>4.04931506849315</v>
      </c>
      <c r="D16" s="47">
        <v>0.0639778467461532</v>
      </c>
      <c r="E16" s="140">
        <f t="shared" si="4"/>
        <v>0.938025779623766</v>
      </c>
      <c r="F16" s="203"/>
      <c r="G16" s="203"/>
      <c r="H16" s="203"/>
      <c r="I16" s="203"/>
      <c r="J16" s="140">
        <v>101.8125</v>
      </c>
      <c r="K16" s="214">
        <f t="shared" si="6"/>
        <v>1.0625</v>
      </c>
      <c r="L16" s="203">
        <v>1</v>
      </c>
      <c r="M16" s="203">
        <v>3</v>
      </c>
      <c r="N16" s="141">
        <f t="shared" si="8"/>
        <v>0.0157996712194492</v>
      </c>
      <c r="O16" s="142"/>
    </row>
    <row r="17" spans="1:15">
      <c r="A17" s="143"/>
      <c r="B17" s="144">
        <f t="shared" si="9"/>
        <v>44058</v>
      </c>
      <c r="C17" s="151">
        <f t="shared" si="0"/>
        <v>4.54794520547945</v>
      </c>
      <c r="D17" s="146">
        <f ca="1">a_5+b_5*(time-time5)+c_5*(time-time5)^2+d_5*(time-time5)^3</f>
        <v>0.0702341582028837</v>
      </c>
      <c r="E17" s="149">
        <f ca="1" t="shared" si="4"/>
        <v>0.932175517804311</v>
      </c>
      <c r="F17" s="202"/>
      <c r="G17" s="202"/>
      <c r="H17" s="202"/>
      <c r="I17" s="202"/>
      <c r="J17" s="202"/>
      <c r="K17" s="213">
        <f t="shared" si="6"/>
        <v>1.0625</v>
      </c>
      <c r="L17" s="202">
        <v>1</v>
      </c>
      <c r="M17" s="202">
        <v>3</v>
      </c>
      <c r="N17" s="141">
        <f ca="1" t="shared" si="8"/>
        <v>0.015443052857863</v>
      </c>
      <c r="O17" s="142"/>
    </row>
    <row r="18" spans="1:15">
      <c r="A18" s="143"/>
      <c r="B18" s="144">
        <f t="shared" si="9"/>
        <v>44242</v>
      </c>
      <c r="C18" s="151">
        <f t="shared" si="0"/>
        <v>5.05205479452055</v>
      </c>
      <c r="D18" s="146">
        <f ca="1">a_5+b_5*(time-time5)+c_5*(time-time5)^2+d_5*(time-time5)^3</f>
        <v>0.0753673371920256</v>
      </c>
      <c r="E18" s="149">
        <f ca="1" t="shared" si="4"/>
        <v>0.927402754226983</v>
      </c>
      <c r="F18" s="202"/>
      <c r="G18" s="202"/>
      <c r="H18" s="202"/>
      <c r="I18" s="202"/>
      <c r="J18" s="202"/>
      <c r="K18" s="213">
        <f t="shared" si="6"/>
        <v>1.0625</v>
      </c>
      <c r="L18" s="202">
        <v>1</v>
      </c>
      <c r="M18" s="202">
        <v>3</v>
      </c>
      <c r="N18" s="141">
        <f ca="1" t="shared" si="8"/>
        <v>0.0149181551383348</v>
      </c>
      <c r="O18" s="142"/>
    </row>
    <row r="19" s="118" customFormat="1" spans="1:15">
      <c r="A19" s="150">
        <v>6</v>
      </c>
      <c r="B19" s="138">
        <f t="shared" si="9"/>
        <v>44423</v>
      </c>
      <c r="C19" s="139">
        <f t="shared" si="0"/>
        <v>5.54794520547945</v>
      </c>
      <c r="D19" s="47">
        <v>0.0813390154478229</v>
      </c>
      <c r="E19" s="140">
        <f t="shared" si="4"/>
        <v>0.921881106525875</v>
      </c>
      <c r="F19" s="203"/>
      <c r="G19" s="203"/>
      <c r="H19" s="203"/>
      <c r="I19" s="203"/>
      <c r="J19" s="203"/>
      <c r="K19" s="203">
        <v>101.0625</v>
      </c>
      <c r="L19" s="203">
        <v>1</v>
      </c>
      <c r="M19" s="203">
        <v>3</v>
      </c>
      <c r="N19" s="141">
        <f t="shared" si="8"/>
        <v>0.0146611064881261</v>
      </c>
      <c r="O19" s="142"/>
    </row>
    <row r="20" spans="1:15">
      <c r="A20" s="143"/>
      <c r="B20" s="144">
        <f t="shared" si="9"/>
        <v>44607</v>
      </c>
      <c r="C20" s="151">
        <f t="shared" si="0"/>
        <v>6.05205479452055</v>
      </c>
      <c r="D20" s="146">
        <f ca="1">a_6+b_6*(time-time6)+c_6*(time-time6)^2+d_6*(time-time6)^3</f>
        <v>0.0893650467062997</v>
      </c>
      <c r="E20" s="149">
        <f ca="1" t="shared" si="4"/>
        <v>0.914511673159377</v>
      </c>
      <c r="F20" s="202"/>
      <c r="G20" s="202"/>
      <c r="H20" s="202"/>
      <c r="I20" s="202"/>
      <c r="J20" s="202"/>
      <c r="K20" s="213"/>
      <c r="L20" s="202">
        <v>1</v>
      </c>
      <c r="M20" s="202">
        <v>3</v>
      </c>
      <c r="N20" s="141">
        <f ca="1" t="shared" si="8"/>
        <v>0.0147660670202804</v>
      </c>
      <c r="O20" s="142"/>
    </row>
    <row r="21" spans="1:15">
      <c r="A21" s="143"/>
      <c r="B21" s="144">
        <f t="shared" si="9"/>
        <v>44788</v>
      </c>
      <c r="C21" s="151">
        <f t="shared" si="0"/>
        <v>6.54794520547945</v>
      </c>
      <c r="D21" s="146">
        <f ca="1">a_6+b_6*(time-time6)+c_6*(time-time6)^2+d_6*(time-time6)^3</f>
        <v>0.0987494217372931</v>
      </c>
      <c r="E21" s="149">
        <f ca="1" t="shared" si="4"/>
        <v>0.90596969589571</v>
      </c>
      <c r="F21" s="202"/>
      <c r="G21" s="202"/>
      <c r="H21" s="202"/>
      <c r="I21" s="202"/>
      <c r="J21" s="202"/>
      <c r="K21" s="213"/>
      <c r="L21" s="202">
        <v>1</v>
      </c>
      <c r="M21" s="202">
        <v>3</v>
      </c>
      <c r="N21" s="141">
        <f ca="1" t="shared" si="8"/>
        <v>0.0150809786335197</v>
      </c>
      <c r="O21" s="142"/>
    </row>
    <row r="22" s="118" customFormat="1" spans="1:15">
      <c r="A22" s="150">
        <v>7</v>
      </c>
      <c r="B22" s="138">
        <f t="shared" si="9"/>
        <v>44972</v>
      </c>
      <c r="C22" s="139">
        <f t="shared" si="0"/>
        <v>7.05205479452055</v>
      </c>
      <c r="D22" s="47">
        <v>0.10973219610906</v>
      </c>
      <c r="E22" s="140">
        <f t="shared" si="4"/>
        <v>0.896074075290595</v>
      </c>
      <c r="F22" s="203"/>
      <c r="G22" s="202"/>
      <c r="H22" s="203"/>
      <c r="I22" s="203"/>
      <c r="J22" s="203"/>
      <c r="K22" s="203"/>
      <c r="L22" s="203">
        <v>101</v>
      </c>
      <c r="M22" s="203">
        <v>3</v>
      </c>
      <c r="N22" s="141">
        <f t="shared" si="8"/>
        <v>0.0155603152990703</v>
      </c>
      <c r="O22" s="142"/>
    </row>
    <row r="23" spans="1:15">
      <c r="A23" s="143"/>
      <c r="B23" s="144">
        <f t="shared" si="9"/>
        <v>45153</v>
      </c>
      <c r="C23" s="151">
        <f t="shared" si="0"/>
        <v>7.54794520547945</v>
      </c>
      <c r="D23" s="146">
        <f ca="1">a_7+b_7*(time-time7)+c_7*(time-time7)^2+d_7*(time-time7)^3</f>
        <v>0.122359806023103</v>
      </c>
      <c r="E23" s="149">
        <f ca="1" t="shared" si="4"/>
        <v>0.884829944077248</v>
      </c>
      <c r="F23" s="202"/>
      <c r="G23" s="202"/>
      <c r="H23" s="202"/>
      <c r="I23" s="202"/>
      <c r="J23" s="202"/>
      <c r="K23" s="202"/>
      <c r="L23" s="202"/>
      <c r="M23" s="202">
        <v>3</v>
      </c>
      <c r="N23" s="141">
        <f ca="1" t="shared" si="8"/>
        <v>0.0162110087834601</v>
      </c>
      <c r="O23" s="142"/>
    </row>
    <row r="24" spans="1:15">
      <c r="A24" s="143"/>
      <c r="B24" s="144">
        <f t="shared" si="9"/>
        <v>45337</v>
      </c>
      <c r="C24" s="151">
        <f t="shared" si="0"/>
        <v>8.05205479452055</v>
      </c>
      <c r="D24" s="146">
        <f ca="1">a_7+b_7*(time-time7)+c_7*(time-time7)^2+d_7*(time-time7)^3</f>
        <v>0.13693807626726</v>
      </c>
      <c r="E24" s="149">
        <f ca="1" t="shared" si="4"/>
        <v>0.872024223455191</v>
      </c>
      <c r="F24" s="202"/>
      <c r="G24" s="202"/>
      <c r="H24" s="202"/>
      <c r="I24" s="202"/>
      <c r="J24" s="202"/>
      <c r="K24" s="202"/>
      <c r="L24" s="202"/>
      <c r="M24" s="202">
        <v>3</v>
      </c>
      <c r="N24" s="141">
        <f ca="1" t="shared" si="8"/>
        <v>0.0170066001488771</v>
      </c>
      <c r="O24" s="142"/>
    </row>
    <row r="25" spans="1:15">
      <c r="A25" s="143"/>
      <c r="B25" s="144">
        <f t="shared" si="9"/>
        <v>45519</v>
      </c>
      <c r="C25" s="151">
        <f t="shared" si="0"/>
        <v>8.55068493150685</v>
      </c>
      <c r="D25" s="146">
        <f ca="1">a_7+b_7*(time-time7)+c_7*(time-time7)^2+d_7*(time-time7)^3</f>
        <v>0.152224610257522</v>
      </c>
      <c r="E25" s="149">
        <f ca="1" t="shared" si="4"/>
        <v>0.858795364828435</v>
      </c>
      <c r="F25" s="202"/>
      <c r="G25" s="202"/>
      <c r="H25" s="202"/>
      <c r="I25" s="202"/>
      <c r="J25" s="202"/>
      <c r="K25" s="202"/>
      <c r="L25" s="202"/>
      <c r="M25" s="202">
        <v>3</v>
      </c>
      <c r="N25" s="141">
        <f ca="1" t="shared" si="8"/>
        <v>0.0178026218340262</v>
      </c>
      <c r="O25" s="142"/>
    </row>
    <row r="26" spans="1:15">
      <c r="A26" s="143"/>
      <c r="B26" s="144">
        <f t="shared" si="9"/>
        <v>45703</v>
      </c>
      <c r="C26" s="151">
        <f t="shared" si="0"/>
        <v>9.05479452054795</v>
      </c>
      <c r="D26" s="146">
        <f ca="1">a_7+b_7*(time-time7)+c_7*(time-time7)^2+d_7*(time-time7)^3</f>
        <v>0.167680718768052</v>
      </c>
      <c r="E26" s="149">
        <f ca="1" t="shared" si="4"/>
        <v>0.845623783390913</v>
      </c>
      <c r="F26" s="202"/>
      <c r="G26" s="202"/>
      <c r="H26" s="202"/>
      <c r="I26" s="202"/>
      <c r="J26" s="202"/>
      <c r="K26" s="202"/>
      <c r="L26" s="202"/>
      <c r="M26" s="202">
        <v>3</v>
      </c>
      <c r="N26" s="141">
        <f ca="1" t="shared" si="8"/>
        <v>0.0185184454917818</v>
      </c>
      <c r="O26" s="142"/>
    </row>
    <row r="27" spans="1:15">
      <c r="A27" s="143"/>
      <c r="B27" s="144">
        <f t="shared" si="9"/>
        <v>45884</v>
      </c>
      <c r="C27" s="151">
        <f t="shared" si="0"/>
        <v>9.55068493150685</v>
      </c>
      <c r="D27" s="146">
        <f ca="1">a_7+b_7*(time-time7)+c_7*(time-time7)^2+d_7*(time-time7)^3</f>
        <v>0.182033020694184</v>
      </c>
      <c r="E27" s="149">
        <f ca="1" t="shared" si="4"/>
        <v>0.833573814775263</v>
      </c>
      <c r="F27" s="202"/>
      <c r="G27" s="202"/>
      <c r="H27" s="202"/>
      <c r="I27" s="202"/>
      <c r="J27" s="202"/>
      <c r="K27" s="202"/>
      <c r="L27" s="202"/>
      <c r="M27" s="202">
        <v>3</v>
      </c>
      <c r="N27" s="141">
        <f ca="1" t="shared" si="8"/>
        <v>0.0190596823159429</v>
      </c>
      <c r="O27" s="142"/>
    </row>
    <row r="28" s="118" customFormat="1" spans="1:15">
      <c r="A28" s="153">
        <v>8</v>
      </c>
      <c r="B28" s="154">
        <f t="shared" si="9"/>
        <v>46068</v>
      </c>
      <c r="C28" s="204">
        <f t="shared" si="0"/>
        <v>10.0547945205479</v>
      </c>
      <c r="D28" s="47">
        <v>0.194886601658413</v>
      </c>
      <c r="E28" s="140">
        <f t="shared" si="4"/>
        <v>0.822927971432333</v>
      </c>
      <c r="F28" s="205"/>
      <c r="G28" s="205"/>
      <c r="H28" s="205"/>
      <c r="I28" s="205"/>
      <c r="J28" s="205"/>
      <c r="K28" s="205"/>
      <c r="L28" s="205"/>
      <c r="M28" s="205">
        <v>103</v>
      </c>
      <c r="N28" s="141">
        <f t="shared" si="8"/>
        <v>0.0193824549333299</v>
      </c>
      <c r="O28" s="142"/>
    </row>
    <row r="29" ht="14.1" customHeight="1" spans="2:15">
      <c r="B29" s="156"/>
      <c r="N29" s="118"/>
      <c r="O29" s="118"/>
    </row>
    <row r="30" ht="30" customHeight="1" spans="2:13">
      <c r="B30" s="156"/>
      <c r="E30" t="s">
        <v>47</v>
      </c>
      <c r="F30">
        <v>99.9884</v>
      </c>
      <c r="G30">
        <v>99.7704</v>
      </c>
      <c r="H30">
        <v>99.4015</v>
      </c>
      <c r="I30">
        <v>100.2953</v>
      </c>
      <c r="J30">
        <v>109.6891</v>
      </c>
      <c r="K30">
        <v>104.4562</v>
      </c>
      <c r="L30">
        <v>103.8704</v>
      </c>
      <c r="M30">
        <v>140.4351</v>
      </c>
    </row>
    <row r="31" ht="27.95" customHeight="1" spans="2:13">
      <c r="B31" s="156"/>
      <c r="E31" t="s">
        <v>22</v>
      </c>
      <c r="F31">
        <f>F6*E6</f>
        <v>99.9883999999996</v>
      </c>
      <c r="G31">
        <f>G7*E7</f>
        <v>99.7703999970076</v>
      </c>
      <c r="H31">
        <f>H9*E9</f>
        <v>99.4014999624294</v>
      </c>
      <c r="I31">
        <f ca="1">SUMPRODUCT(E4:E12,I4:I12)</f>
        <v>100.295299981937</v>
      </c>
      <c r="J31">
        <f ca="1">SUMPRODUCT(J4:J16,E4:E16)</f>
        <v>109.68909992298</v>
      </c>
      <c r="K31">
        <f ca="1">SUMPRODUCT(E4:E19,K4:K19)</f>
        <v>104.45619997783</v>
      </c>
      <c r="L31">
        <f ca="1">SUMPRODUCT(E4:E22,L4:L22)</f>
        <v>103.870399985398</v>
      </c>
      <c r="M31">
        <f ca="1">SUMPRODUCT(E5:E28,M5:M28)</f>
        <v>140.435099818128</v>
      </c>
    </row>
    <row r="32" ht="26.1" customHeight="1" spans="2:13">
      <c r="B32" s="156"/>
      <c r="E32" t="s">
        <v>48</v>
      </c>
      <c r="F32" s="206">
        <f>F30-F31</f>
        <v>3.83693077310454e-13</v>
      </c>
      <c r="G32" s="206">
        <f t="shared" ref="G32:M32" si="10">G30-G31</f>
        <v>2.99237967738009e-9</v>
      </c>
      <c r="H32" s="206">
        <f t="shared" si="10"/>
        <v>3.75705724309228e-8</v>
      </c>
      <c r="I32" s="206">
        <f ca="1" t="shared" si="10"/>
        <v>1.80631616331084e-8</v>
      </c>
      <c r="J32" s="206">
        <f ca="1" t="shared" si="10"/>
        <v>7.70204877653669e-8</v>
      </c>
      <c r="K32" s="206">
        <f ca="1" t="shared" si="10"/>
        <v>2.21696581093056e-8</v>
      </c>
      <c r="L32" s="206">
        <f ca="1" t="shared" si="10"/>
        <v>1.46015537438871e-8</v>
      </c>
      <c r="M32" s="206">
        <f ca="1" t="shared" si="10"/>
        <v>1.81871740778661e-7</v>
      </c>
    </row>
    <row r="33" spans="2:9">
      <c r="B33" s="156"/>
      <c r="C33" s="207"/>
      <c r="D33" s="207"/>
      <c r="E33" s="207"/>
      <c r="F33" s="207"/>
      <c r="G33" s="207"/>
      <c r="H33" s="207"/>
      <c r="I33" s="207"/>
    </row>
    <row r="34" spans="2:10">
      <c r="B34" s="156"/>
      <c r="C34" s="208" t="s">
        <v>49</v>
      </c>
      <c r="D34" s="22" t="s">
        <v>50</v>
      </c>
      <c r="E34" s="22" t="s">
        <v>51</v>
      </c>
      <c r="F34" s="22" t="s">
        <v>52</v>
      </c>
      <c r="G34" s="22" t="s">
        <v>53</v>
      </c>
      <c r="H34" s="22" t="s">
        <v>54</v>
      </c>
      <c r="I34" s="23" t="s">
        <v>55</v>
      </c>
      <c r="J34" t="s">
        <v>56</v>
      </c>
    </row>
    <row r="35" spans="3:10">
      <c r="C35" s="24">
        <f>C6</f>
        <v>0.0547945205479452</v>
      </c>
      <c r="D35" s="25">
        <f>(F36-F35)/C35</f>
        <v>0.00211712279556581</v>
      </c>
      <c r="E35" s="25">
        <f>(F36-F35)/C35</f>
        <v>0.00211712279556581</v>
      </c>
      <c r="F35" s="64">
        <v>0</v>
      </c>
      <c r="G35" s="25">
        <v>0.00211712</v>
      </c>
      <c r="H35" s="26">
        <f>(3*D35-E36-2*E35)/C35</f>
        <v>-0.0228085670615028</v>
      </c>
      <c r="I35" s="27">
        <f>(E36+E35-2*D35)/C35^2</f>
        <v>0.416256348872427</v>
      </c>
      <c r="J35" s="64"/>
    </row>
    <row r="36" spans="3:10">
      <c r="C36" s="29">
        <f>C7-C6</f>
        <v>0.421917808219178</v>
      </c>
      <c r="D36" s="25">
        <f>(F37-F36)/C36</f>
        <v>0.00517312402665505</v>
      </c>
      <c r="E36" s="26">
        <f>IF(D36*D35&gt;0,D36*D35/(D35*J36+(1-J36)*D36),0)</f>
        <v>0.00336690729208651</v>
      </c>
      <c r="F36" s="28">
        <f>capit1</f>
        <v>0.000116006728524154</v>
      </c>
      <c r="G36" s="26">
        <f>IF(D36*D35&gt;0,D36*D35/(D35*J36+(1-J36)*D36),0)</f>
        <v>0.00336690729208651</v>
      </c>
      <c r="H36" s="26">
        <f t="shared" ref="H36:H42" si="11">(3*D36-E37-2*E36)/C36</f>
        <v>0.00584855838083116</v>
      </c>
      <c r="I36" s="27">
        <f t="shared" ref="I36:I42" si="12">(E37+E36-2*D36)/C36^2</f>
        <v>-0.00371539222987126</v>
      </c>
      <c r="J36" s="64">
        <f>(C35+2*C36)/(3*(C35+C36))</f>
        <v>0.628352490421456</v>
      </c>
    </row>
    <row r="37" spans="3:10">
      <c r="C37" s="29">
        <f>C9-C7</f>
        <v>0.46027397260274</v>
      </c>
      <c r="D37" s="25">
        <f t="shared" ref="D37:D42" si="13">(F38-F37)/C37</f>
        <v>0.00804812484548889</v>
      </c>
      <c r="E37" s="26">
        <f t="shared" ref="E37:E42" si="14">IF(D37*D36&gt;0,D37*D36/(D36*J37+(1-J37)*D37),0)</f>
        <v>0.00631794656250992</v>
      </c>
      <c r="F37" s="146">
        <f>capit2</f>
        <v>0.00229863987949642</v>
      </c>
      <c r="G37" s="26">
        <f t="shared" ref="G37:G42" si="15">IF(D37*D36&gt;0,D37*D36/(D36*J37+(1-J37)*D37),0)</f>
        <v>0.00631794656250992</v>
      </c>
      <c r="H37" s="26">
        <f t="shared" si="11"/>
        <v>0.00163279565508624</v>
      </c>
      <c r="I37" s="27">
        <f t="shared" si="12"/>
        <v>0.00461947180342916</v>
      </c>
      <c r="J37" s="64">
        <f>(C36+2*C37)/(3*(C36+C37))</f>
        <v>0.507246376811594</v>
      </c>
    </row>
    <row r="38" spans="3:10">
      <c r="C38" s="29">
        <f>C12-C9</f>
        <v>1.11232876712329</v>
      </c>
      <c r="D38" s="25">
        <f t="shared" si="13"/>
        <v>0.0144357128900146</v>
      </c>
      <c r="E38" s="26">
        <f t="shared" si="14"/>
        <v>0.0107569480688318</v>
      </c>
      <c r="F38" s="26">
        <f>capit3</f>
        <v>0.0060029822741324</v>
      </c>
      <c r="G38" s="26">
        <f t="shared" si="15"/>
        <v>0.0107569480688318</v>
      </c>
      <c r="H38" s="26">
        <f ca="1" t="shared" si="11"/>
        <v>0.00394864353771484</v>
      </c>
      <c r="I38" s="27">
        <f ca="1" t="shared" si="12"/>
        <v>-0.000576609736658766</v>
      </c>
      <c r="J38" s="64">
        <f t="shared" ref="J38:J43" si="16">(C37+2*C38)/(3*(C37+C38))</f>
        <v>0.569105691056911</v>
      </c>
    </row>
    <row r="39" spans="3:10">
      <c r="C39" s="30">
        <f>C16-C12</f>
        <v>2</v>
      </c>
      <c r="D39" s="25">
        <f ca="1" t="shared" si="13"/>
        <v>0.0209588028752625</v>
      </c>
      <c r="E39" s="26">
        <f ca="1" t="shared" si="14"/>
        <v>0.0174010527342645</v>
      </c>
      <c r="F39" s="26">
        <f>capit4</f>
        <v>0.0220602409956281</v>
      </c>
      <c r="G39" s="26">
        <f ca="1" t="shared" si="15"/>
        <v>0.0174010527342645</v>
      </c>
      <c r="H39" s="26">
        <f ca="1" t="shared" si="11"/>
        <v>0.00647223794543792</v>
      </c>
      <c r="I39" s="27">
        <f ca="1" t="shared" si="12"/>
        <v>-0.00234668143746945</v>
      </c>
      <c r="J39" s="64">
        <f t="shared" si="16"/>
        <v>0.547535211267606</v>
      </c>
    </row>
    <row r="40" spans="3:10">
      <c r="C40" s="30">
        <f>C19-C16</f>
        <v>1.4986301369863</v>
      </c>
      <c r="D40" s="25">
        <f ca="1" t="shared" si="13"/>
        <v>0.0115846920952641</v>
      </c>
      <c r="E40" s="26">
        <f ca="1" t="shared" si="14"/>
        <v>0.0151298272663828</v>
      </c>
      <c r="F40" s="26">
        <f ca="1">capit5</f>
        <v>0.0639778467461532</v>
      </c>
      <c r="G40" s="26">
        <f ca="1" t="shared" si="15"/>
        <v>0.0151298272663828</v>
      </c>
      <c r="H40" s="26">
        <f ca="1" t="shared" si="11"/>
        <v>-0.00658312704075213</v>
      </c>
      <c r="I40" s="27">
        <f ca="1" t="shared" si="12"/>
        <v>0.00281426560079769</v>
      </c>
      <c r="J40" s="64">
        <f t="shared" si="16"/>
        <v>0.476115896632733</v>
      </c>
    </row>
    <row r="41" spans="3:10">
      <c r="C41" s="30">
        <f>C22-C19</f>
        <v>1.5041095890411</v>
      </c>
      <c r="D41" s="25">
        <f ca="1" t="shared" si="13"/>
        <v>0.0188770691099299</v>
      </c>
      <c r="E41" s="26">
        <f ca="1" t="shared" si="14"/>
        <v>0.0143600943319072</v>
      </c>
      <c r="F41" s="26">
        <f ca="1">capit6</f>
        <v>0.0813390154478229</v>
      </c>
      <c r="G41" s="26">
        <f ca="1" t="shared" si="15"/>
        <v>0.0143600943319072</v>
      </c>
      <c r="H41" s="26">
        <f ca="1" t="shared" si="11"/>
        <v>0.0031439881753323</v>
      </c>
      <c r="I41" s="27">
        <f ca="1" t="shared" si="12"/>
        <v>-9.36762177693261e-5</v>
      </c>
      <c r="J41" s="64">
        <f t="shared" si="16"/>
        <v>0.500304136253041</v>
      </c>
    </row>
    <row r="42" spans="3:10">
      <c r="C42" s="31">
        <f>C28-C22</f>
        <v>3.0027397260274</v>
      </c>
      <c r="D42" s="25">
        <f t="shared" si="13"/>
        <v>0.0283589033079506</v>
      </c>
      <c r="E42" s="26">
        <f ca="1" t="shared" si="14"/>
        <v>0.0231821159036261</v>
      </c>
      <c r="F42" s="32">
        <f>capit7</f>
        <v>0.10973219610906</v>
      </c>
      <c r="G42" s="26">
        <f ca="1" t="shared" si="15"/>
        <v>0.0231821159036261</v>
      </c>
      <c r="H42" s="26">
        <f ca="1" t="shared" si="11"/>
        <v>0.00517206269394055</v>
      </c>
      <c r="I42" s="27">
        <f ca="1" t="shared" si="12"/>
        <v>-0.00114829843936715</v>
      </c>
      <c r="J42" s="64">
        <f t="shared" si="16"/>
        <v>0.555420466058764</v>
      </c>
    </row>
    <row r="43" spans="4:10">
      <c r="D43" s="25"/>
      <c r="E43" s="26">
        <v>0.02318212</v>
      </c>
      <c r="F43" s="64">
        <f>capit8</f>
        <v>0.194886601658413</v>
      </c>
      <c r="G43" s="64"/>
      <c r="H43" s="64"/>
      <c r="I43" s="64"/>
      <c r="J43" s="64">
        <f t="shared" si="16"/>
        <v>0.333333333333333</v>
      </c>
    </row>
    <row r="44" spans="5:5">
      <c r="E44" s="26"/>
    </row>
    <row r="45" spans="5:5">
      <c r="E45" s="26"/>
    </row>
    <row r="46" spans="5:5">
      <c r="E46" s="26"/>
    </row>
  </sheetData>
  <mergeCells count="27"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C33:I3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0"/>
  <sheetViews>
    <sheetView topLeftCell="A21" workbookViewId="0">
      <selection activeCell="J2" sqref="J2"/>
    </sheetView>
  </sheetViews>
  <sheetFormatPr defaultColWidth="10.287037037037" defaultRowHeight="12.3"/>
  <cols>
    <col min="1" max="1" width="8.86111111111111" customWidth="1"/>
    <col min="2" max="2" width="16.287037037037" customWidth="1"/>
    <col min="3" max="3" width="15.287037037037" customWidth="1"/>
    <col min="4" max="4" width="15.712962962963" customWidth="1"/>
    <col min="5" max="5" width="16.1388888888889" customWidth="1"/>
    <col min="6" max="6" width="11.5740740740741" customWidth="1"/>
    <col min="7" max="7" width="12.5740740740741" customWidth="1"/>
    <col min="8" max="8" width="15.712962962963" customWidth="1"/>
    <col min="9" max="9" width="15.287037037037" customWidth="1"/>
    <col min="10" max="10" width="12.5740740740741" customWidth="1"/>
    <col min="11" max="11" width="14.8611111111111" customWidth="1"/>
    <col min="12" max="12" width="15.8611111111111" customWidth="1"/>
    <col min="13" max="13" width="18.5740740740741" customWidth="1"/>
    <col min="14" max="14" width="12.5740740740741" customWidth="1"/>
    <col min="15" max="15" width="11.8611111111111" customWidth="1"/>
    <col min="16" max="16" width="8" customWidth="1"/>
  </cols>
  <sheetData>
    <row r="1" ht="21" customHeight="1" spans="2:13">
      <c r="B1" s="119" t="s">
        <v>3</v>
      </c>
      <c r="C1" s="120" t="s">
        <v>4</v>
      </c>
      <c r="D1" s="120" t="s">
        <v>57</v>
      </c>
      <c r="E1" s="120" t="s">
        <v>5</v>
      </c>
      <c r="F1" s="121" t="s">
        <v>58</v>
      </c>
      <c r="G1" s="21" t="s">
        <v>29</v>
      </c>
      <c r="H1" s="21" t="s">
        <v>59</v>
      </c>
      <c r="I1" t="s">
        <v>60</v>
      </c>
      <c r="J1" t="s">
        <v>61</v>
      </c>
      <c r="K1" s="21" t="s">
        <v>23</v>
      </c>
      <c r="L1" s="160" t="s">
        <v>62</v>
      </c>
      <c r="M1" s="161" t="s">
        <v>48</v>
      </c>
    </row>
    <row r="2" ht="18" customHeight="1" spans="2:13">
      <c r="B2" s="122">
        <v>45061</v>
      </c>
      <c r="C2" s="123">
        <v>0.0625</v>
      </c>
      <c r="D2" s="124" t="s">
        <v>63</v>
      </c>
      <c r="E2" s="125" t="s">
        <v>16</v>
      </c>
      <c r="F2" s="126">
        <v>100</v>
      </c>
      <c r="G2" s="21">
        <v>75</v>
      </c>
      <c r="H2" s="21">
        <v>182</v>
      </c>
      <c r="I2" s="162">
        <f>(6.25/2)*(G2/H2)</f>
        <v>1.28777472527473</v>
      </c>
      <c r="J2" s="162">
        <f>132.8954+I2</f>
        <v>134.183174725275</v>
      </c>
      <c r="K2" s="163">
        <f>(M4-1)*2</f>
        <v>0.0147594508178002</v>
      </c>
      <c r="L2" s="164">
        <f>SUM(I7:I27)</f>
        <v>134.183174725212</v>
      </c>
      <c r="M2" s="165">
        <f>L2-J2</f>
        <v>-6.2470917328028e-11</v>
      </c>
    </row>
    <row r="3" ht="18.95" customHeight="1" spans="12:13">
      <c r="L3" s="164" t="s">
        <v>64</v>
      </c>
      <c r="M3" s="166" t="s">
        <v>65</v>
      </c>
    </row>
    <row r="4" ht="15" spans="1:13">
      <c r="A4" s="127" t="s">
        <v>33</v>
      </c>
      <c r="B4" s="128" t="s">
        <v>34</v>
      </c>
      <c r="C4" s="128" t="s">
        <v>35</v>
      </c>
      <c r="D4" s="128" t="s">
        <v>36</v>
      </c>
      <c r="E4" s="128" t="s">
        <v>37</v>
      </c>
      <c r="F4" s="128" t="s">
        <v>66</v>
      </c>
      <c r="G4" s="129" t="s">
        <v>46</v>
      </c>
      <c r="H4" s="130"/>
      <c r="L4" s="167">
        <f>107/182</f>
        <v>0.587912087912088</v>
      </c>
      <c r="M4" s="168">
        <v>1.0073797254089</v>
      </c>
    </row>
    <row r="5" s="118" customFormat="1" ht="15" spans="1:8">
      <c r="A5" s="131">
        <v>0</v>
      </c>
      <c r="B5" s="132">
        <v>42398</v>
      </c>
      <c r="C5" s="133">
        <v>0</v>
      </c>
      <c r="D5" s="134">
        <v>0</v>
      </c>
      <c r="E5" s="133">
        <v>1</v>
      </c>
      <c r="G5" s="135"/>
      <c r="H5" s="136"/>
    </row>
    <row r="6" ht="12.9" spans="1:15">
      <c r="A6" s="137">
        <v>1</v>
      </c>
      <c r="B6" s="138">
        <v>42418</v>
      </c>
      <c r="C6" s="139">
        <f t="shared" ref="C6:C28" si="0">(B6-AsOfDate)/365</f>
        <v>0.0547945205479452</v>
      </c>
      <c r="D6" s="47">
        <v>0.000116006728524154</v>
      </c>
      <c r="E6" s="140">
        <f t="shared" ref="E6:E28" si="1">EXP(-D6)</f>
        <v>0.999883999999996</v>
      </c>
      <c r="F6" s="140"/>
      <c r="G6" s="141">
        <f t="shared" ref="G6:G12" si="2">D6/C6</f>
        <v>0.00211712279556581</v>
      </c>
      <c r="H6" s="142"/>
      <c r="I6" s="169" t="s">
        <v>67</v>
      </c>
      <c r="K6" s="170" t="s">
        <v>68</v>
      </c>
      <c r="L6" s="171" t="s">
        <v>69</v>
      </c>
      <c r="M6" s="172" t="s">
        <v>70</v>
      </c>
      <c r="N6" s="173" t="s">
        <v>71</v>
      </c>
      <c r="O6" s="174" t="s">
        <v>48</v>
      </c>
    </row>
    <row r="7" s="118" customFormat="1" spans="1:15">
      <c r="A7" s="143"/>
      <c r="B7" s="144">
        <v>42505</v>
      </c>
      <c r="C7" s="145">
        <f t="shared" si="0"/>
        <v>0.293150684931507</v>
      </c>
      <c r="D7" s="146">
        <f>a_1+b_1*(time-time1)+c_1*(time-time1)^2+d_1*(time-time1)^3</f>
        <v>0.00120049458930076</v>
      </c>
      <c r="E7" s="147">
        <f t="shared" si="1"/>
        <v>0.998800225716059</v>
      </c>
      <c r="F7" s="148">
        <f>100*6.25%/2</f>
        <v>3.125</v>
      </c>
      <c r="G7" s="141">
        <f t="shared" si="2"/>
        <v>0.0040951450943437</v>
      </c>
      <c r="H7" s="142"/>
      <c r="I7" s="175">
        <f>3.125/((M4)^0.5879)</f>
        <v>3.11152099611892</v>
      </c>
      <c r="K7" s="176">
        <f>M7*F7*E7</f>
        <v>3.12056676531293</v>
      </c>
      <c r="L7" s="177">
        <v>-0.00074756</v>
      </c>
      <c r="M7">
        <f>EXP(OAS*C7)</f>
        <v>0.999780876285081</v>
      </c>
      <c r="N7" s="118">
        <f ca="1">SUM(K7:K27)</f>
        <v>134.183101658312</v>
      </c>
      <c r="O7" s="178">
        <f ca="1">J2-N7</f>
        <v>7.30669625284008e-5</v>
      </c>
    </row>
    <row r="8" spans="1:15">
      <c r="A8" s="137">
        <v>2</v>
      </c>
      <c r="B8" s="138">
        <v>42572</v>
      </c>
      <c r="C8" s="139">
        <f t="shared" si="0"/>
        <v>0.476712328767123</v>
      </c>
      <c r="D8" s="47">
        <v>0.00229864</v>
      </c>
      <c r="E8" s="140">
        <f t="shared" si="1"/>
        <v>0.997703999849849</v>
      </c>
      <c r="F8" s="148"/>
      <c r="G8" s="141">
        <f t="shared" si="2"/>
        <v>0.00482185977011494</v>
      </c>
      <c r="H8" s="142"/>
      <c r="I8" s="175"/>
      <c r="K8" s="176"/>
      <c r="O8" s="179"/>
    </row>
    <row r="9" s="118" customFormat="1" spans="1:15">
      <c r="A9" s="143"/>
      <c r="B9" s="144">
        <v>42689</v>
      </c>
      <c r="C9" s="145">
        <f t="shared" si="0"/>
        <v>0.797260273972603</v>
      </c>
      <c r="D9" s="146">
        <f>a_2+b_2*(time-time2)+c_2*(time-time2)^2+d_2*(time-time2)^3</f>
        <v>0.00464376426334309</v>
      </c>
      <c r="E9" s="149">
        <f t="shared" si="1"/>
        <v>0.99536700133917</v>
      </c>
      <c r="F9" s="148">
        <f t="shared" ref="F9:F17" si="3">100*6.25%/2</f>
        <v>3.125</v>
      </c>
      <c r="G9" s="141">
        <f t="shared" si="2"/>
        <v>0.0058246527701726</v>
      </c>
      <c r="H9" s="142"/>
      <c r="I9" s="175">
        <f>3.125/((M4)^1.5879)</f>
        <v>3.08872703871019</v>
      </c>
      <c r="K9" s="176">
        <f t="shared" ref="K9:K25" si="4">M9*F9*E9</f>
        <v>3.11237630244716</v>
      </c>
      <c r="M9">
        <f>EXP(-OAS*C9)</f>
        <v>1.00059617753364</v>
      </c>
      <c r="O9" s="180"/>
    </row>
    <row r="10" spans="1:15">
      <c r="A10" s="137">
        <v>3</v>
      </c>
      <c r="B10" s="138">
        <v>42740</v>
      </c>
      <c r="C10" s="139">
        <f t="shared" si="0"/>
        <v>0.936986301369863</v>
      </c>
      <c r="D10" s="47">
        <v>0.00600298</v>
      </c>
      <c r="E10" s="140">
        <f t="shared" si="1"/>
        <v>0.994015001884816</v>
      </c>
      <c r="F10" s="148"/>
      <c r="G10" s="141">
        <f t="shared" si="2"/>
        <v>0.00640668918128655</v>
      </c>
      <c r="H10" s="142"/>
      <c r="K10" s="176"/>
      <c r="O10" s="179"/>
    </row>
    <row r="11" spans="1:15">
      <c r="A11" s="143"/>
      <c r="B11" s="144">
        <f>DATE(YEAR(B9),MONTH(B9)+6,DAY(B9))</f>
        <v>42870</v>
      </c>
      <c r="C11" s="145">
        <f t="shared" si="0"/>
        <v>1.29315068493151</v>
      </c>
      <c r="D11" s="146">
        <f ca="1">a_3+b_3*(time-time3)+c_3*(time-time3)^2+d_3*(time-time3)^3</f>
        <v>0.0103090674203161</v>
      </c>
      <c r="E11" s="149">
        <f ca="1" t="shared" si="1"/>
        <v>0.989743888882298</v>
      </c>
      <c r="F11" s="148">
        <f t="shared" si="3"/>
        <v>3.125</v>
      </c>
      <c r="G11" s="141">
        <f ca="1" t="shared" si="2"/>
        <v>0.00797205425511733</v>
      </c>
      <c r="H11" s="142"/>
      <c r="I11" s="21">
        <f>3.125/(M4)^2.5879</f>
        <v>3.06610006217513</v>
      </c>
      <c r="K11" s="176">
        <f ca="1" t="shared" si="4"/>
        <v>3.09594107676611</v>
      </c>
      <c r="L11" s="181"/>
      <c r="M11">
        <f>EXP(-OAS*C11)</f>
        <v>1.00096717513855</v>
      </c>
      <c r="N11" s="181"/>
      <c r="O11" s="182"/>
    </row>
    <row r="12" s="118" customFormat="1" spans="1:15">
      <c r="A12" s="143"/>
      <c r="B12" s="144">
        <f>DATE(YEAR(B11),MONTH(B11)+6,DAY(B11))</f>
        <v>43054</v>
      </c>
      <c r="C12" s="145">
        <f t="shared" si="0"/>
        <v>1.7972602739726</v>
      </c>
      <c r="D12" s="146">
        <f ca="1">a_3+b_3*(time-time3)+c_3*(time-time3)^2+d_3*(time-time3)^3</f>
        <v>0.0178120743341188</v>
      </c>
      <c r="E12" s="149">
        <f ca="1" t="shared" si="1"/>
        <v>0.982345622968423</v>
      </c>
      <c r="F12" s="148">
        <f t="shared" si="3"/>
        <v>3.125</v>
      </c>
      <c r="G12" s="141">
        <f ca="1" t="shared" si="2"/>
        <v>0.00991068160358745</v>
      </c>
      <c r="H12" s="142"/>
      <c r="I12" s="21">
        <f>3.125/((M4)^3.5879)</f>
        <v>3.04363884326795</v>
      </c>
      <c r="K12" s="176">
        <f ca="1" t="shared" si="4"/>
        <v>3.07395734432921</v>
      </c>
      <c r="L12" s="183"/>
      <c r="M12">
        <f>EXP(-OAS*C12)</f>
        <v>1.00134446287136</v>
      </c>
      <c r="N12" s="184"/>
      <c r="O12" s="185"/>
    </row>
    <row r="13" s="118" customFormat="1" spans="1:15">
      <c r="A13" s="150">
        <v>4</v>
      </c>
      <c r="B13" s="138">
        <v>43146</v>
      </c>
      <c r="C13" s="139">
        <f t="shared" si="0"/>
        <v>2.04931506849315</v>
      </c>
      <c r="D13" s="47">
        <v>0.02206024</v>
      </c>
      <c r="E13" s="140">
        <f t="shared" si="1"/>
        <v>0.978181307634362</v>
      </c>
      <c r="F13" s="148"/>
      <c r="G13" s="141">
        <f t="shared" ref="G13:G28" si="5">D13/C13</f>
        <v>0.0107646893048128</v>
      </c>
      <c r="H13" s="142"/>
      <c r="I13" s="186"/>
      <c r="K13" s="176"/>
      <c r="L13" s="187"/>
      <c r="M13"/>
      <c r="N13" s="184"/>
      <c r="O13" s="185"/>
    </row>
    <row r="14" spans="1:15">
      <c r="A14" s="150"/>
      <c r="B14" s="144">
        <v>43235</v>
      </c>
      <c r="C14" s="151">
        <f t="shared" si="0"/>
        <v>2.29315068493151</v>
      </c>
      <c r="D14" s="146">
        <f ca="1">a_4+b_4*(time-time4)+c_4*(time-time4)^2+d_4*(time-time4)^3</f>
        <v>0.0266540278886871</v>
      </c>
      <c r="E14" s="149">
        <f ca="1" t="shared" si="1"/>
        <v>0.973698055628921</v>
      </c>
      <c r="F14" s="148">
        <f t="shared" si="3"/>
        <v>3.125</v>
      </c>
      <c r="G14" s="141">
        <f ca="1" t="shared" si="5"/>
        <v>0.0116233216002041</v>
      </c>
      <c r="H14" s="142"/>
      <c r="I14" s="21">
        <f>3.125/((M4)^4.5879)</f>
        <v>3.02134216770396</v>
      </c>
      <c r="K14" s="176">
        <f ca="1" t="shared" si="4"/>
        <v>3.0480270822139</v>
      </c>
      <c r="L14" s="181"/>
      <c r="M14">
        <f>EXP(-OAS*C14)</f>
        <v>1.00171573792293</v>
      </c>
      <c r="N14" s="188"/>
      <c r="O14" s="182"/>
    </row>
    <row r="15" spans="1:15">
      <c r="A15" s="143"/>
      <c r="B15" s="144">
        <v>43419</v>
      </c>
      <c r="C15" s="151">
        <f t="shared" si="0"/>
        <v>2.7972602739726</v>
      </c>
      <c r="D15" s="146">
        <f ca="1">a_4+b_4*(time-time4)+c_4*(time-time4)^2+d_4*(time-time4)^3</f>
        <v>0.0377140955551148</v>
      </c>
      <c r="E15" s="149">
        <f ca="1" t="shared" si="1"/>
        <v>0.962988224150627</v>
      </c>
      <c r="F15" s="148">
        <f t="shared" si="3"/>
        <v>3.125</v>
      </c>
      <c r="G15" s="141">
        <f ca="1" t="shared" si="5"/>
        <v>0.0134825121230332</v>
      </c>
      <c r="H15" s="142"/>
      <c r="I15" s="21">
        <f>3.125/(M4)^5.5879</f>
        <v>2.99920883009392</v>
      </c>
      <c r="K15" s="176">
        <f ca="1" t="shared" si="4"/>
        <v>3.01563767161788</v>
      </c>
      <c r="L15" s="189"/>
      <c r="M15">
        <f>EXP(-OAS*C15)</f>
        <v>1.00209330780641</v>
      </c>
      <c r="N15" s="190"/>
      <c r="O15" s="191"/>
    </row>
    <row r="16" spans="1:15">
      <c r="A16" s="143"/>
      <c r="B16" s="144">
        <f>DATE(YEAR(B15),MONTH(B15)+6,DAY(B15))</f>
        <v>43600</v>
      </c>
      <c r="C16" s="151">
        <f t="shared" si="0"/>
        <v>3.29315068493151</v>
      </c>
      <c r="D16" s="146">
        <f ca="1">a_4+b_4*(time-time4)+c_4*(time-time4)^2+d_4*(time-time4)^3</f>
        <v>0.0492017769123898</v>
      </c>
      <c r="E16" s="149">
        <f ca="1" t="shared" si="1"/>
        <v>0.951989020912329</v>
      </c>
      <c r="F16" s="148">
        <f t="shared" si="3"/>
        <v>3.125</v>
      </c>
      <c r="G16" s="141">
        <f ca="1" t="shared" si="5"/>
        <v>0.0149406394118322</v>
      </c>
      <c r="H16" s="142"/>
      <c r="I16" s="21">
        <f>3.125/(M4)^6.5879</f>
        <v>2.97723763387885</v>
      </c>
      <c r="K16" s="176">
        <f ca="1" t="shared" si="4"/>
        <v>2.98229856580612</v>
      </c>
      <c r="L16" s="189"/>
      <c r="M16">
        <f>EXP(-OAS*C16)</f>
        <v>1.00246486051213</v>
      </c>
      <c r="N16" s="192"/>
      <c r="O16" s="182"/>
    </row>
    <row r="17" s="118" customFormat="1" spans="1:15">
      <c r="A17" s="152"/>
      <c r="B17" s="144">
        <v>43784</v>
      </c>
      <c r="C17" s="151">
        <f t="shared" si="0"/>
        <v>3.7972602739726</v>
      </c>
      <c r="D17" s="146">
        <f ca="1">a_4+b_4*(time-time4)+c_4*(time-time4)^2+d_4*(time-time4)^3</f>
        <v>0.0597185405900282</v>
      </c>
      <c r="E17" s="149">
        <f ca="1" t="shared" si="1"/>
        <v>0.942029639380714</v>
      </c>
      <c r="F17" s="148">
        <f t="shared" si="3"/>
        <v>3.125</v>
      </c>
      <c r="G17" s="141">
        <f ca="1" t="shared" si="5"/>
        <v>0.0157267440947766</v>
      </c>
      <c r="H17" s="142"/>
      <c r="I17" s="21">
        <f>3.125/(M4)^7.5819</f>
        <v>2.95555777509874</v>
      </c>
      <c r="K17" s="176">
        <f ca="1" t="shared" si="4"/>
        <v>2.95221112204471</v>
      </c>
      <c r="L17" s="186"/>
      <c r="M17">
        <f>EXP(-OAS*C17)</f>
        <v>1.00284271275727</v>
      </c>
      <c r="O17" s="180"/>
    </row>
    <row r="18" spans="1:15">
      <c r="A18" s="150">
        <v>5</v>
      </c>
      <c r="B18" s="138">
        <v>43876</v>
      </c>
      <c r="C18" s="139">
        <f t="shared" si="0"/>
        <v>4.04931506849315</v>
      </c>
      <c r="D18" s="50">
        <f ca="1">capit5</f>
        <v>0.0639778467461532</v>
      </c>
      <c r="E18" s="140">
        <f ca="1" t="shared" si="1"/>
        <v>0.938025779623766</v>
      </c>
      <c r="F18" s="148"/>
      <c r="G18" s="141">
        <f ca="1" t="shared" si="5"/>
        <v>0.0157996712194492</v>
      </c>
      <c r="H18" s="142"/>
      <c r="I18" s="100"/>
      <c r="K18" s="176"/>
      <c r="L18" s="21"/>
      <c r="O18" s="179"/>
    </row>
    <row r="19" spans="1:15">
      <c r="A19" s="143"/>
      <c r="B19" s="144">
        <v>43966</v>
      </c>
      <c r="C19" s="151">
        <f t="shared" si="0"/>
        <v>4.2958904109589</v>
      </c>
      <c r="D19" s="146">
        <f ca="1">a_5+b_5*(time-time)+c_5*(time-time5)^2+d_5*(time-time5)^3</f>
        <v>0.0636197870014095</v>
      </c>
      <c r="E19" s="149">
        <f ca="1" t="shared" si="1"/>
        <v>0.938361709032791</v>
      </c>
      <c r="F19" s="148">
        <f t="shared" ref="F19:F25" si="6">100*6.25%/2</f>
        <v>3.125</v>
      </c>
      <c r="G19" s="141">
        <f ca="1" t="shared" si="5"/>
        <v>0.0148094529690781</v>
      </c>
      <c r="H19" s="142"/>
      <c r="I19" s="175">
        <f>3.125/(M4)^8.5879</f>
        <v>2.93377692316147</v>
      </c>
      <c r="K19" s="176">
        <f ca="1" t="shared" si="4"/>
        <v>2.94181262952596</v>
      </c>
      <c r="L19" s="21"/>
      <c r="M19">
        <f>EXP(-OAS*C19)</f>
        <v>1.00321659802021</v>
      </c>
      <c r="O19" s="179"/>
    </row>
    <row r="20" spans="1:15">
      <c r="A20" s="143"/>
      <c r="B20" s="144">
        <v>44150</v>
      </c>
      <c r="C20" s="151">
        <f t="shared" si="0"/>
        <v>4.8</v>
      </c>
      <c r="D20" s="146">
        <f ca="1">a_5+b_5*(time-time)+c_5*(time-time5)^2+d_5*(time-time5)^3</f>
        <v>0.0614585951957735</v>
      </c>
      <c r="E20" s="149">
        <f ca="1" t="shared" si="1"/>
        <v>0.940391881675113</v>
      </c>
      <c r="F20" s="148">
        <f t="shared" si="6"/>
        <v>3.125</v>
      </c>
      <c r="G20" s="141">
        <f ca="1" t="shared" si="5"/>
        <v>0.0128038739991195</v>
      </c>
      <c r="H20" s="142"/>
      <c r="I20" s="100">
        <f>3.125/(M4)^9.5879</f>
        <v>2.91228505911278</v>
      </c>
      <c r="K20" s="176">
        <f ca="1" t="shared" si="4"/>
        <v>2.94928856244135</v>
      </c>
      <c r="L20" s="21"/>
      <c r="M20">
        <f>EXP(-OAS*C20)</f>
        <v>1.00359473361265</v>
      </c>
      <c r="O20" s="179"/>
    </row>
    <row r="21" s="118" customFormat="1" spans="1:15">
      <c r="A21" s="143"/>
      <c r="B21" s="144">
        <v>44331</v>
      </c>
      <c r="C21" s="151">
        <f t="shared" si="0"/>
        <v>5.2958904109589</v>
      </c>
      <c r="D21" s="146">
        <f ca="1">a_5+b_5*(time-time)+c_5*(time-time5)^2+d_5*(time-time5)^3</f>
        <v>0.0591995542865202</v>
      </c>
      <c r="E21" s="149">
        <f ca="1" t="shared" si="1"/>
        <v>0.942518666749328</v>
      </c>
      <c r="F21" s="148">
        <f t="shared" si="6"/>
        <v>3.125</v>
      </c>
      <c r="G21" s="141">
        <f ca="1" t="shared" si="5"/>
        <v>0.0111783948859699</v>
      </c>
      <c r="H21" s="142"/>
      <c r="I21" s="100">
        <f>3.125/(M4)^10.5879</f>
        <v>2.89095063723927</v>
      </c>
      <c r="K21" s="176">
        <f ca="1" t="shared" si="4"/>
        <v>2.95705465730022</v>
      </c>
      <c r="L21" s="186"/>
      <c r="M21">
        <f>EXP(-OAS*C21)</f>
        <v>1.00396684301186</v>
      </c>
      <c r="O21" s="180"/>
    </row>
    <row r="22" spans="1:15">
      <c r="A22" s="150">
        <v>6</v>
      </c>
      <c r="B22" s="138">
        <v>44423</v>
      </c>
      <c r="C22" s="139">
        <f t="shared" si="0"/>
        <v>5.54794520547945</v>
      </c>
      <c r="D22" s="50">
        <f ca="1">capit6</f>
        <v>0.0813390154478229</v>
      </c>
      <c r="E22" s="140">
        <f ca="1" t="shared" si="1"/>
        <v>0.921881106525875</v>
      </c>
      <c r="F22" s="148"/>
      <c r="G22" s="141">
        <f ca="1" t="shared" si="5"/>
        <v>0.0146611064881261</v>
      </c>
      <c r="H22" s="142"/>
      <c r="I22" s="100"/>
      <c r="K22" s="176"/>
      <c r="L22" s="21"/>
      <c r="O22" s="179"/>
    </row>
    <row r="23" spans="1:15">
      <c r="A23" s="143"/>
      <c r="B23" s="144">
        <v>44515</v>
      </c>
      <c r="C23" s="151">
        <f t="shared" si="0"/>
        <v>5.8</v>
      </c>
      <c r="D23" s="146">
        <f ca="1">a_6+b_6*(time-time6)+c_6*(time-time6)^2+d_6*(time-time6)^3</f>
        <v>0.0851567886548667</v>
      </c>
      <c r="E23" s="149">
        <f ca="1" t="shared" si="1"/>
        <v>0.918368283385065</v>
      </c>
      <c r="F23" s="148">
        <f t="shared" si="6"/>
        <v>3.125</v>
      </c>
      <c r="G23" s="141">
        <f ca="1" t="shared" si="5"/>
        <v>0.0146822049404943</v>
      </c>
      <c r="H23" s="142"/>
      <c r="I23" s="175">
        <f>3.125/(M4)^11.5879</f>
        <v>2.86977250417246</v>
      </c>
      <c r="K23" s="176">
        <f ca="1" t="shared" si="4"/>
        <v>2.88237135508678</v>
      </c>
      <c r="L23" s="21"/>
      <c r="M23">
        <f>EXP(-OAS*C23)</f>
        <v>1.00434526138903</v>
      </c>
      <c r="O23" s="179"/>
    </row>
    <row r="24" spans="1:15">
      <c r="A24" s="143"/>
      <c r="B24" s="144">
        <v>44696</v>
      </c>
      <c r="C24" s="151">
        <f t="shared" si="0"/>
        <v>6.2958904109589</v>
      </c>
      <c r="D24" s="146">
        <f ca="1">a_6+b_6*(time-time6)+c_6*(time-time6)^2+d_6*(time-time6)^3</f>
        <v>0.0937991996778056</v>
      </c>
      <c r="E24" s="149">
        <f ca="1" t="shared" si="1"/>
        <v>0.910465565665592</v>
      </c>
      <c r="F24" s="148">
        <f t="shared" si="6"/>
        <v>3.125</v>
      </c>
      <c r="G24" s="141">
        <f ca="1" t="shared" si="5"/>
        <v>0.0148984803665792</v>
      </c>
      <c r="H24" s="142"/>
      <c r="I24" s="100">
        <f>3.125/(M4)^12.5879</f>
        <v>2.84874951499308</v>
      </c>
      <c r="K24" s="176">
        <f ca="1" t="shared" si="4"/>
        <v>2.85862757091059</v>
      </c>
      <c r="L24" s="21"/>
      <c r="M24">
        <f>EXP(-OAS*C24)</f>
        <v>1.00471764906634</v>
      </c>
      <c r="O24" s="179"/>
    </row>
    <row r="25" s="118" customFormat="1" spans="1:15">
      <c r="A25" s="143"/>
      <c r="B25" s="144">
        <f>DATE(YEAR(B24),MONTH(B24)+6,DAY(B24))</f>
        <v>44880</v>
      </c>
      <c r="C25" s="151">
        <f t="shared" si="0"/>
        <v>6.8</v>
      </c>
      <c r="D25" s="146">
        <f ca="1">a_6+b_6*(time-time6)+c_6*(time-time6)^2+d_6*(time-time6)^3</f>
        <v>0.104063420706436</v>
      </c>
      <c r="E25" s="149">
        <f ca="1" t="shared" si="1"/>
        <v>0.901168142888594</v>
      </c>
      <c r="F25" s="148">
        <f t="shared" si="6"/>
        <v>3.125</v>
      </c>
      <c r="G25" s="141">
        <f ca="1" t="shared" si="5"/>
        <v>0.0153034442215347</v>
      </c>
      <c r="H25" s="142"/>
      <c r="I25" s="100">
        <f>3.125/(M4)^13.5879</f>
        <v>2.82788053316912</v>
      </c>
      <c r="K25" s="176">
        <f ca="1" t="shared" si="4"/>
        <v>2.83050253609333</v>
      </c>
      <c r="L25" s="186"/>
      <c r="M25">
        <f>EXP(-OAS*C25)</f>
        <v>1.00509635043972</v>
      </c>
      <c r="O25" s="180"/>
    </row>
    <row r="26" spans="1:15">
      <c r="A26" s="150">
        <v>7</v>
      </c>
      <c r="B26" s="138">
        <v>44972</v>
      </c>
      <c r="C26" s="139">
        <f t="shared" si="0"/>
        <v>7.05205479452055</v>
      </c>
      <c r="D26" s="62">
        <v>0.10973219610906</v>
      </c>
      <c r="E26" s="140">
        <f t="shared" si="1"/>
        <v>0.896074075290595</v>
      </c>
      <c r="F26" s="148"/>
      <c r="G26" s="141">
        <f t="shared" si="5"/>
        <v>0.0155603152990703</v>
      </c>
      <c r="H26" s="142"/>
      <c r="I26" s="100"/>
      <c r="K26" s="176"/>
      <c r="L26" s="21"/>
      <c r="M26">
        <f>EXP(-OAS*C26)</f>
        <v>1.00528575465105</v>
      </c>
      <c r="O26" s="179"/>
    </row>
    <row r="27" s="118" customFormat="1" spans="1:15">
      <c r="A27" s="143"/>
      <c r="B27" s="144">
        <v>45061</v>
      </c>
      <c r="C27" s="151">
        <f t="shared" si="0"/>
        <v>7.2958904109589</v>
      </c>
      <c r="D27" s="146">
        <f ca="1">a_7+b_7*(time-time7)+c_7*(time-time7)^2+d_7*(time-time7)^3</f>
        <v>0.115675683404643</v>
      </c>
      <c r="E27" s="149">
        <f ca="1" t="shared" si="1"/>
        <v>0.890764066025856</v>
      </c>
      <c r="F27" s="148">
        <v>103.125</v>
      </c>
      <c r="G27" s="141">
        <f ca="1" t="shared" si="5"/>
        <v>0.0158549096668023</v>
      </c>
      <c r="H27" s="142"/>
      <c r="I27" s="100">
        <f>103.125/(M4)^14.5879</f>
        <v>92.6364262063164</v>
      </c>
      <c r="K27" s="193">
        <f ca="1">M27*F27*E27</f>
        <v>92.3624284164162</v>
      </c>
      <c r="L27" s="194"/>
      <c r="M27" s="195">
        <f>EXP(-OAS*C27)</f>
        <v>1.00546901660324</v>
      </c>
      <c r="N27" s="196"/>
      <c r="O27" s="197"/>
    </row>
    <row r="28" ht="21" customHeight="1" spans="1:11">
      <c r="A28" s="153">
        <v>8</v>
      </c>
      <c r="B28" s="154">
        <v>46068</v>
      </c>
      <c r="C28" s="139">
        <f t="shared" si="0"/>
        <v>10.0547945205479</v>
      </c>
      <c r="D28" s="50">
        <v>0.194886601658413</v>
      </c>
      <c r="E28" s="140">
        <f t="shared" si="1"/>
        <v>0.822927971432333</v>
      </c>
      <c r="F28" s="155"/>
      <c r="G28" s="141">
        <f t="shared" si="5"/>
        <v>0.0193824549333299</v>
      </c>
      <c r="H28" s="142"/>
      <c r="I28" s="21"/>
      <c r="J28" s="21"/>
      <c r="K28" s="21"/>
    </row>
    <row r="29" ht="30" customHeight="1" spans="2:16">
      <c r="B29" s="156"/>
      <c r="F29" s="157" t="s">
        <v>22</v>
      </c>
      <c r="G29" s="158">
        <f ca="1">SUMPRODUCT(E7:E27,F7:F27)</f>
        <v>133.573281585088</v>
      </c>
      <c r="H29" s="158"/>
      <c r="I29" s="198"/>
      <c r="J29" s="21"/>
      <c r="K29" s="21"/>
      <c r="O29" s="118"/>
      <c r="P29" s="118"/>
    </row>
    <row r="30" ht="33.95" customHeight="1" spans="2:2">
      <c r="B30" s="156"/>
    </row>
    <row r="31" ht="30.95" customHeight="1" spans="1:8">
      <c r="A31" s="22" t="s">
        <v>49</v>
      </c>
      <c r="B31" s="22" t="s">
        <v>50</v>
      </c>
      <c r="C31" s="22" t="s">
        <v>51</v>
      </c>
      <c r="D31" s="22" t="s">
        <v>72</v>
      </c>
      <c r="E31" s="22" t="s">
        <v>52</v>
      </c>
      <c r="F31" s="22" t="s">
        <v>53</v>
      </c>
      <c r="G31" s="22" t="s">
        <v>54</v>
      </c>
      <c r="H31" s="23" t="s">
        <v>55</v>
      </c>
    </row>
    <row r="32" ht="26.1" customHeight="1" spans="1:14">
      <c r="A32" s="24">
        <f>C6</f>
        <v>0.0547945205479452</v>
      </c>
      <c r="B32" s="25">
        <f t="shared" ref="B32:B39" si="7">(E33-E32)/A32</f>
        <v>0.00211712279556581</v>
      </c>
      <c r="C32" s="25">
        <v>0.00211712</v>
      </c>
      <c r="D32" s="159"/>
      <c r="E32" s="26">
        <v>0</v>
      </c>
      <c r="F32" s="25">
        <v>0.00211712</v>
      </c>
      <c r="G32" s="26">
        <f t="shared" ref="G32:G39" si="8">(3*B32-C33-2*C32)/A32</f>
        <v>-0.0228084664107288</v>
      </c>
      <c r="H32" s="27">
        <f t="shared" ref="H32:H39" si="9">(C33+C32-2*B32)/A32^2</f>
        <v>0.416255443093939</v>
      </c>
      <c r="K32" s="199"/>
      <c r="L32" s="199"/>
      <c r="M32" s="199"/>
      <c r="N32" s="199"/>
    </row>
    <row r="33" spans="1:9">
      <c r="A33" s="29">
        <f>C8-C6</f>
        <v>0.421917808219178</v>
      </c>
      <c r="B33" s="25">
        <f t="shared" si="7"/>
        <v>0.00517312431226418</v>
      </c>
      <c r="C33" s="26">
        <f t="shared" ref="C33:C39" si="10">IF(B33*B32&gt;0,B33*B32/(B32*D33+(1-D33)*B33),0)</f>
        <v>0.00336690736810723</v>
      </c>
      <c r="D33" s="26">
        <f t="shared" ref="D33:D40" si="11">(A32+2*A33)/(3*(A32+A33))</f>
        <v>0.628352490421456</v>
      </c>
      <c r="E33" s="28">
        <f>capit1</f>
        <v>0.000116006728524154</v>
      </c>
      <c r="F33" s="26">
        <f t="shared" ref="F33:F39" si="12">IF(B33*B32&gt;0,B33*B32/(B32*D33+(1-D33)*B33),0)</f>
        <v>0.00336690736810723</v>
      </c>
      <c r="G33" s="26">
        <f t="shared" si="8"/>
        <v>0.00584856340831268</v>
      </c>
      <c r="H33" s="27">
        <f t="shared" si="9"/>
        <v>-0.00371540296828917</v>
      </c>
      <c r="I33" s="64"/>
    </row>
    <row r="34" spans="1:8">
      <c r="A34" s="29">
        <f>C10-C8</f>
        <v>0.46027397260274</v>
      </c>
      <c r="B34" s="25">
        <f t="shared" si="7"/>
        <v>0.00804811964285714</v>
      </c>
      <c r="C34" s="26">
        <f t="shared" si="10"/>
        <v>0.00631794514611191</v>
      </c>
      <c r="D34" s="26">
        <f t="shared" si="11"/>
        <v>0.507246376811594</v>
      </c>
      <c r="E34" s="146">
        <f>capit2</f>
        <v>0.00229864</v>
      </c>
      <c r="F34" s="26">
        <f t="shared" si="12"/>
        <v>0.00631794514611191</v>
      </c>
      <c r="G34" s="26">
        <f t="shared" si="8"/>
        <v>0.0016327758114776</v>
      </c>
      <c r="H34" s="27">
        <f t="shared" si="9"/>
        <v>0.00461949704397243</v>
      </c>
    </row>
    <row r="35" spans="1:8">
      <c r="A35" s="29">
        <f>C13-C10</f>
        <v>1.11232876712329</v>
      </c>
      <c r="B35" s="25">
        <f t="shared" si="7"/>
        <v>0.0144357140394089</v>
      </c>
      <c r="C35" s="26">
        <f t="shared" si="10"/>
        <v>0.0107569444272292</v>
      </c>
      <c r="D35" s="26">
        <f t="shared" si="11"/>
        <v>0.569105691056911</v>
      </c>
      <c r="E35" s="26">
        <f>capit3</f>
        <v>0.00600298</v>
      </c>
      <c r="F35" s="26">
        <f t="shared" si="12"/>
        <v>0.0107569444272292</v>
      </c>
      <c r="G35" s="26">
        <f ca="1" t="shared" si="8"/>
        <v>0.00394865233712535</v>
      </c>
      <c r="H35" s="27">
        <f ca="1" t="shared" si="9"/>
        <v>-0.000576613775243066</v>
      </c>
    </row>
    <row r="36" spans="1:8">
      <c r="A36" s="30">
        <f>C18-C13</f>
        <v>2</v>
      </c>
      <c r="B36" s="25">
        <f ca="1" t="shared" si="7"/>
        <v>0.0209588033730766</v>
      </c>
      <c r="C36" s="26">
        <f ca="1" t="shared" si="10"/>
        <v>0.0174010536778152</v>
      </c>
      <c r="D36" s="26">
        <f t="shared" si="11"/>
        <v>0.547535211267606</v>
      </c>
      <c r="E36" s="26">
        <f>capit4</f>
        <v>0.02206024</v>
      </c>
      <c r="F36" s="26">
        <f ca="1" t="shared" si="12"/>
        <v>0.0174010536778152</v>
      </c>
      <c r="G36" s="26">
        <f ca="1" t="shared" si="8"/>
        <v>0.00647223768065555</v>
      </c>
      <c r="H36" s="27">
        <f ca="1" t="shared" si="9"/>
        <v>-0.00234668141651241</v>
      </c>
    </row>
    <row r="37" spans="1:8">
      <c r="A37" s="30">
        <f>C22-C18</f>
        <v>1.4986301369863</v>
      </c>
      <c r="B37" s="25">
        <f ca="1" t="shared" si="7"/>
        <v>0.0115846920952641</v>
      </c>
      <c r="C37" s="26">
        <f ca="1" t="shared" si="10"/>
        <v>0.0151298274022884</v>
      </c>
      <c r="D37" s="26">
        <f t="shared" si="11"/>
        <v>0.476115896632733</v>
      </c>
      <c r="E37" s="26">
        <f ca="1">capit5</f>
        <v>0.0639778467461532</v>
      </c>
      <c r="F37" s="26">
        <f ca="1" t="shared" si="12"/>
        <v>0.0151298274022884</v>
      </c>
      <c r="G37" s="26">
        <f ca="1" t="shared" si="8"/>
        <v>-0.00658312722212524</v>
      </c>
      <c r="H37" s="27">
        <f ca="1" t="shared" si="9"/>
        <v>0.00281426566131066</v>
      </c>
    </row>
    <row r="38" spans="1:8">
      <c r="A38" s="30">
        <f>C26-C22</f>
        <v>1.5041095890411</v>
      </c>
      <c r="B38" s="25">
        <f ca="1" t="shared" si="7"/>
        <v>0.0188770691099299</v>
      </c>
      <c r="C38" s="26">
        <f ca="1" t="shared" si="10"/>
        <v>0.0143600943319072</v>
      </c>
      <c r="D38" s="26">
        <f t="shared" si="11"/>
        <v>0.500304136253041</v>
      </c>
      <c r="E38" s="26">
        <f ca="1">capit6</f>
        <v>0.0813390154478229</v>
      </c>
      <c r="F38" s="26">
        <f ca="1" t="shared" si="12"/>
        <v>0.0143600943319072</v>
      </c>
      <c r="G38" s="26">
        <f ca="1" t="shared" si="8"/>
        <v>0.0031439881753323</v>
      </c>
      <c r="H38" s="27">
        <f ca="1" t="shared" si="9"/>
        <v>-9.36762177693261e-5</v>
      </c>
    </row>
    <row r="39" spans="1:8">
      <c r="A39" s="31">
        <f>C28-C26</f>
        <v>3.0027397260274</v>
      </c>
      <c r="B39" s="25">
        <f t="shared" si="7"/>
        <v>0.0283589033079506</v>
      </c>
      <c r="C39" s="26">
        <f ca="1" t="shared" si="10"/>
        <v>0.0231821159036261</v>
      </c>
      <c r="D39" s="26">
        <f t="shared" si="11"/>
        <v>0.555420466058764</v>
      </c>
      <c r="E39" s="32">
        <v>0.10973219610906</v>
      </c>
      <c r="F39" s="26">
        <f ca="1" t="shared" si="12"/>
        <v>0.0231821159036261</v>
      </c>
      <c r="G39" s="26">
        <f ca="1" t="shared" si="8"/>
        <v>0.00517206269394055</v>
      </c>
      <c r="H39" s="27">
        <f ca="1" t="shared" si="9"/>
        <v>-0.00114829843936715</v>
      </c>
    </row>
    <row r="40" spans="1:8">
      <c r="A40" s="21"/>
      <c r="B40" s="26"/>
      <c r="C40" s="26">
        <v>0.02318212</v>
      </c>
      <c r="D40" s="26">
        <f t="shared" si="11"/>
        <v>0.333333333333333</v>
      </c>
      <c r="E40" s="26">
        <v>0.194886601658413</v>
      </c>
      <c r="F40" s="26"/>
      <c r="G40" s="26"/>
      <c r="H40" s="26"/>
    </row>
  </sheetData>
  <mergeCells count="26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V31"/>
  <sheetViews>
    <sheetView topLeftCell="A13" workbookViewId="0">
      <selection activeCell="K10" sqref="K10"/>
    </sheetView>
  </sheetViews>
  <sheetFormatPr defaultColWidth="9.13888888888889" defaultRowHeight="12.3"/>
  <cols>
    <col min="1" max="1" width="7.13888888888889" customWidth="1"/>
    <col min="2" max="2" width="12.287037037037" customWidth="1"/>
    <col min="3" max="3" width="11.712962962963" customWidth="1"/>
    <col min="4" max="4" width="11.5740740740741" customWidth="1"/>
    <col min="5" max="5" width="12.8611111111111" customWidth="1"/>
    <col min="6" max="6" width="11.5740740740741" customWidth="1"/>
    <col min="7" max="7" width="11.712962962963" customWidth="1"/>
    <col min="8" max="8" width="13.1388888888889" customWidth="1"/>
    <col min="9" max="9" width="12.5740740740741" customWidth="1"/>
    <col min="12" max="12" width="12.1388888888889" customWidth="1"/>
    <col min="13" max="13" width="12.712962962963" customWidth="1"/>
    <col min="14" max="14" width="12" customWidth="1"/>
    <col min="15" max="15" width="14.287037037037" customWidth="1"/>
    <col min="16" max="16" width="13" customWidth="1"/>
    <col min="17" max="17" width="12.287037037037" customWidth="1"/>
    <col min="18" max="18" width="14.287037037037" customWidth="1"/>
    <col min="19" max="19" width="12" customWidth="1"/>
    <col min="20" max="20" width="12.287037037037" customWidth="1"/>
    <col min="21" max="21" width="15.5740740740741" customWidth="1"/>
    <col min="22" max="22" width="12.5740740740741" customWidth="1"/>
  </cols>
  <sheetData>
    <row r="2" ht="15" spans="1:9">
      <c r="A2" s="1"/>
      <c r="B2" s="84"/>
      <c r="C2" s="1"/>
      <c r="D2" s="1"/>
      <c r="E2" s="1"/>
      <c r="F2" s="1"/>
      <c r="G2" s="1"/>
      <c r="H2" s="1"/>
      <c r="I2" s="1"/>
    </row>
    <row r="3" spans="1:9">
      <c r="A3" s="1"/>
      <c r="B3" s="85"/>
      <c r="C3" s="1"/>
      <c r="D3" s="1"/>
      <c r="E3" s="1"/>
      <c r="F3" s="1"/>
      <c r="G3" s="1"/>
      <c r="H3" s="1"/>
      <c r="I3" s="1"/>
    </row>
    <row r="4" ht="14.1" spans="1:22">
      <c r="A4" s="3"/>
      <c r="B4" s="6"/>
      <c r="C4" s="6"/>
      <c r="D4" s="6"/>
      <c r="E4" s="6"/>
      <c r="F4" s="6"/>
      <c r="G4" s="1"/>
      <c r="H4" s="1"/>
      <c r="I4" s="1"/>
      <c r="K4" s="33"/>
      <c r="L4" s="34"/>
      <c r="M4" s="34"/>
      <c r="N4" s="34"/>
      <c r="O4" s="34"/>
      <c r="P4" s="34" t="s">
        <v>73</v>
      </c>
      <c r="Q4" s="34"/>
      <c r="R4" s="34"/>
      <c r="S4" s="34" t="s">
        <v>74</v>
      </c>
      <c r="T4" s="34"/>
      <c r="U4" s="34"/>
      <c r="V4" s="70"/>
    </row>
    <row r="5" ht="30.6" spans="1:22">
      <c r="A5" s="7" t="s">
        <v>75</v>
      </c>
      <c r="B5" s="86" t="s">
        <v>76</v>
      </c>
      <c r="C5" s="87" t="s">
        <v>3</v>
      </c>
      <c r="D5" s="87" t="s">
        <v>5</v>
      </c>
      <c r="E5" s="87" t="s">
        <v>77</v>
      </c>
      <c r="F5" s="88" t="s">
        <v>78</v>
      </c>
      <c r="G5" s="3"/>
      <c r="H5" s="3"/>
      <c r="I5" s="3"/>
      <c r="K5" s="35" t="s">
        <v>75</v>
      </c>
      <c r="L5" s="36" t="s">
        <v>34</v>
      </c>
      <c r="M5" s="36" t="s">
        <v>35</v>
      </c>
      <c r="N5" s="36" t="s">
        <v>36</v>
      </c>
      <c r="O5" s="36" t="s">
        <v>37</v>
      </c>
      <c r="P5" s="36" t="s">
        <v>79</v>
      </c>
      <c r="Q5" s="36" t="s">
        <v>80</v>
      </c>
      <c r="R5" s="36" t="s">
        <v>48</v>
      </c>
      <c r="S5" s="36" t="s">
        <v>79</v>
      </c>
      <c r="T5" s="36" t="s">
        <v>80</v>
      </c>
      <c r="U5" s="36" t="s">
        <v>48</v>
      </c>
      <c r="V5" s="71"/>
    </row>
    <row r="6" ht="21.95" customHeight="1" spans="1:22">
      <c r="A6" s="3">
        <v>1</v>
      </c>
      <c r="B6" s="89">
        <v>42401</v>
      </c>
      <c r="C6" s="9">
        <v>42430</v>
      </c>
      <c r="D6" s="8" t="s">
        <v>11</v>
      </c>
      <c r="E6" s="8" t="s">
        <v>81</v>
      </c>
      <c r="F6" s="90">
        <v>0.00425</v>
      </c>
      <c r="G6" s="3"/>
      <c r="H6" s="3"/>
      <c r="I6" s="3"/>
      <c r="K6" s="38" t="s">
        <v>82</v>
      </c>
      <c r="L6" s="39">
        <v>42398</v>
      </c>
      <c r="M6" s="40">
        <v>0</v>
      </c>
      <c r="N6" s="41">
        <v>0</v>
      </c>
      <c r="O6" s="42">
        <v>1</v>
      </c>
      <c r="P6" s="42"/>
      <c r="Q6" s="42"/>
      <c r="R6" s="42"/>
      <c r="S6" s="42"/>
      <c r="T6" s="42"/>
      <c r="U6" s="42"/>
      <c r="V6" s="113"/>
    </row>
    <row r="7" ht="21.95" customHeight="1" spans="1:22">
      <c r="A7" s="3">
        <v>3</v>
      </c>
      <c r="B7" s="89">
        <v>42401</v>
      </c>
      <c r="C7" s="9">
        <v>42491</v>
      </c>
      <c r="D7" s="8" t="s">
        <v>11</v>
      </c>
      <c r="E7" s="8" t="s">
        <v>81</v>
      </c>
      <c r="F7" s="90">
        <v>0.005524</v>
      </c>
      <c r="G7" s="3"/>
      <c r="H7" s="3"/>
      <c r="I7" s="3"/>
      <c r="K7" s="38" t="s">
        <v>83</v>
      </c>
      <c r="L7" s="39">
        <v>42401</v>
      </c>
      <c r="M7" s="55">
        <f t="shared" ref="M7:M29" si="0">(L7-bsof)/365</f>
        <v>0.00821917808219178</v>
      </c>
      <c r="N7" s="104">
        <f ca="1">aa_0+bb_0*(ttt-timet0)+cc_0*(ttt-timet0)^2+dd_0*(ttt-timet0)^3</f>
        <v>3.49251785065562e-5</v>
      </c>
      <c r="O7" s="42">
        <f ca="1">EXP(-N7)</f>
        <v>0.99996507543137</v>
      </c>
      <c r="P7" s="42"/>
      <c r="Q7" s="42"/>
      <c r="R7" s="42"/>
      <c r="S7" s="42"/>
      <c r="T7" s="42"/>
      <c r="U7" s="42"/>
      <c r="V7" s="114"/>
    </row>
    <row r="8" ht="27" customHeight="1" spans="1:22">
      <c r="A8" s="3">
        <v>6</v>
      </c>
      <c r="B8" s="89">
        <v>42401</v>
      </c>
      <c r="C8" s="5">
        <v>42583</v>
      </c>
      <c r="D8" s="8" t="s">
        <v>11</v>
      </c>
      <c r="E8" s="8" t="s">
        <v>81</v>
      </c>
      <c r="F8" s="91">
        <v>0.006012</v>
      </c>
      <c r="G8" s="3"/>
      <c r="H8" s="3"/>
      <c r="I8" s="3"/>
      <c r="K8" s="44">
        <v>1</v>
      </c>
      <c r="L8" s="45">
        <v>42430</v>
      </c>
      <c r="M8" s="46">
        <f t="shared" si="0"/>
        <v>0.0876712328767123</v>
      </c>
      <c r="N8" s="105">
        <v>0.000377228004809112</v>
      </c>
      <c r="O8" s="48">
        <f t="shared" ref="O8:O29" si="1">EXP(-N8)</f>
        <v>0.999622843136729</v>
      </c>
      <c r="P8" s="49">
        <f ca="1">(O7/O8-1)*360/(L8-L7)</f>
        <v>0.00425000381710346</v>
      </c>
      <c r="Q8" s="73">
        <v>0.00425</v>
      </c>
      <c r="R8" s="115">
        <f ca="1" t="shared" ref="R8:R11" si="2">Q8-P8</f>
        <v>-3.81710346317177e-9</v>
      </c>
      <c r="S8" s="75"/>
      <c r="T8" s="75"/>
      <c r="U8" s="75"/>
      <c r="V8" s="114"/>
    </row>
    <row r="9" ht="21" customHeight="1" spans="1:22">
      <c r="A9" s="3">
        <v>12</v>
      </c>
      <c r="B9" s="89">
        <v>42401</v>
      </c>
      <c r="C9" s="92">
        <v>42767</v>
      </c>
      <c r="D9" s="93" t="s">
        <v>11</v>
      </c>
      <c r="E9" s="93" t="s">
        <v>81</v>
      </c>
      <c r="F9" s="94">
        <v>0.006704</v>
      </c>
      <c r="G9" s="3"/>
      <c r="H9" s="3"/>
      <c r="I9" s="3"/>
      <c r="K9" s="44">
        <v>3</v>
      </c>
      <c r="L9" s="45">
        <v>42491</v>
      </c>
      <c r="M9" s="46">
        <f t="shared" si="0"/>
        <v>0.254794520547945</v>
      </c>
      <c r="N9" s="105">
        <v>0.00131280132959346</v>
      </c>
      <c r="O9" s="48">
        <f t="shared" si="1"/>
        <v>0.998688060017105</v>
      </c>
      <c r="P9" s="49">
        <f t="shared" ref="P9:P11" si="3">(O8/O9-1)*360/(L9-L8)</f>
        <v>0.00552399999358068</v>
      </c>
      <c r="Q9" s="73">
        <v>0.005524</v>
      </c>
      <c r="R9" s="115">
        <f ca="1" t="shared" si="2"/>
        <v>6.41931993672351e-12</v>
      </c>
      <c r="S9" s="75"/>
      <c r="T9" s="75"/>
      <c r="U9" s="75"/>
      <c r="V9" s="114"/>
    </row>
    <row r="10" ht="27" customHeight="1" spans="1:22">
      <c r="A10" s="95"/>
      <c r="B10" s="95"/>
      <c r="C10" s="95"/>
      <c r="D10" s="95"/>
      <c r="E10" s="95"/>
      <c r="F10" s="95"/>
      <c r="G10" s="3"/>
      <c r="H10" s="3"/>
      <c r="I10" s="3"/>
      <c r="K10" s="106">
        <v>6</v>
      </c>
      <c r="L10" s="45">
        <v>42583</v>
      </c>
      <c r="M10" s="46">
        <f t="shared" si="0"/>
        <v>0.506849315068493</v>
      </c>
      <c r="N10" s="105">
        <v>0.002848022272252</v>
      </c>
      <c r="O10" s="48">
        <f t="shared" si="1"/>
        <v>0.997156029495758</v>
      </c>
      <c r="P10" s="49">
        <f t="shared" si="3"/>
        <v>0.00601199999069785</v>
      </c>
      <c r="Q10" s="49">
        <v>0.006012</v>
      </c>
      <c r="R10" s="115">
        <f ca="1" t="shared" si="2"/>
        <v>9.30215019595559e-12</v>
      </c>
      <c r="S10" s="75"/>
      <c r="T10" s="75"/>
      <c r="U10" s="75"/>
      <c r="V10" s="114"/>
    </row>
    <row r="11" ht="21" customHeight="1" spans="1:22">
      <c r="A11" s="3"/>
      <c r="B11" s="86" t="s">
        <v>76</v>
      </c>
      <c r="C11" s="87" t="s">
        <v>3</v>
      </c>
      <c r="D11" s="96" t="s">
        <v>84</v>
      </c>
      <c r="E11" s="96"/>
      <c r="F11" s="96" t="s">
        <v>85</v>
      </c>
      <c r="G11" s="96"/>
      <c r="H11" s="96"/>
      <c r="I11" s="88" t="s">
        <v>86</v>
      </c>
      <c r="K11" s="44">
        <v>12</v>
      </c>
      <c r="L11" s="45">
        <v>42767</v>
      </c>
      <c r="M11" s="46">
        <f t="shared" si="0"/>
        <v>1.01095890410959</v>
      </c>
      <c r="N11" s="105">
        <v>0.00626865411841703</v>
      </c>
      <c r="O11" s="48">
        <f t="shared" si="1"/>
        <v>0.99375095290254</v>
      </c>
      <c r="P11" s="49">
        <f t="shared" si="3"/>
        <v>0.00670399998971208</v>
      </c>
      <c r="Q11" s="49">
        <v>0.006704</v>
      </c>
      <c r="R11" s="115">
        <f ca="1" t="shared" si="2"/>
        <v>1.02879198216055e-11</v>
      </c>
      <c r="S11" s="75"/>
      <c r="T11" s="75"/>
      <c r="U11" s="75"/>
      <c r="V11" s="114"/>
    </row>
    <row r="12" ht="33" customHeight="1" spans="1:22">
      <c r="A12" s="7" t="s">
        <v>75</v>
      </c>
      <c r="B12" s="97"/>
      <c r="C12" s="8"/>
      <c r="D12" s="8" t="s">
        <v>5</v>
      </c>
      <c r="E12" s="8" t="s">
        <v>87</v>
      </c>
      <c r="F12" s="8" t="s">
        <v>88</v>
      </c>
      <c r="G12" s="8" t="s">
        <v>5</v>
      </c>
      <c r="H12" s="8" t="s">
        <v>77</v>
      </c>
      <c r="I12" s="107"/>
      <c r="K12" s="57"/>
      <c r="L12" s="54">
        <v>42948</v>
      </c>
      <c r="M12" s="55">
        <f t="shared" si="0"/>
        <v>1.50684931506849</v>
      </c>
      <c r="N12" s="104">
        <f ca="1">aa_4+bb_4*(ttt-timet4)+cc_4*(ttt-timet4)^2+dd_4*(ttt-timet4)^3</f>
        <v>0.0111001542272029</v>
      </c>
      <c r="O12" s="42">
        <f ca="1" t="shared" si="1"/>
        <v>0.988961225167892</v>
      </c>
      <c r="P12" s="42"/>
      <c r="Q12" s="77"/>
      <c r="R12" s="77"/>
      <c r="S12" s="42"/>
      <c r="T12" s="42"/>
      <c r="U12" s="42"/>
      <c r="V12" s="114"/>
    </row>
    <row r="13" ht="18.95" customHeight="1" spans="1:22">
      <c r="A13" s="15">
        <v>24</v>
      </c>
      <c r="B13" s="98">
        <v>42401</v>
      </c>
      <c r="C13" s="16">
        <v>43132</v>
      </c>
      <c r="D13" s="17" t="s">
        <v>16</v>
      </c>
      <c r="E13" s="17" t="s">
        <v>89</v>
      </c>
      <c r="F13" s="15" t="s">
        <v>90</v>
      </c>
      <c r="G13" s="17" t="s">
        <v>11</v>
      </c>
      <c r="H13" s="17" t="s">
        <v>81</v>
      </c>
      <c r="I13" s="108">
        <v>0.008401</v>
      </c>
      <c r="K13" s="52">
        <v>24</v>
      </c>
      <c r="L13" s="53">
        <v>43132</v>
      </c>
      <c r="M13" s="46">
        <f t="shared" si="0"/>
        <v>2.01095890410959</v>
      </c>
      <c r="N13" s="109">
        <v>0.0168409771579129</v>
      </c>
      <c r="O13" s="48">
        <f t="shared" si="1"/>
        <v>0.983300039369478</v>
      </c>
      <c r="P13" s="42"/>
      <c r="Q13" s="77"/>
      <c r="R13" s="77"/>
      <c r="S13" s="78">
        <f ca="1">(O7-O13)/(SUM(O10:O13)*1/2)</f>
        <v>0.00840995639020768</v>
      </c>
      <c r="T13" s="79">
        <v>0.00841</v>
      </c>
      <c r="U13" s="78">
        <f ca="1">T13-S13</f>
        <v>4.36097923189882e-8</v>
      </c>
      <c r="V13" s="114"/>
    </row>
    <row r="14" ht="20.1" customHeight="1" spans="1:22">
      <c r="A14" s="15">
        <v>36</v>
      </c>
      <c r="B14" s="98">
        <v>42401</v>
      </c>
      <c r="C14" s="16">
        <v>43497</v>
      </c>
      <c r="D14" s="17" t="s">
        <v>16</v>
      </c>
      <c r="E14" s="17" t="s">
        <v>89</v>
      </c>
      <c r="F14" s="99" t="s">
        <v>90</v>
      </c>
      <c r="G14" s="17" t="s">
        <v>11</v>
      </c>
      <c r="H14" s="17" t="s">
        <v>81</v>
      </c>
      <c r="I14" s="108">
        <v>0.01001</v>
      </c>
      <c r="K14" s="57"/>
      <c r="L14" s="54">
        <v>43313</v>
      </c>
      <c r="M14" s="55">
        <f t="shared" si="0"/>
        <v>2.50684931506849</v>
      </c>
      <c r="N14" s="56">
        <f ca="1">aa_5+bb_5*(ttt-timet5)+cc_5*(ttt-timet5)^2+dd_5*(ttt-timet5)^3</f>
        <v>0.0228099917450823</v>
      </c>
      <c r="O14" s="42">
        <f ca="1" t="shared" si="1"/>
        <v>0.977448189354653</v>
      </c>
      <c r="P14" s="42"/>
      <c r="Q14" s="77"/>
      <c r="R14" s="77"/>
      <c r="S14" s="78"/>
      <c r="T14" s="42"/>
      <c r="U14" s="78"/>
      <c r="V14" s="114"/>
    </row>
    <row r="15" ht="21.95" customHeight="1" spans="1:22">
      <c r="A15" s="100">
        <v>60</v>
      </c>
      <c r="B15" s="98">
        <v>42401</v>
      </c>
      <c r="C15" s="16">
        <v>44228</v>
      </c>
      <c r="D15" s="17" t="s">
        <v>16</v>
      </c>
      <c r="E15" s="17" t="s">
        <v>89</v>
      </c>
      <c r="F15" s="99" t="s">
        <v>90</v>
      </c>
      <c r="G15" s="17" t="s">
        <v>11</v>
      </c>
      <c r="H15" s="17" t="s">
        <v>81</v>
      </c>
      <c r="I15" s="110">
        <v>0.01288</v>
      </c>
      <c r="K15" s="52">
        <v>36</v>
      </c>
      <c r="L15" s="53">
        <v>43497</v>
      </c>
      <c r="M15" s="46">
        <f t="shared" si="0"/>
        <v>3.01095890410959</v>
      </c>
      <c r="N15" s="109">
        <v>0.0300669796574063</v>
      </c>
      <c r="O15" s="48">
        <f t="shared" si="1"/>
        <v>0.970380535615934</v>
      </c>
      <c r="P15" s="42"/>
      <c r="Q15" s="77"/>
      <c r="R15" s="77"/>
      <c r="S15" s="78">
        <f ca="1">(O7-O15)/(SUM(O10:O15)*1/2)</f>
        <v>0.0100099999902032</v>
      </c>
      <c r="T15" s="79">
        <v>0.01001</v>
      </c>
      <c r="U15" s="78">
        <f ca="1">T15-S15</f>
        <v>9.79679358470431e-12</v>
      </c>
      <c r="V15" s="114"/>
    </row>
    <row r="16" ht="18.95" customHeight="1" spans="1:22">
      <c r="A16" s="100">
        <v>120</v>
      </c>
      <c r="B16" s="98">
        <v>42401</v>
      </c>
      <c r="C16" s="101">
        <v>46054</v>
      </c>
      <c r="D16" s="102" t="s">
        <v>16</v>
      </c>
      <c r="E16" s="102" t="s">
        <v>89</v>
      </c>
      <c r="F16" s="103" t="s">
        <v>90</v>
      </c>
      <c r="G16" s="102" t="s">
        <v>11</v>
      </c>
      <c r="H16" s="102" t="s">
        <v>81</v>
      </c>
      <c r="I16" s="111">
        <v>0.01798</v>
      </c>
      <c r="K16" s="57"/>
      <c r="L16" s="54">
        <v>43678</v>
      </c>
      <c r="M16" s="55">
        <f t="shared" si="0"/>
        <v>3.50684931506849</v>
      </c>
      <c r="N16" s="56">
        <f ca="1">aa_6+bb_6*(ttt-timet6)+cc_6*(ttt-timet6)^2+dd_6*(ttt-timet6)^3</f>
        <v>0.0390316873629014</v>
      </c>
      <c r="O16" s="42">
        <f ca="1" t="shared" si="1"/>
        <v>0.961720234285462</v>
      </c>
      <c r="P16" s="42"/>
      <c r="Q16" s="77"/>
      <c r="R16" s="77"/>
      <c r="S16" s="78"/>
      <c r="T16" s="42"/>
      <c r="U16" s="78"/>
      <c r="V16" s="114"/>
    </row>
    <row r="17" ht="18.95" customHeight="1" spans="11:22">
      <c r="K17" s="59"/>
      <c r="L17" s="60">
        <v>43862</v>
      </c>
      <c r="M17" s="55">
        <f t="shared" si="0"/>
        <v>4.01095890410959</v>
      </c>
      <c r="N17" s="56">
        <f ca="1">aa_6+bb_6*(ttt-timet6)+cc_6*(ttt-timet6)^2+dd_6*(ttt-timet6)^3</f>
        <v>0.0493655306703254</v>
      </c>
      <c r="O17" s="42">
        <f ca="1" t="shared" si="1"/>
        <v>0.951833141895877</v>
      </c>
      <c r="P17" s="42"/>
      <c r="Q17" s="77"/>
      <c r="R17" s="77"/>
      <c r="S17" s="78"/>
      <c r="T17" s="42"/>
      <c r="U17" s="78"/>
      <c r="V17" s="114"/>
    </row>
    <row r="18" ht="18" customHeight="1" spans="11:22">
      <c r="K18" s="59"/>
      <c r="L18" s="60">
        <v>44044</v>
      </c>
      <c r="M18" s="55">
        <f t="shared" si="0"/>
        <v>4.50958904109589</v>
      </c>
      <c r="N18" s="56">
        <f ca="1">aa_6+bb_6*(ttt-timet6)+cc_6*(ttt-timet6)^2+dd_6*(ttt-timet6)^3</f>
        <v>0.0602021288076358</v>
      </c>
      <c r="O18" s="42">
        <f ca="1" t="shared" si="1"/>
        <v>0.941574195079097</v>
      </c>
      <c r="P18" s="42"/>
      <c r="Q18" s="77"/>
      <c r="R18" s="77"/>
      <c r="S18" s="78"/>
      <c r="T18" s="80"/>
      <c r="U18" s="78"/>
      <c r="V18" s="114"/>
    </row>
    <row r="19" ht="18.95" customHeight="1" spans="1:22">
      <c r="A19" s="21"/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3" t="s">
        <v>55</v>
      </c>
      <c r="I19" s="61" t="s">
        <v>72</v>
      </c>
      <c r="K19" s="44">
        <v>60</v>
      </c>
      <c r="L19" s="45">
        <v>44228</v>
      </c>
      <c r="M19" s="46">
        <f t="shared" si="0"/>
        <v>5.01369863013699</v>
      </c>
      <c r="N19" s="105">
        <v>0.0711742918891409</v>
      </c>
      <c r="O19" s="48">
        <f t="shared" si="1"/>
        <v>0.931299560021746</v>
      </c>
      <c r="P19" s="42"/>
      <c r="Q19" s="77"/>
      <c r="R19" s="77"/>
      <c r="S19" s="78">
        <f ca="1">(O11-O19)/(SUM(O10:O19)*1/2)</f>
        <v>0.012879996216781</v>
      </c>
      <c r="T19" s="81">
        <v>0.01288</v>
      </c>
      <c r="U19" s="78">
        <f ca="1">T19-S19</f>
        <v>3.78321898981959e-9</v>
      </c>
      <c r="V19" s="114"/>
    </row>
    <row r="20" ht="21" customHeight="1" spans="1:22">
      <c r="A20" s="21">
        <v>0</v>
      </c>
      <c r="B20" s="24">
        <f>t_1-t0</f>
        <v>0.0876712328767123</v>
      </c>
      <c r="C20" s="25">
        <f ca="1">(E21-E20)/B20</f>
        <v>0.00430275692985393</v>
      </c>
      <c r="D20" s="25">
        <f ca="1">(E21-E20)/B20</f>
        <v>0.00430275692985393</v>
      </c>
      <c r="E20" s="26">
        <v>0</v>
      </c>
      <c r="F20" s="25">
        <f ca="1">(E21-E20)/B20</f>
        <v>0.00430275692985393</v>
      </c>
      <c r="G20" s="26">
        <f ca="1">(3*C20-D21-2*D20)/B20</f>
        <v>-0.00718613721429752</v>
      </c>
      <c r="H20" s="27">
        <f ca="1">(D21+D20-2*C20)/B20^2</f>
        <v>0.0819668776005811</v>
      </c>
      <c r="I20" s="63"/>
      <c r="K20" s="57"/>
      <c r="L20" s="54">
        <v>44409</v>
      </c>
      <c r="M20" s="55">
        <f t="shared" si="0"/>
        <v>5.50958904109589</v>
      </c>
      <c r="N20" s="56">
        <f ca="1" t="shared" ref="N20:N28" si="4">aa_7+bb_7*(ttt-timet7)+cc_7*(ttt-timet7)^2+dd_7*(ttt-timet7)^3</f>
        <v>0.0818714256618382</v>
      </c>
      <c r="O20" s="42">
        <f ca="1" t="shared" si="1"/>
        <v>0.921390418243971</v>
      </c>
      <c r="P20" s="42"/>
      <c r="Q20" s="82"/>
      <c r="R20" s="77"/>
      <c r="S20" s="78"/>
      <c r="T20" s="42"/>
      <c r="U20" s="116"/>
      <c r="V20" s="114"/>
    </row>
    <row r="21" ht="18" customHeight="1" spans="1:22">
      <c r="A21" s="21">
        <v>1</v>
      </c>
      <c r="B21" s="24">
        <f>t_2-t_1</f>
        <v>0.167123287671233</v>
      </c>
      <c r="C21" s="25">
        <f ca="1" t="shared" ref="C21:C27" si="5">(E22-E21)/B21</f>
        <v>0.00559810268108667</v>
      </c>
      <c r="D21" s="26">
        <f ca="1">IF(C21*C20&gt;0,C21*C20/(C20*I21+(1-I21)*C21),0)</f>
        <v>0.00493277443905262</v>
      </c>
      <c r="E21" s="28">
        <f ca="1">capit_1</f>
        <v>0.000377228004809112</v>
      </c>
      <c r="F21" s="26">
        <f ca="1">IF(C21*C20&gt;0,C21*C20/(C20*I21+(1-I21)*C21),0)</f>
        <v>0.00493277443905262</v>
      </c>
      <c r="G21" s="26">
        <f ca="1" t="shared" ref="G21:G27" si="6">(3*C21-D22-2*D21)/B21</f>
        <v>0.00645047690915595</v>
      </c>
      <c r="H21" s="27">
        <f ca="1" t="shared" ref="H21:H27" si="7">(D22+D21-2*C21)/B21^2</f>
        <v>-0.0147760046593312</v>
      </c>
      <c r="I21" s="26">
        <f>(B20+2*B21)/(3*(B20+B21))</f>
        <v>0.551971326164875</v>
      </c>
      <c r="K21" s="57"/>
      <c r="L21" s="54">
        <v>44593</v>
      </c>
      <c r="M21" s="55">
        <f t="shared" si="0"/>
        <v>6.01369863013699</v>
      </c>
      <c r="N21" s="56">
        <f ca="1" t="shared" si="4"/>
        <v>0.0929127005609587</v>
      </c>
      <c r="O21" s="42">
        <f ca="1" t="shared" si="1"/>
        <v>0.911273050449866</v>
      </c>
      <c r="P21" s="42"/>
      <c r="Q21" s="82"/>
      <c r="R21" s="77"/>
      <c r="S21" s="78"/>
      <c r="T21" s="42"/>
      <c r="U21" s="116"/>
      <c r="V21" s="114"/>
    </row>
    <row r="22" ht="18.95" customHeight="1" spans="1:22">
      <c r="A22" s="21">
        <v>2</v>
      </c>
      <c r="B22" s="29">
        <f>t_3-t_2</f>
        <v>0.252054794520548</v>
      </c>
      <c r="C22" s="25">
        <f ca="1" t="shared" si="5"/>
        <v>0.00609082221815616</v>
      </c>
      <c r="D22" s="26">
        <f ca="1" t="shared" ref="D22:D27" si="8">IF(C22*C21&gt;0,C22*C21/(C21*I22+(1-I22)*C22),0)</f>
        <v>0.00585073425704925</v>
      </c>
      <c r="E22" s="28">
        <f ca="1">capit_2</f>
        <v>0.00131280132959346</v>
      </c>
      <c r="F22" s="26">
        <f ca="1" t="shared" ref="F22:F27" si="9">IF(C22*C21&gt;0,C22*C21/(C21*I22+(1-I22)*C22),0)</f>
        <v>0.00585073425704925</v>
      </c>
      <c r="G22" s="26">
        <f ca="1" t="shared" si="6"/>
        <v>0.000447786722788329</v>
      </c>
      <c r="H22" s="27">
        <f ca="1" t="shared" si="7"/>
        <v>0.00200248587750899</v>
      </c>
      <c r="I22" s="26">
        <f t="shared" ref="I22:I28" si="10">(B21+2*B22)/(3*(B21+B22))</f>
        <v>0.533769063180828</v>
      </c>
      <c r="K22" s="57"/>
      <c r="L22" s="54">
        <v>44774</v>
      </c>
      <c r="M22" s="55">
        <f t="shared" si="0"/>
        <v>6.50958904109589</v>
      </c>
      <c r="N22" s="56">
        <f ca="1" t="shared" si="4"/>
        <v>0.103897213292861</v>
      </c>
      <c r="O22" s="42">
        <f ca="1" t="shared" si="1"/>
        <v>0.901317936162851</v>
      </c>
      <c r="P22" s="42"/>
      <c r="Q22" s="82"/>
      <c r="R22" s="77"/>
      <c r="S22" s="78"/>
      <c r="T22" s="42"/>
      <c r="U22" s="116"/>
      <c r="V22" s="114"/>
    </row>
    <row r="23" ht="21" customHeight="1" spans="1:22">
      <c r="A23" s="21">
        <v>3</v>
      </c>
      <c r="B23" s="29">
        <f>M11-M10</f>
        <v>0.504109589041096</v>
      </c>
      <c r="C23" s="25">
        <f ca="1" t="shared" si="5"/>
        <v>0.00678549252092519</v>
      </c>
      <c r="D23" s="26">
        <f ca="1" t="shared" si="8"/>
        <v>0.00645813134996855</v>
      </c>
      <c r="E23" s="26">
        <f ca="1">capit_3</f>
        <v>0.002848022272252</v>
      </c>
      <c r="F23" s="26">
        <f ca="1" t="shared" si="9"/>
        <v>0.00645813134996855</v>
      </c>
      <c r="G23" s="26">
        <f ca="1" t="shared" si="6"/>
        <v>-0.00204055785964345</v>
      </c>
      <c r="H23" s="27">
        <f ca="1" t="shared" si="7"/>
        <v>0.00533602781942207</v>
      </c>
      <c r="I23" s="26">
        <f t="shared" si="10"/>
        <v>0.555555555555555</v>
      </c>
      <c r="K23" s="57"/>
      <c r="L23" s="54">
        <v>44958</v>
      </c>
      <c r="M23" s="55">
        <f t="shared" si="0"/>
        <v>7.01369863013699</v>
      </c>
      <c r="N23" s="56">
        <f ca="1" t="shared" si="4"/>
        <v>0.115147324128293</v>
      </c>
      <c r="O23" s="42">
        <f ca="1" t="shared" si="1"/>
        <v>0.891234833839498</v>
      </c>
      <c r="P23" s="42"/>
      <c r="Q23" s="82"/>
      <c r="R23" s="77"/>
      <c r="S23" s="78"/>
      <c r="T23" s="42"/>
      <c r="U23" s="116"/>
      <c r="V23" s="114"/>
    </row>
    <row r="24" ht="18.95" customHeight="1" spans="1:22">
      <c r="A24" s="21">
        <v>4</v>
      </c>
      <c r="B24" s="30">
        <f>M13-M11</f>
        <v>1</v>
      </c>
      <c r="C24" s="25">
        <f ca="1" t="shared" si="5"/>
        <v>0.0105723230394959</v>
      </c>
      <c r="D24" s="26">
        <f ca="1" t="shared" si="8"/>
        <v>0.00846887964687793</v>
      </c>
      <c r="E24" s="26">
        <f ca="1">capit_4</f>
        <v>0.00626865411841703</v>
      </c>
      <c r="F24" s="26">
        <f ca="1" t="shared" si="9"/>
        <v>0.00846887964687793</v>
      </c>
      <c r="G24" s="26">
        <f ca="1" t="shared" si="6"/>
        <v>0.00302799894926588</v>
      </c>
      <c r="H24" s="27">
        <f ca="1" t="shared" si="7"/>
        <v>-0.000924555556647937</v>
      </c>
      <c r="I24" s="26">
        <f t="shared" si="10"/>
        <v>0.554948391013965</v>
      </c>
      <c r="K24" s="57"/>
      <c r="L24" s="54">
        <v>45139</v>
      </c>
      <c r="M24" s="55">
        <f t="shared" si="0"/>
        <v>7.50958904109589</v>
      </c>
      <c r="N24" s="56">
        <f ca="1" t="shared" si="4"/>
        <v>0.126255319906125</v>
      </c>
      <c r="O24" s="42">
        <f ca="1" t="shared" si="1"/>
        <v>0.881389781696517</v>
      </c>
      <c r="P24" s="42"/>
      <c r="Q24" s="82"/>
      <c r="R24" s="77"/>
      <c r="S24" s="78"/>
      <c r="T24" s="42"/>
      <c r="U24" s="116"/>
      <c r="V24" s="114"/>
    </row>
    <row r="25" ht="18.95" customHeight="1" spans="1:22">
      <c r="A25" s="21">
        <v>5</v>
      </c>
      <c r="B25" s="30">
        <f>M15-M13</f>
        <v>1</v>
      </c>
      <c r="C25" s="25">
        <f ca="1" t="shared" si="5"/>
        <v>0.0132260024994934</v>
      </c>
      <c r="D25" s="26">
        <f ca="1" t="shared" si="8"/>
        <v>0.0117512108754659</v>
      </c>
      <c r="E25" s="26">
        <f ca="1">capit_5</f>
        <v>0.0168409771579129</v>
      </c>
      <c r="F25" s="26">
        <f ca="1" t="shared" si="9"/>
        <v>0.0117512108754659</v>
      </c>
      <c r="G25" s="26">
        <f ca="1" t="shared" si="6"/>
        <v>-0.000307659918131552</v>
      </c>
      <c r="H25" s="27">
        <f ca="1" t="shared" si="7"/>
        <v>0.00178245154215907</v>
      </c>
      <c r="I25" s="26">
        <f t="shared" si="10"/>
        <v>0.5</v>
      </c>
      <c r="K25" s="57"/>
      <c r="L25" s="54">
        <v>45323</v>
      </c>
      <c r="M25" s="55">
        <f t="shared" si="0"/>
        <v>8.01369863013699</v>
      </c>
      <c r="N25" s="56">
        <f ca="1" t="shared" si="4"/>
        <v>0.137547654257745</v>
      </c>
      <c r="O25" s="42">
        <f ca="1" t="shared" si="1"/>
        <v>0.87149281866419</v>
      </c>
      <c r="P25" s="42"/>
      <c r="Q25" s="82"/>
      <c r="R25" s="77"/>
      <c r="S25" s="78"/>
      <c r="T25" s="42"/>
      <c r="U25" s="116"/>
      <c r="V25" s="114"/>
    </row>
    <row r="26" ht="20.1" customHeight="1" spans="1:22">
      <c r="A26" s="21">
        <v>6</v>
      </c>
      <c r="B26" s="30">
        <f>M19-M15</f>
        <v>2.0027397260274</v>
      </c>
      <c r="C26" s="25">
        <f ca="1" t="shared" si="5"/>
        <v>0.0205255389392382</v>
      </c>
      <c r="D26" s="26">
        <f ca="1" t="shared" si="8"/>
        <v>0.01648324566568</v>
      </c>
      <c r="E26" s="26">
        <f ca="1">capit_6</f>
        <v>0.0300669796574063</v>
      </c>
      <c r="F26" s="26">
        <f ca="1" t="shared" si="9"/>
        <v>0.01648324566568</v>
      </c>
      <c r="G26" s="26">
        <f ca="1" t="shared" si="6"/>
        <v>0.00361005157724749</v>
      </c>
      <c r="H26" s="27">
        <f ca="1" t="shared" si="7"/>
        <v>-0.000794746230008366</v>
      </c>
      <c r="I26" s="26">
        <f t="shared" si="10"/>
        <v>0.555656934306569</v>
      </c>
      <c r="K26" s="57"/>
      <c r="L26" s="54">
        <v>45505</v>
      </c>
      <c r="M26" s="55">
        <f t="shared" si="0"/>
        <v>8.51232876712329</v>
      </c>
      <c r="N26" s="56">
        <f ca="1" t="shared" si="4"/>
        <v>0.148676196627022</v>
      </c>
      <c r="O26" s="42">
        <f ca="1" t="shared" si="1"/>
        <v>0.86184813905646</v>
      </c>
      <c r="P26" s="42"/>
      <c r="Q26" s="82"/>
      <c r="R26" s="77"/>
      <c r="S26" s="78"/>
      <c r="T26" s="42"/>
      <c r="U26" s="116"/>
      <c r="V26" s="114"/>
    </row>
    <row r="27" ht="18" customHeight="1" spans="1:22">
      <c r="A27" s="21">
        <v>7</v>
      </c>
      <c r="B27" s="31">
        <f>M29-M19</f>
        <v>5.0027397260274</v>
      </c>
      <c r="C27" s="25">
        <f ca="1" t="shared" si="5"/>
        <v>0.0220694447096831</v>
      </c>
      <c r="D27" s="26">
        <f ca="1" t="shared" si="8"/>
        <v>0.0213801317795931</v>
      </c>
      <c r="E27" s="32">
        <f ca="1">capit_7</f>
        <v>0.0711742918891409</v>
      </c>
      <c r="F27" s="26">
        <f ca="1" t="shared" si="9"/>
        <v>0.0213801317795931</v>
      </c>
      <c r="G27" s="26">
        <f ca="1" t="shared" si="6"/>
        <v>0.000413361614457862</v>
      </c>
      <c r="H27" s="27">
        <f ca="1" t="shared" si="7"/>
        <v>-5.50847222331858e-5</v>
      </c>
      <c r="I27" s="26">
        <f t="shared" si="10"/>
        <v>0.571372702385608</v>
      </c>
      <c r="K27" s="57"/>
      <c r="L27" s="60">
        <v>45689</v>
      </c>
      <c r="M27" s="55">
        <f t="shared" si="0"/>
        <v>9.01643835616438</v>
      </c>
      <c r="N27" s="56">
        <f ca="1" t="shared" si="4"/>
        <v>0.159843572421689</v>
      </c>
      <c r="O27" s="42">
        <f ca="1" t="shared" si="1"/>
        <v>0.852277098181839</v>
      </c>
      <c r="P27" s="42"/>
      <c r="Q27" s="82"/>
      <c r="R27" s="77"/>
      <c r="S27" s="78"/>
      <c r="T27" s="42"/>
      <c r="U27" s="116"/>
      <c r="V27" s="114"/>
    </row>
    <row r="28" ht="21" customHeight="1" spans="1:22">
      <c r="A28" s="21"/>
      <c r="B28" s="21"/>
      <c r="C28" s="26"/>
      <c r="D28" s="26">
        <v>0.02138013</v>
      </c>
      <c r="E28" s="26">
        <f>capit_8</f>
        <v>0.181581979669638</v>
      </c>
      <c r="F28" s="26"/>
      <c r="G28" s="26"/>
      <c r="H28" s="26"/>
      <c r="I28" s="26">
        <f t="shared" si="10"/>
        <v>0.333333333333333</v>
      </c>
      <c r="K28" s="59"/>
      <c r="L28" s="60">
        <v>45870</v>
      </c>
      <c r="M28" s="55">
        <f t="shared" si="0"/>
        <v>9.51232876712329</v>
      </c>
      <c r="N28" s="56">
        <f ca="1" t="shared" si="4"/>
        <v>0.170706061671415</v>
      </c>
      <c r="O28" s="42">
        <f ca="1" t="shared" si="1"/>
        <v>0.843069347449572</v>
      </c>
      <c r="P28" s="42"/>
      <c r="Q28" s="82"/>
      <c r="R28" s="77"/>
      <c r="S28" s="78"/>
      <c r="T28" s="80"/>
      <c r="U28" s="116"/>
      <c r="V28" s="114"/>
    </row>
    <row r="29" ht="21" customHeight="1" spans="4:22">
      <c r="D29" s="26"/>
      <c r="I29" s="64"/>
      <c r="K29" s="65">
        <v>120</v>
      </c>
      <c r="L29" s="66">
        <v>46054</v>
      </c>
      <c r="M29" s="67">
        <f t="shared" si="0"/>
        <v>10.0164383561644</v>
      </c>
      <c r="N29" s="112">
        <v>0.181581979669638</v>
      </c>
      <c r="O29" s="48">
        <f t="shared" si="1"/>
        <v>0.83394987556576</v>
      </c>
      <c r="P29" s="68"/>
      <c r="Q29" s="68"/>
      <c r="R29" s="68"/>
      <c r="S29" s="78">
        <f ca="1">(O7-O29)/(SUM(O10:O29)*1/2)</f>
        <v>0.0179799848285722</v>
      </c>
      <c r="T29" s="83">
        <v>0.01798</v>
      </c>
      <c r="U29" s="78">
        <f ca="1">T29-S29</f>
        <v>1.51714277633885e-8</v>
      </c>
      <c r="V29" s="114"/>
    </row>
    <row r="30" spans="12:21">
      <c r="L30" s="69"/>
      <c r="U30" s="117"/>
    </row>
    <row r="31" spans="21:21">
      <c r="U31" s="117"/>
    </row>
  </sheetData>
  <mergeCells count="9">
    <mergeCell ref="B4:F4"/>
    <mergeCell ref="P4:R4"/>
    <mergeCell ref="S4:U4"/>
    <mergeCell ref="D11:E11"/>
    <mergeCell ref="F11:H11"/>
    <mergeCell ref="B11:B12"/>
    <mergeCell ref="C11:C12"/>
    <mergeCell ref="I11:I12"/>
    <mergeCell ref="V4:V5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V30"/>
  <sheetViews>
    <sheetView workbookViewId="0">
      <selection activeCell="F22" sqref="F22"/>
    </sheetView>
  </sheetViews>
  <sheetFormatPr defaultColWidth="9.13888888888889" defaultRowHeight="12.3"/>
  <cols>
    <col min="1" max="1" width="7.13888888888889" customWidth="1"/>
    <col min="2" max="2" width="12.287037037037" customWidth="1"/>
    <col min="3" max="3" width="11.712962962963" customWidth="1"/>
    <col min="4" max="4" width="11.5740740740741" customWidth="1"/>
    <col min="5" max="5" width="12.8611111111111" customWidth="1"/>
    <col min="6" max="6" width="11.5740740740741" customWidth="1"/>
    <col min="7" max="7" width="11.712962962963" customWidth="1"/>
    <col min="8" max="8" width="13.1388888888889" customWidth="1"/>
    <col min="9" max="9" width="12.1388888888889" customWidth="1"/>
    <col min="10" max="10" width="7.57407407407407" customWidth="1"/>
    <col min="12" max="12" width="11.5740740740741" customWidth="1"/>
    <col min="13" max="13" width="12.712962962963" customWidth="1"/>
    <col min="14" max="14" width="12" customWidth="1"/>
    <col min="16" max="16" width="13" customWidth="1"/>
    <col min="17" max="17" width="12.287037037037" customWidth="1"/>
    <col min="18" max="18" width="11.5740740740741" customWidth="1"/>
    <col min="19" max="19" width="12" customWidth="1"/>
    <col min="20" max="20" width="12.287037037037" customWidth="1"/>
    <col min="21" max="21" width="11.5740740740741" customWidth="1"/>
    <col min="22" max="22" width="12.5740740740741" customWidth="1"/>
  </cols>
  <sheetData>
    <row r="2" ht="17.1" customHeight="1" spans="1:9">
      <c r="A2" s="1"/>
      <c r="B2" s="2"/>
      <c r="C2" s="3"/>
      <c r="D2" s="3"/>
      <c r="E2" s="3"/>
      <c r="F2" s="3"/>
      <c r="G2" s="3"/>
      <c r="H2" s="1"/>
      <c r="I2" s="1"/>
    </row>
    <row r="3" ht="18" customHeight="1" spans="1:9">
      <c r="A3" s="1"/>
      <c r="B3" s="4"/>
      <c r="C3" s="5"/>
      <c r="D3" s="5"/>
      <c r="E3" s="3"/>
      <c r="F3" s="3"/>
      <c r="G3" s="3"/>
      <c r="H3" s="1"/>
      <c r="I3" s="1"/>
    </row>
    <row r="4" ht="14.1" spans="1:22">
      <c r="A4" s="3"/>
      <c r="B4" s="6"/>
      <c r="C4" s="6"/>
      <c r="D4" s="6"/>
      <c r="E4" s="6"/>
      <c r="F4" s="6"/>
      <c r="G4" s="3"/>
      <c r="H4" s="1"/>
      <c r="I4" s="1"/>
      <c r="K4" s="33"/>
      <c r="L4" s="34"/>
      <c r="M4" s="34"/>
      <c r="N4" s="34"/>
      <c r="O4" s="34"/>
      <c r="P4" s="34"/>
      <c r="Q4" s="34"/>
      <c r="R4" s="34"/>
      <c r="S4" s="34"/>
      <c r="T4" s="34"/>
      <c r="U4" s="34"/>
      <c r="V4" s="70"/>
    </row>
    <row r="5" ht="15.3" spans="1:22">
      <c r="A5" s="7"/>
      <c r="B5" s="8"/>
      <c r="C5" s="8"/>
      <c r="D5" s="8"/>
      <c r="E5" s="8"/>
      <c r="F5" s="8"/>
      <c r="G5" s="3"/>
      <c r="H5" s="1"/>
      <c r="I5" s="1"/>
      <c r="K5" s="35" t="s">
        <v>75</v>
      </c>
      <c r="L5" s="36" t="s">
        <v>34</v>
      </c>
      <c r="M5" s="36" t="s">
        <v>35</v>
      </c>
      <c r="N5" s="36" t="s">
        <v>36</v>
      </c>
      <c r="O5" s="36" t="s">
        <v>37</v>
      </c>
      <c r="P5" s="37" t="s">
        <v>91</v>
      </c>
      <c r="Q5" s="36" t="s">
        <v>92</v>
      </c>
      <c r="R5" s="36" t="s">
        <v>93</v>
      </c>
      <c r="S5" s="36"/>
      <c r="T5" s="36"/>
      <c r="U5" s="36"/>
      <c r="V5" s="71"/>
    </row>
    <row r="6" ht="21.95" customHeight="1" spans="1:22">
      <c r="A6" s="3"/>
      <c r="B6" s="9"/>
      <c r="C6" s="9"/>
      <c r="D6" s="8" t="s">
        <v>24</v>
      </c>
      <c r="E6" s="8"/>
      <c r="F6" s="10"/>
      <c r="G6" s="3"/>
      <c r="H6" s="1"/>
      <c r="I6" s="1"/>
      <c r="K6" s="38" t="s">
        <v>82</v>
      </c>
      <c r="L6" s="39">
        <v>42398</v>
      </c>
      <c r="M6" s="40">
        <v>0</v>
      </c>
      <c r="N6" s="41">
        <v>0</v>
      </c>
      <c r="O6" s="42">
        <v>1</v>
      </c>
      <c r="P6" s="43">
        <f ca="1">Q6/R6</f>
        <v>0.0206104158900589</v>
      </c>
      <c r="Q6" s="42">
        <f ca="1">O12-O28</f>
        <v>0.131851582591305</v>
      </c>
      <c r="R6" s="42">
        <f ca="1">(SUM(O13:O28)-O14-O19)*1/2</f>
        <v>6.3973276082654</v>
      </c>
      <c r="S6" s="42"/>
      <c r="T6" s="42"/>
      <c r="U6" s="42"/>
      <c r="V6" s="72"/>
    </row>
    <row r="7" ht="27" customHeight="1" spans="1:22">
      <c r="A7" s="3"/>
      <c r="B7" s="9"/>
      <c r="C7" s="5"/>
      <c r="D7" s="8"/>
      <c r="E7" s="8"/>
      <c r="F7" s="11"/>
      <c r="G7" s="1"/>
      <c r="H7" s="1"/>
      <c r="I7" s="1"/>
      <c r="K7" s="44">
        <v>1</v>
      </c>
      <c r="L7" s="45">
        <v>42430</v>
      </c>
      <c r="M7" s="46">
        <f t="shared" ref="M7:M29" si="0">(L7-bsof)/365</f>
        <v>0.0876712328767123</v>
      </c>
      <c r="N7" s="47">
        <f ca="1">capit_1</f>
        <v>0.000377228004809112</v>
      </c>
      <c r="O7" s="48">
        <f ca="1" t="shared" ref="O7:O18" si="1">EXP(-N7)</f>
        <v>0.999622843136729</v>
      </c>
      <c r="P7" s="49"/>
      <c r="Q7" s="73"/>
      <c r="R7" s="74"/>
      <c r="S7" s="75"/>
      <c r="T7" s="75"/>
      <c r="U7" s="75"/>
      <c r="V7" s="76"/>
    </row>
    <row r="8" ht="21" customHeight="1" spans="1:22">
      <c r="A8" s="3"/>
      <c r="B8" s="9"/>
      <c r="C8" s="12"/>
      <c r="D8" s="8"/>
      <c r="E8" s="8"/>
      <c r="F8" s="11"/>
      <c r="G8" s="1"/>
      <c r="H8" s="1"/>
      <c r="I8" s="1"/>
      <c r="K8" s="44">
        <v>3</v>
      </c>
      <c r="L8" s="45">
        <v>42491</v>
      </c>
      <c r="M8" s="46">
        <f t="shared" si="0"/>
        <v>0.254794520547945</v>
      </c>
      <c r="N8" s="47">
        <f ca="1">capit_2</f>
        <v>0.00131280132959346</v>
      </c>
      <c r="O8" s="48">
        <f ca="1" t="shared" si="1"/>
        <v>0.998688060017105</v>
      </c>
      <c r="P8" s="49"/>
      <c r="Q8" s="73"/>
      <c r="R8" s="74"/>
      <c r="S8" s="75"/>
      <c r="T8" s="75"/>
      <c r="U8" s="75"/>
      <c r="V8" s="76"/>
    </row>
    <row r="9" ht="27" customHeight="1" spans="7:22">
      <c r="G9" s="1"/>
      <c r="H9" s="1"/>
      <c r="I9" s="1"/>
      <c r="K9" s="44">
        <v>6</v>
      </c>
      <c r="L9" s="45">
        <v>42583</v>
      </c>
      <c r="M9" s="46">
        <f t="shared" si="0"/>
        <v>0.506849315068493</v>
      </c>
      <c r="N9" s="50">
        <f ca="1">capit_3</f>
        <v>0.002848022272252</v>
      </c>
      <c r="O9" s="48">
        <f ca="1" t="shared" si="1"/>
        <v>0.997156029495758</v>
      </c>
      <c r="P9" s="49"/>
      <c r="Q9" s="49"/>
      <c r="R9" s="74"/>
      <c r="S9" s="75"/>
      <c r="T9" s="75"/>
      <c r="U9" s="75"/>
      <c r="V9" s="76"/>
    </row>
    <row r="10" ht="21" customHeight="1" spans="1:22">
      <c r="A10" s="1"/>
      <c r="B10" s="13"/>
      <c r="C10" s="13"/>
      <c r="D10" s="14"/>
      <c r="E10" s="14"/>
      <c r="F10" s="14"/>
      <c r="G10" s="14"/>
      <c r="H10" s="14"/>
      <c r="I10" s="13"/>
      <c r="K10" s="44">
        <v>12</v>
      </c>
      <c r="L10" s="45">
        <v>42767</v>
      </c>
      <c r="M10" s="46">
        <f t="shared" si="0"/>
        <v>1.01095890410959</v>
      </c>
      <c r="N10" s="50">
        <f ca="1">capit_4</f>
        <v>0.00626865411841703</v>
      </c>
      <c r="O10" s="48">
        <f ca="1" t="shared" si="1"/>
        <v>0.99375095290254</v>
      </c>
      <c r="P10" s="49"/>
      <c r="Q10" s="49"/>
      <c r="R10" s="74"/>
      <c r="S10" s="75"/>
      <c r="T10" s="75"/>
      <c r="U10" s="75"/>
      <c r="V10" s="76"/>
    </row>
    <row r="11" ht="18.95" customHeight="1" spans="1:22">
      <c r="A11" s="15"/>
      <c r="B11" s="16"/>
      <c r="C11" s="16"/>
      <c r="D11" s="17"/>
      <c r="E11" s="17"/>
      <c r="F11" s="18"/>
      <c r="G11" s="17"/>
      <c r="H11" s="17"/>
      <c r="I11" s="51"/>
      <c r="K11" s="52">
        <v>24</v>
      </c>
      <c r="L11" s="53">
        <v>43132</v>
      </c>
      <c r="M11" s="46">
        <f t="shared" si="0"/>
        <v>2.01095890410959</v>
      </c>
      <c r="N11" s="50">
        <f ca="1">capit_5</f>
        <v>0.0168409771579129</v>
      </c>
      <c r="O11" s="48">
        <f ca="1" t="shared" si="1"/>
        <v>0.983300039369478</v>
      </c>
      <c r="P11" s="42"/>
      <c r="Q11" s="77"/>
      <c r="R11" s="77"/>
      <c r="S11" s="78"/>
      <c r="T11" s="79"/>
      <c r="U11" s="42"/>
      <c r="V11" s="76"/>
    </row>
    <row r="12" ht="20.1" customHeight="1" spans="1:22">
      <c r="A12" s="15"/>
      <c r="B12" s="16"/>
      <c r="C12" s="16"/>
      <c r="D12" s="17"/>
      <c r="E12" s="17"/>
      <c r="F12" s="19"/>
      <c r="G12" s="17"/>
      <c r="H12" s="17"/>
      <c r="I12" s="51"/>
      <c r="K12" s="35" t="s">
        <v>76</v>
      </c>
      <c r="L12" s="54">
        <v>43174</v>
      </c>
      <c r="M12" s="55">
        <f t="shared" si="0"/>
        <v>2.12602739726027</v>
      </c>
      <c r="N12" s="56">
        <f ca="1">aa_5+bb_5*(ttt-timet5)+cc_5*(ttt-timet5)^2+dd_5*(ttt-timet5)^3</f>
        <v>0.0181918133681164</v>
      </c>
      <c r="O12" s="42">
        <f ca="1" t="shared" si="1"/>
        <v>0.981972658809511</v>
      </c>
      <c r="P12" s="42"/>
      <c r="Q12" s="77"/>
      <c r="R12" s="77"/>
      <c r="S12" s="78"/>
      <c r="T12" s="42"/>
      <c r="U12" s="42"/>
      <c r="V12" s="76"/>
    </row>
    <row r="13" ht="20.1" customHeight="1" spans="1:22">
      <c r="A13" s="15"/>
      <c r="B13" s="16"/>
      <c r="C13" s="16"/>
      <c r="D13" s="17"/>
      <c r="E13" s="17"/>
      <c r="F13" s="19"/>
      <c r="G13" s="17"/>
      <c r="H13" s="17"/>
      <c r="I13" s="51"/>
      <c r="K13" s="57"/>
      <c r="L13" s="54">
        <v>43358</v>
      </c>
      <c r="M13" s="55">
        <f t="shared" si="0"/>
        <v>2.63013698630137</v>
      </c>
      <c r="N13" s="56">
        <f ca="1">aa_5+bb_5*(ttt-timet5)+cc_5*(ttt-timet5)^2+dd_5*(ttt-timet5)^3</f>
        <v>0.0244222391298727</v>
      </c>
      <c r="O13" s="42">
        <f ca="1" t="shared" si="1"/>
        <v>0.975873570746046</v>
      </c>
      <c r="P13" s="42"/>
      <c r="Q13" s="77"/>
      <c r="R13" s="77"/>
      <c r="S13" s="78"/>
      <c r="T13" s="42"/>
      <c r="U13" s="42"/>
      <c r="V13" s="76"/>
    </row>
    <row r="14" ht="21.95" customHeight="1" spans="1:22">
      <c r="A14" s="20"/>
      <c r="B14" s="16"/>
      <c r="C14" s="16"/>
      <c r="D14" s="17"/>
      <c r="E14" s="17"/>
      <c r="F14" s="19"/>
      <c r="G14" s="17"/>
      <c r="H14" s="17"/>
      <c r="I14" s="58"/>
      <c r="K14" s="52">
        <v>36</v>
      </c>
      <c r="L14" s="53">
        <v>43497</v>
      </c>
      <c r="M14" s="46">
        <f t="shared" si="0"/>
        <v>3.01095890410959</v>
      </c>
      <c r="N14" s="50">
        <f ca="1">capit_6</f>
        <v>0.0300669796574063</v>
      </c>
      <c r="O14" s="48">
        <f ca="1" t="shared" si="1"/>
        <v>0.970380535615934</v>
      </c>
      <c r="P14" s="42"/>
      <c r="Q14" s="77"/>
      <c r="R14" s="77"/>
      <c r="S14" s="78"/>
      <c r="T14" s="79"/>
      <c r="U14" s="42"/>
      <c r="V14" s="76"/>
    </row>
    <row r="15" ht="18.95" customHeight="1" spans="1:22">
      <c r="A15" s="20"/>
      <c r="B15" s="16"/>
      <c r="C15" s="16"/>
      <c r="D15" s="17"/>
      <c r="E15" s="17"/>
      <c r="F15" s="19"/>
      <c r="G15" s="17"/>
      <c r="H15" s="17"/>
      <c r="I15" s="58"/>
      <c r="K15" s="57"/>
      <c r="L15" s="54">
        <v>43539</v>
      </c>
      <c r="M15" s="55">
        <f t="shared" si="0"/>
        <v>3.12602739726027</v>
      </c>
      <c r="N15" s="56">
        <f ca="1">aa_6+bb_6*(ttt-timet6)+cc_6*(ttt-timet6)^2+dd_6*(ttt-timet6)^3</f>
        <v>0.0320102708474543</v>
      </c>
      <c r="O15" s="42">
        <f ca="1" t="shared" si="1"/>
        <v>0.968496634746918</v>
      </c>
      <c r="P15" s="42"/>
      <c r="Q15" s="77"/>
      <c r="R15" s="77"/>
      <c r="S15" s="78"/>
      <c r="T15" s="42"/>
      <c r="U15" s="42"/>
      <c r="V15" s="76"/>
    </row>
    <row r="16" ht="18.95" customHeight="1" spans="11:22">
      <c r="K16" s="59"/>
      <c r="L16" s="60">
        <v>43723</v>
      </c>
      <c r="M16" s="55">
        <f t="shared" si="0"/>
        <v>3.63013698630137</v>
      </c>
      <c r="N16" s="56">
        <f ca="1">aa_6+bb_6*(ttt-timet6)+cc_6*(ttt-timet6)^2+dd_6*(ttt-timet6)^3</f>
        <v>0.0414684130876986</v>
      </c>
      <c r="O16" s="42">
        <f ca="1" t="shared" si="1"/>
        <v>0.959379638703386</v>
      </c>
      <c r="P16" s="42"/>
      <c r="Q16" s="77"/>
      <c r="R16" s="77"/>
      <c r="S16" s="78"/>
      <c r="T16" s="42"/>
      <c r="U16" s="42"/>
      <c r="V16" s="76"/>
    </row>
    <row r="17" ht="18" customHeight="1" spans="11:22">
      <c r="K17" s="59"/>
      <c r="L17" s="60">
        <v>43905</v>
      </c>
      <c r="M17" s="55">
        <f t="shared" si="0"/>
        <v>4.12876712328767</v>
      </c>
      <c r="N17" s="56">
        <f ca="1">aa_6+bb_6*(ttt-timet6)+cc_6*(ttt-timet6)^2+dd_6*(ttt-timet6)^3</f>
        <v>0.0518928104152562</v>
      </c>
      <c r="O17" s="42">
        <f ca="1" t="shared" si="1"/>
        <v>0.949430630463814</v>
      </c>
      <c r="P17" s="42"/>
      <c r="Q17" s="77"/>
      <c r="R17" s="77"/>
      <c r="S17" s="78"/>
      <c r="T17" s="80"/>
      <c r="U17" s="42"/>
      <c r="V17" s="76"/>
    </row>
    <row r="18" ht="18" customHeight="1" spans="11:22">
      <c r="K18" s="59"/>
      <c r="L18" s="60">
        <v>44089</v>
      </c>
      <c r="M18" s="55">
        <f t="shared" si="0"/>
        <v>4.63287671232877</v>
      </c>
      <c r="N18" s="56">
        <f ca="1">aa_6+bb_6*(ttt-timet6)+cc_6*(ttt-timet6)^2+dd_6*(ttt-timet6)^3</f>
        <v>0.0629072135859796</v>
      </c>
      <c r="O18" s="42">
        <f ca="1" t="shared" si="1"/>
        <v>0.939030598928981</v>
      </c>
      <c r="P18" s="42"/>
      <c r="Q18" s="77"/>
      <c r="R18" s="77"/>
      <c r="S18" s="78"/>
      <c r="T18" s="80"/>
      <c r="U18" s="42"/>
      <c r="V18" s="76"/>
    </row>
    <row r="19" ht="18.95" customHeight="1" spans="1:22">
      <c r="A19" s="21"/>
      <c r="B19" s="22" t="s">
        <v>49</v>
      </c>
      <c r="C19" s="22" t="s">
        <v>50</v>
      </c>
      <c r="D19" s="22" t="s">
        <v>51</v>
      </c>
      <c r="E19" s="22" t="s">
        <v>52</v>
      </c>
      <c r="F19" s="22" t="s">
        <v>53</v>
      </c>
      <c r="G19" s="22" t="s">
        <v>54</v>
      </c>
      <c r="H19" s="23" t="s">
        <v>55</v>
      </c>
      <c r="I19" s="61" t="s">
        <v>72</v>
      </c>
      <c r="K19" s="44">
        <v>60</v>
      </c>
      <c r="L19" s="45">
        <v>44228</v>
      </c>
      <c r="M19" s="46">
        <f t="shared" si="0"/>
        <v>5.01369863013699</v>
      </c>
      <c r="N19" s="62">
        <f ca="1">'Problem 5'!capit_7</f>
        <v>0.0711742918891409</v>
      </c>
      <c r="O19" s="48">
        <f ca="1" t="shared" ref="O19:O29" si="2">EXP(-N19)</f>
        <v>0.931299560021746</v>
      </c>
      <c r="P19" s="42"/>
      <c r="Q19" s="77"/>
      <c r="R19" s="77"/>
      <c r="S19" s="78"/>
      <c r="T19" s="81"/>
      <c r="U19" s="42"/>
      <c r="V19" s="76"/>
    </row>
    <row r="20" ht="21" customHeight="1" spans="1:22">
      <c r="A20" s="21">
        <v>0</v>
      </c>
      <c r="B20" s="24">
        <f>t_1-t0</f>
        <v>0.0876712328767123</v>
      </c>
      <c r="C20" s="25">
        <f ca="1" t="shared" ref="C20:C27" si="3">(E21-E20)/B20</f>
        <v>0.00430275692985393</v>
      </c>
      <c r="D20" s="25">
        <f ca="1">(E21-E20)/B20</f>
        <v>0.00430275692985393</v>
      </c>
      <c r="E20" s="26">
        <v>0</v>
      </c>
      <c r="F20" s="25">
        <f ca="1">(E21-E20)/B20</f>
        <v>0.00430275692985393</v>
      </c>
      <c r="G20" s="26">
        <f ca="1" t="shared" ref="G20:G27" si="4">(3*C20-D21-2*D20)/B20</f>
        <v>-0.00718613721429752</v>
      </c>
      <c r="H20" s="27">
        <f ca="1" t="shared" ref="H20:H27" si="5">(D21+D20-2*C20)/B20^2</f>
        <v>0.0819668776005811</v>
      </c>
      <c r="I20" s="63"/>
      <c r="K20" s="57"/>
      <c r="L20" s="54">
        <v>44270</v>
      </c>
      <c r="M20" s="55">
        <f t="shared" si="0"/>
        <v>5.12876712328767</v>
      </c>
      <c r="N20" s="56">
        <f ca="1" t="shared" ref="N20:N27" si="6">aa_7+bb_7*(M20-timet7)+cc_7*(ttt-timet7)^2+dd_7*(ttt-timet7)^3</f>
        <v>0.0736398607307761</v>
      </c>
      <c r="O20" s="42">
        <f ca="1" t="shared" si="2"/>
        <v>0.929006205218182</v>
      </c>
      <c r="P20" s="42"/>
      <c r="Q20" s="82"/>
      <c r="R20" s="77"/>
      <c r="S20" s="78"/>
      <c r="T20" s="42"/>
      <c r="U20" s="42"/>
      <c r="V20" s="76"/>
    </row>
    <row r="21" ht="18" customHeight="1" spans="1:22">
      <c r="A21" s="21">
        <v>1</v>
      </c>
      <c r="B21" s="24">
        <f>t_2-t_1</f>
        <v>0.167123287671233</v>
      </c>
      <c r="C21" s="25">
        <f ca="1" t="shared" si="3"/>
        <v>0.00559810268108667</v>
      </c>
      <c r="D21" s="26">
        <f ca="1" t="shared" ref="D21:D27" si="7">IF(C21*C20&gt;0,C21*C20/(C20*I21+(1-I21)*C21),0)</f>
        <v>0.00493277443905262</v>
      </c>
      <c r="E21" s="28">
        <f ca="1">capit_1</f>
        <v>0.000377228004809112</v>
      </c>
      <c r="F21" s="26">
        <f ca="1" t="shared" ref="F21:F27" si="8">IF(C21*C20&gt;0,C21*C20/(C20*I21+(1-I21)*C21),0)</f>
        <v>0.00493277443905262</v>
      </c>
      <c r="G21" s="26">
        <f ca="1" t="shared" si="4"/>
        <v>0.00645047690915595</v>
      </c>
      <c r="H21" s="27">
        <f ca="1" t="shared" si="5"/>
        <v>-0.0147760046593312</v>
      </c>
      <c r="I21" s="26">
        <f t="shared" ref="I21:I28" si="9">(B20+2*B21)/(3*(B20+B21))</f>
        <v>0.551971326164875</v>
      </c>
      <c r="K21" s="57"/>
      <c r="L21" s="54">
        <v>44454</v>
      </c>
      <c r="M21" s="55">
        <f t="shared" si="0"/>
        <v>5.63287671232877</v>
      </c>
      <c r="N21" s="56">
        <f ca="1" t="shared" si="6"/>
        <v>0.0845577999865797</v>
      </c>
      <c r="O21" s="42">
        <f ca="1" t="shared" si="2"/>
        <v>0.918918540362522</v>
      </c>
      <c r="P21" s="42"/>
      <c r="Q21" s="82"/>
      <c r="R21" s="77"/>
      <c r="S21" s="78"/>
      <c r="T21" s="42"/>
      <c r="U21" s="42"/>
      <c r="V21" s="76"/>
    </row>
    <row r="22" ht="18.95" customHeight="1" spans="1:22">
      <c r="A22" s="21">
        <v>2</v>
      </c>
      <c r="B22" s="29">
        <f>t_3-t_2</f>
        <v>0.252054794520548</v>
      </c>
      <c r="C22" s="25">
        <f ca="1" t="shared" si="3"/>
        <v>0.00609082221815616</v>
      </c>
      <c r="D22" s="26">
        <f ca="1" t="shared" si="7"/>
        <v>0.00585073425704925</v>
      </c>
      <c r="E22" s="28">
        <f ca="1">capit_2</f>
        <v>0.00131280132959346</v>
      </c>
      <c r="F22" s="26">
        <f ca="1" t="shared" si="8"/>
        <v>0.00585073425704925</v>
      </c>
      <c r="G22" s="26">
        <f ca="1" t="shared" si="4"/>
        <v>0.000447786722788329</v>
      </c>
      <c r="H22" s="27">
        <f ca="1" t="shared" si="5"/>
        <v>0.00200248587750899</v>
      </c>
      <c r="I22" s="26">
        <f t="shared" si="9"/>
        <v>0.533769063180828</v>
      </c>
      <c r="K22" s="57"/>
      <c r="L22" s="54">
        <v>44635</v>
      </c>
      <c r="M22" s="55">
        <f t="shared" si="0"/>
        <v>6.12876712328767</v>
      </c>
      <c r="N22" s="56">
        <f ca="1" t="shared" si="6"/>
        <v>0.0954521955604</v>
      </c>
      <c r="O22" s="42">
        <f ca="1" t="shared" si="2"/>
        <v>0.908961813025168</v>
      </c>
      <c r="P22" s="42"/>
      <c r="Q22" s="82"/>
      <c r="R22" s="77"/>
      <c r="S22" s="78"/>
      <c r="T22" s="42"/>
      <c r="U22" s="42"/>
      <c r="V22" s="76"/>
    </row>
    <row r="23" ht="21" customHeight="1" spans="1:22">
      <c r="A23" s="21">
        <v>3</v>
      </c>
      <c r="B23" s="29">
        <f>M10-M9</f>
        <v>0.504109589041096</v>
      </c>
      <c r="C23" s="25">
        <f ca="1" t="shared" si="3"/>
        <v>0.00678549252092519</v>
      </c>
      <c r="D23" s="26">
        <f ca="1" t="shared" si="7"/>
        <v>0.00645813134996855</v>
      </c>
      <c r="E23" s="26">
        <f ca="1">capit_3</f>
        <v>0.002848022272252</v>
      </c>
      <c r="F23" s="26">
        <f ca="1" t="shared" si="8"/>
        <v>0.00645813134996855</v>
      </c>
      <c r="G23" s="26">
        <f ca="1" t="shared" si="4"/>
        <v>-0.00204055785964345</v>
      </c>
      <c r="H23" s="27">
        <f ca="1" t="shared" si="5"/>
        <v>0.00533602781942207</v>
      </c>
      <c r="I23" s="26">
        <f t="shared" si="9"/>
        <v>0.555555555555555</v>
      </c>
      <c r="K23" s="57"/>
      <c r="L23" s="54">
        <v>44819</v>
      </c>
      <c r="M23" s="55">
        <f t="shared" si="0"/>
        <v>6.63287671232877</v>
      </c>
      <c r="N23" s="56">
        <f ca="1" t="shared" si="6"/>
        <v>0.106642420413878</v>
      </c>
      <c r="O23" s="42">
        <f ca="1" t="shared" si="2"/>
        <v>0.898847024879587</v>
      </c>
      <c r="P23" s="42"/>
      <c r="Q23" s="82"/>
      <c r="R23" s="77"/>
      <c r="S23" s="78"/>
      <c r="T23" s="42"/>
      <c r="U23" s="42"/>
      <c r="V23" s="76"/>
    </row>
    <row r="24" ht="18.95" customHeight="1" spans="1:22">
      <c r="A24" s="21">
        <v>4</v>
      </c>
      <c r="B24" s="30">
        <f>M11-M10</f>
        <v>1</v>
      </c>
      <c r="C24" s="25">
        <f ca="1" t="shared" si="3"/>
        <v>0.0105723230394959</v>
      </c>
      <c r="D24" s="26">
        <f ca="1" t="shared" si="7"/>
        <v>0.00846887964687793</v>
      </c>
      <c r="E24" s="26">
        <f ca="1">capit_4</f>
        <v>0.00626865411841703</v>
      </c>
      <c r="F24" s="26">
        <f ca="1" t="shared" si="8"/>
        <v>0.00846887964687793</v>
      </c>
      <c r="G24" s="26">
        <f ca="1" t="shared" si="4"/>
        <v>0.00302799894926588</v>
      </c>
      <c r="H24" s="27">
        <f ca="1" t="shared" si="5"/>
        <v>-0.000924555556647937</v>
      </c>
      <c r="I24" s="26">
        <f t="shared" si="9"/>
        <v>0.554948391013965</v>
      </c>
      <c r="K24" s="57"/>
      <c r="L24" s="54">
        <v>45000</v>
      </c>
      <c r="M24" s="55">
        <f t="shared" si="0"/>
        <v>7.12876712328767</v>
      </c>
      <c r="N24" s="56">
        <f ca="1" t="shared" si="6"/>
        <v>0.117722714189643</v>
      </c>
      <c r="O24" s="42">
        <f ca="1" t="shared" si="2"/>
        <v>0.88894250958766</v>
      </c>
      <c r="P24" s="42"/>
      <c r="Q24" s="82"/>
      <c r="R24" s="77"/>
      <c r="S24" s="78"/>
      <c r="T24" s="42"/>
      <c r="U24" s="42"/>
      <c r="V24" s="76"/>
    </row>
    <row r="25" ht="18.95" customHeight="1" spans="1:22">
      <c r="A25" s="21">
        <v>5</v>
      </c>
      <c r="B25" s="30">
        <f>M14-M11</f>
        <v>1</v>
      </c>
      <c r="C25" s="25">
        <f ca="1" t="shared" si="3"/>
        <v>0.0132260024994934</v>
      </c>
      <c r="D25" s="26">
        <f ca="1" t="shared" si="7"/>
        <v>0.0117512108754659</v>
      </c>
      <c r="E25" s="26">
        <f ca="1">capit_5</f>
        <v>0.0168409771579129</v>
      </c>
      <c r="F25" s="26">
        <f ca="1" t="shared" si="8"/>
        <v>0.0117512108754659</v>
      </c>
      <c r="G25" s="26">
        <f ca="1" t="shared" si="4"/>
        <v>-0.000307659918131552</v>
      </c>
      <c r="H25" s="27">
        <f ca="1" t="shared" si="5"/>
        <v>0.00178245154215907</v>
      </c>
      <c r="I25" s="26">
        <f t="shared" si="9"/>
        <v>0.5</v>
      </c>
      <c r="K25" s="57"/>
      <c r="L25" s="54">
        <v>45184</v>
      </c>
      <c r="M25" s="55">
        <f t="shared" si="0"/>
        <v>7.63287671232877</v>
      </c>
      <c r="N25" s="56">
        <f ca="1" t="shared" si="6"/>
        <v>0.12901861222067</v>
      </c>
      <c r="O25" s="42">
        <f ca="1" t="shared" si="2"/>
        <v>0.878957606040417</v>
      </c>
      <c r="P25" s="42"/>
      <c r="Q25" s="82"/>
      <c r="R25" s="77"/>
      <c r="S25" s="78"/>
      <c r="T25" s="42"/>
      <c r="U25" s="42"/>
      <c r="V25" s="76"/>
    </row>
    <row r="26" ht="20.1" customHeight="1" spans="1:22">
      <c r="A26" s="21">
        <v>6</v>
      </c>
      <c r="B26" s="30">
        <f>M19-M14</f>
        <v>2.0027397260274</v>
      </c>
      <c r="C26" s="25">
        <f ca="1" t="shared" si="3"/>
        <v>0.0205255389392382</v>
      </c>
      <c r="D26" s="26">
        <f ca="1" t="shared" si="7"/>
        <v>0.01648324566568</v>
      </c>
      <c r="E26" s="26">
        <f ca="1">capit_6</f>
        <v>0.0300669796574063</v>
      </c>
      <c r="F26" s="26">
        <f ca="1" t="shared" si="8"/>
        <v>0.01648324566568</v>
      </c>
      <c r="G26" s="26">
        <f ca="1" t="shared" si="4"/>
        <v>0.00361005157724749</v>
      </c>
      <c r="H26" s="27">
        <f ca="1" t="shared" si="5"/>
        <v>-0.000794746230008366</v>
      </c>
      <c r="I26" s="26">
        <f t="shared" si="9"/>
        <v>0.555656934306569</v>
      </c>
      <c r="K26" s="57"/>
      <c r="L26" s="54">
        <v>45366</v>
      </c>
      <c r="M26" s="55">
        <f t="shared" si="0"/>
        <v>8.13150684931507</v>
      </c>
      <c r="N26" s="56">
        <f ca="1" t="shared" si="6"/>
        <v>0.140182145501865</v>
      </c>
      <c r="O26" s="42">
        <f ca="1" t="shared" si="2"/>
        <v>0.869199900127186</v>
      </c>
      <c r="P26" s="42"/>
      <c r="Q26" s="82"/>
      <c r="R26" s="77"/>
      <c r="S26" s="78"/>
      <c r="T26" s="42"/>
      <c r="U26" s="42"/>
      <c r="V26" s="76"/>
    </row>
    <row r="27" ht="18" customHeight="1" spans="1:22">
      <c r="A27" s="21">
        <v>7</v>
      </c>
      <c r="B27" s="31">
        <f>M29-M19</f>
        <v>5.0027397260274</v>
      </c>
      <c r="C27" s="25">
        <f ca="1" t="shared" si="3"/>
        <v>0.0220694447096831</v>
      </c>
      <c r="D27" s="26">
        <f ca="1" t="shared" si="7"/>
        <v>0.0213801317795931</v>
      </c>
      <c r="E27" s="32">
        <f ca="1">capit_7</f>
        <v>0.0711742918891409</v>
      </c>
      <c r="F27" s="26">
        <f ca="1" t="shared" si="8"/>
        <v>0.0213801317795931</v>
      </c>
      <c r="G27" s="26">
        <f ca="1" t="shared" si="4"/>
        <v>0.000413361614457862</v>
      </c>
      <c r="H27" s="27">
        <f ca="1" t="shared" si="5"/>
        <v>-5.50847222331858e-5</v>
      </c>
      <c r="I27" s="26">
        <f t="shared" si="9"/>
        <v>0.571372702385608</v>
      </c>
      <c r="K27" s="57"/>
      <c r="L27" s="60">
        <v>45550</v>
      </c>
      <c r="M27" s="55">
        <f t="shared" si="0"/>
        <v>8.63561643835616</v>
      </c>
      <c r="N27" s="56">
        <f ca="1" t="shared" si="6"/>
        <v>0.151416708471992</v>
      </c>
      <c r="O27" s="42">
        <f ca="1" t="shared" si="2"/>
        <v>0.859489467482718</v>
      </c>
      <c r="P27" s="42"/>
      <c r="Q27" s="82"/>
      <c r="R27" s="77"/>
      <c r="S27" s="78"/>
      <c r="T27" s="42"/>
      <c r="U27" s="42"/>
      <c r="V27" s="76"/>
    </row>
    <row r="28" ht="21" customHeight="1" spans="1:22">
      <c r="A28" s="21"/>
      <c r="B28" s="21"/>
      <c r="C28" s="26"/>
      <c r="D28" s="26">
        <v>0.02138013</v>
      </c>
      <c r="E28" s="26">
        <v>0.181581979669638</v>
      </c>
      <c r="F28" s="26"/>
      <c r="G28" s="26"/>
      <c r="H28" s="26"/>
      <c r="I28" s="26">
        <f t="shared" si="9"/>
        <v>0.333333333333333</v>
      </c>
      <c r="K28" s="59" t="s">
        <v>3</v>
      </c>
      <c r="L28" s="60">
        <v>45731</v>
      </c>
      <c r="M28" s="55">
        <f t="shared" si="0"/>
        <v>9.13150684931507</v>
      </c>
      <c r="N28" s="56">
        <f ca="1">aa_7+bb_7*(ttt-timet7)+cc_7*(ttt-timet7)^2+dd_7*(ttt-timet7)^3</f>
        <v>0.162376497032106</v>
      </c>
      <c r="O28" s="42">
        <f ca="1" t="shared" si="2"/>
        <v>0.850121076218206</v>
      </c>
      <c r="P28" s="42"/>
      <c r="Q28" s="82"/>
      <c r="R28" s="77"/>
      <c r="S28" s="78"/>
      <c r="T28" s="80"/>
      <c r="U28" s="42"/>
      <c r="V28" s="76"/>
    </row>
    <row r="29" ht="21" customHeight="1" spans="4:22">
      <c r="D29" s="26"/>
      <c r="I29" s="64"/>
      <c r="K29" s="65">
        <v>120</v>
      </c>
      <c r="L29" s="66">
        <v>46054</v>
      </c>
      <c r="M29" s="67">
        <f t="shared" si="0"/>
        <v>10.0164383561644</v>
      </c>
      <c r="N29" s="50">
        <v>0.181581979669638</v>
      </c>
      <c r="O29" s="48">
        <f ca="1" t="shared" si="2"/>
        <v>0.83394987556576</v>
      </c>
      <c r="P29" s="68"/>
      <c r="Q29" s="68"/>
      <c r="R29" s="68"/>
      <c r="S29" s="78"/>
      <c r="T29" s="83"/>
      <c r="U29" s="42"/>
      <c r="V29" s="76"/>
    </row>
    <row r="30" spans="12:12">
      <c r="L30" s="69"/>
    </row>
  </sheetData>
  <mergeCells count="6">
    <mergeCell ref="B4:F4"/>
    <mergeCell ref="P4:R4"/>
    <mergeCell ref="S4:U4"/>
    <mergeCell ref="D10:E10"/>
    <mergeCell ref="F10:H10"/>
    <mergeCell ref="V4:V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 </vt:lpstr>
      <vt:lpstr>Problem 4</vt:lpstr>
      <vt:lpstr>Problem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王迟</cp:lastModifiedBy>
  <dcterms:created xsi:type="dcterms:W3CDTF">2006-02-23T04:22:00Z</dcterms:created>
  <dcterms:modified xsi:type="dcterms:W3CDTF">2016-04-10T21:47:47Z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