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revisionsPassword="DE1F" lockRevision="1"/>
  <bookViews>
    <workbookView xWindow="-5235" yWindow="2655" windowWidth="17430" windowHeight="12975" activeTab="1"/>
  </bookViews>
  <sheets>
    <sheet name="HW4 Assignment" sheetId="1" r:id="rId1"/>
    <sheet name="Problem 1" sheetId="2" r:id="rId2"/>
    <sheet name="Problem 2" sheetId="3" r:id="rId3"/>
    <sheet name="Problem 3" sheetId="4" r:id="rId4"/>
    <sheet name="Problem 4" sheetId="5" r:id="rId5"/>
    <sheet name="Problem 5" sheetId="6" r:id="rId6"/>
  </sheets>
  <definedNames>
    <definedName name="_xlnm._FilterDatabase" localSheetId="2" hidden="1">'Problem 2'!#REF!</definedName>
    <definedName name="al">'Problem 1'!$A$2</definedName>
    <definedName name="annuity_prc">'Problem 3'!$D$23</definedName>
    <definedName name="bond_coupon">'Problem 1'!$B$3</definedName>
    <definedName name="bond_maturity">'Problem 1'!$B$4</definedName>
    <definedName name="bond_price">'Problem 1'!$F$24</definedName>
    <definedName name="bond_principal">'Problem 1'!$B$2</definedName>
    <definedName name="bond_yield_volat">'Problem 1'!$B$7</definedName>
    <definedName name="call_price">'Problem 1'!$J$36</definedName>
    <definedName name="call_strike">'Problem 1'!$B$6</definedName>
    <definedName name="call_time">'Problem 1'!$B$5</definedName>
    <definedName name="cap_principal">'Problem 2'!$C$2</definedName>
    <definedName name="cap_rate">'Problem 2'!$C$3</definedName>
    <definedName name="cap_vol">'Problem 2'!$C$4</definedName>
    <definedName name="duration">'Problem 1'!$J$30</definedName>
    <definedName name="Fix_leg_price">'Problem 4'!$E$14</definedName>
    <definedName name="fixed_leg_rate">'Problem 3'!$D$25</definedName>
    <definedName name="float_leg_price">'Problem 4'!$G$14</definedName>
    <definedName name="forward_rate">'Problem 4'!$F$8:$F$12</definedName>
    <definedName name="fwrd_price">'Problem 1'!$J$24</definedName>
    <definedName name="fwrd_rate_vol">'Problem 4'!$D$4</definedName>
    <definedName name="fwrd_rt_corr">'Problem 5'!$C$4</definedName>
    <definedName name="fwrd_yield">'Problem 1'!$F$39</definedName>
    <definedName name="fx_leg_rate">'Problem 4'!$D$3</definedName>
    <definedName name="month">'Problem 5'!$B$7:$B$9</definedName>
    <definedName name="N">'Problem 1'!$D$4:$D$23</definedName>
    <definedName name="notional">'Problem 4'!$D$2</definedName>
    <definedName name="rate_3M_vol">'Problem 5'!$C$2</definedName>
    <definedName name="rate_6M_vol">'Problem 5'!$C$3</definedName>
    <definedName name="solver_adj" localSheetId="2" hidden="1">'Problem 2'!#REF!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in" localSheetId="2" hidden="1">2</definedName>
    <definedName name="solver_neg" localSheetId="2" hidden="1">2</definedName>
    <definedName name="solver_num" localSheetId="2" hidden="1">0</definedName>
    <definedName name="solver_nwt" localSheetId="2" hidden="1">1</definedName>
    <definedName name="solver_opt" localSheetId="2" hidden="1">'Problem 2'!#REF!</definedName>
    <definedName name="solver_pre" localSheetId="2" hidden="1">0.000001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15.356</definedName>
    <definedName name="swap_rate">'Problem 3'!$D$24</definedName>
    <definedName name="swap_rate_vol">'Problem 3'!$D$26</definedName>
    <definedName name="swptn_exp">'Problem 3'!$C$12</definedName>
    <definedName name="time">'Problem 4'!$C$8:$C$13</definedName>
    <definedName name="volat">'Problem 1'!$J$33</definedName>
    <definedName name="yc_rate">'Problem 1'!$B$10</definedName>
    <definedName name="yield">'Problem 1'!#REF!</definedName>
    <definedName name="zero_bond_price">'Problem 4'!$D$8:$D$13</definedName>
  </definedNames>
  <calcPr calcId="145621" iterateCount="1000" iterateDelta="9.9999999999999995E-7"/>
  <customWorkbookViews>
    <customWorkbookView name="Andrei - Personal View" guid="{68815E05-D758-4219-8229-C815838A39D9}" mergeInterval="0" personalView="1" maximized="1" windowWidth="2556" windowHeight="1375" activeSheetId="2" showComments="commIndAndComment"/>
  </customWorkbookViews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E12" i="5" l="1"/>
  <c r="E11" i="5"/>
  <c r="E10" i="5"/>
  <c r="E9" i="5"/>
  <c r="E8" i="5"/>
  <c r="B9" i="5"/>
  <c r="B10" i="5" s="1"/>
  <c r="B11" i="5" s="1"/>
  <c r="B12" i="5" s="1"/>
  <c r="B13" i="5" s="1"/>
  <c r="D3" i="4"/>
  <c r="C3" i="4"/>
  <c r="C7" i="3"/>
  <c r="J4" i="2"/>
  <c r="F4" i="2"/>
  <c r="F29" i="2"/>
  <c r="F30" i="2" s="1"/>
  <c r="F31" i="2" s="1"/>
  <c r="F32" i="2" s="1"/>
  <c r="F33" i="2" s="1"/>
  <c r="F34" i="2" s="1"/>
  <c r="F35" i="2" s="1"/>
  <c r="F36" i="2" s="1"/>
  <c r="F37" i="2" s="1"/>
  <c r="F38" i="2" s="1"/>
  <c r="E38" i="2"/>
  <c r="E37" i="2"/>
  <c r="E36" i="2"/>
  <c r="E35" i="2"/>
  <c r="E34" i="2"/>
  <c r="E33" i="2"/>
  <c r="E32" i="2"/>
  <c r="E31" i="2"/>
  <c r="E30" i="2"/>
  <c r="E29" i="2"/>
  <c r="D30" i="2"/>
  <c r="D31" i="2" s="1"/>
  <c r="D32" i="2" s="1"/>
  <c r="D33" i="2" s="1"/>
  <c r="D34" i="2" s="1"/>
  <c r="D35" i="2" s="1"/>
  <c r="D36" i="2" s="1"/>
  <c r="D37" i="2" s="1"/>
  <c r="D38" i="2" s="1"/>
  <c r="I23" i="2"/>
  <c r="I22" i="2"/>
  <c r="I21" i="2"/>
  <c r="I20" i="2"/>
  <c r="I19" i="2"/>
  <c r="I18" i="2"/>
  <c r="I17" i="2"/>
  <c r="I16" i="2"/>
  <c r="I15" i="2"/>
  <c r="I14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5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F40" i="2" l="1"/>
  <c r="C9" i="6"/>
  <c r="C8" i="6"/>
  <c r="C11" i="6" s="1"/>
  <c r="C7" i="6"/>
  <c r="C10" i="6" s="1"/>
  <c r="C12" i="6" s="1"/>
  <c r="C13" i="6" l="1"/>
  <c r="C8" i="5" l="1"/>
  <c r="B4" i="4"/>
  <c r="D4" i="4" s="1"/>
  <c r="C4" i="4" l="1"/>
  <c r="C11" i="5"/>
  <c r="C10" i="5"/>
  <c r="C12" i="5"/>
  <c r="C9" i="5"/>
  <c r="C13" i="5"/>
  <c r="B5" i="4"/>
  <c r="F11" i="5" l="1"/>
  <c r="G11" i="5" s="1"/>
  <c r="F12" i="5"/>
  <c r="G12" i="5" s="1"/>
  <c r="F9" i="5"/>
  <c r="G9" i="5" s="1"/>
  <c r="F10" i="5"/>
  <c r="G10" i="5" s="1"/>
  <c r="F8" i="5"/>
  <c r="G8" i="5" s="1"/>
  <c r="C5" i="4"/>
  <c r="D5" i="4"/>
  <c r="B6" i="4"/>
  <c r="C6" i="4" l="1"/>
  <c r="D6" i="4"/>
  <c r="B7" i="4"/>
  <c r="C7" i="4" l="1"/>
  <c r="D7" i="4"/>
  <c r="G14" i="5"/>
  <c r="B8" i="4"/>
  <c r="C8" i="4" l="1"/>
  <c r="D8" i="4"/>
  <c r="B9" i="4"/>
  <c r="C9" i="4" l="1"/>
  <c r="D9" i="4"/>
  <c r="B10" i="4"/>
  <c r="C10" i="4" l="1"/>
  <c r="D10" i="4"/>
  <c r="B11" i="4"/>
  <c r="C11" i="4" l="1"/>
  <c r="D11" i="4"/>
  <c r="B12" i="4"/>
  <c r="C12" i="4" l="1"/>
  <c r="D12" i="4"/>
  <c r="B13" i="4"/>
  <c r="C13" i="4" l="1"/>
  <c r="D13" i="4"/>
  <c r="B14" i="4"/>
  <c r="B8" i="3"/>
  <c r="C8" i="3" s="1"/>
  <c r="C14" i="4" l="1"/>
  <c r="D14" i="4"/>
  <c r="B15" i="4"/>
  <c r="B9" i="3"/>
  <c r="C9" i="3" s="1"/>
  <c r="B10" i="3"/>
  <c r="C10" i="3" s="1"/>
  <c r="C15" i="4" l="1"/>
  <c r="D15" i="4"/>
  <c r="B16" i="4"/>
  <c r="B11" i="3"/>
  <c r="C11" i="3" s="1"/>
  <c r="C16" i="4" l="1"/>
  <c r="D16" i="4"/>
  <c r="B17" i="4"/>
  <c r="B12" i="3"/>
  <c r="C12" i="3" s="1"/>
  <c r="C17" i="4" l="1"/>
  <c r="D17" i="4"/>
  <c r="B18" i="4"/>
  <c r="B13" i="3"/>
  <c r="C13" i="3" s="1"/>
  <c r="C18" i="4" l="1"/>
  <c r="D18" i="4"/>
  <c r="B19" i="4"/>
  <c r="B14" i="3"/>
  <c r="C14" i="3" s="1"/>
  <c r="C19" i="4" l="1"/>
  <c r="D19" i="4"/>
  <c r="B20" i="4"/>
  <c r="B15" i="3"/>
  <c r="C15" i="3" s="1"/>
  <c r="C20" i="4" l="1"/>
  <c r="D20" i="4"/>
  <c r="B21" i="4"/>
  <c r="B16" i="3"/>
  <c r="C16" i="3" s="1"/>
  <c r="C21" i="4" l="1"/>
  <c r="D21" i="4"/>
  <c r="B22" i="4"/>
  <c r="D22" i="4" s="1"/>
  <c r="B17" i="3"/>
  <c r="C17" i="3" s="1"/>
  <c r="C22" i="4" l="1"/>
  <c r="D23" i="4"/>
  <c r="B18" i="3"/>
  <c r="C18" i="3" s="1"/>
  <c r="D24" i="4" l="1"/>
  <c r="D27" i="4" s="1"/>
  <c r="B19" i="3"/>
  <c r="C19" i="3" s="1"/>
  <c r="B20" i="3" l="1"/>
  <c r="C20" i="3" s="1"/>
  <c r="B21" i="3" l="1"/>
  <c r="C21" i="3" s="1"/>
  <c r="B22" i="3" l="1"/>
  <c r="C22" i="3" s="1"/>
  <c r="B23" i="3" l="1"/>
  <c r="C23" i="3" s="1"/>
  <c r="B24" i="3" l="1"/>
  <c r="C24" i="3" s="1"/>
  <c r="B25" i="3" l="1"/>
  <c r="C25" i="3" s="1"/>
  <c r="B26" i="3" l="1"/>
  <c r="C26" i="3" s="1"/>
  <c r="B27" i="3" l="1"/>
  <c r="C27" i="3" s="1"/>
  <c r="B28" i="3" l="1"/>
  <c r="C28" i="3" s="1"/>
  <c r="B29" i="3" l="1"/>
  <c r="C29" i="3" s="1"/>
  <c r="B30" i="3" l="1"/>
  <c r="C30" i="3" s="1"/>
  <c r="B31" i="3" l="1"/>
  <c r="C31" i="3" s="1"/>
  <c r="B32" i="3" l="1"/>
  <c r="C32" i="3" s="1"/>
  <c r="B33" i="3" l="1"/>
  <c r="C33" i="3" s="1"/>
  <c r="B34" i="3" l="1"/>
  <c r="C34" i="3" s="1"/>
  <c r="B35" i="3" l="1"/>
  <c r="C35" i="3" s="1"/>
  <c r="B36" i="3" l="1"/>
  <c r="C36" i="3" s="1"/>
  <c r="B37" i="3" l="1"/>
  <c r="C37" i="3" s="1"/>
  <c r="B38" i="3" l="1"/>
  <c r="C38" i="3" s="1"/>
  <c r="B39" i="3" l="1"/>
  <c r="C39" i="3" s="1"/>
  <c r="B40" i="3" l="1"/>
  <c r="C40" i="3" s="1"/>
  <c r="B41" i="3" l="1"/>
  <c r="C41" i="3" s="1"/>
  <c r="B42" i="3" l="1"/>
  <c r="C42" i="3" s="1"/>
  <c r="B43" i="3" l="1"/>
  <c r="C43" i="3" s="1"/>
  <c r="B44" i="3" l="1"/>
  <c r="C44" i="3" s="1"/>
  <c r="B45" i="3" l="1"/>
  <c r="C45" i="3" s="1"/>
  <c r="B46" i="3" l="1"/>
  <c r="C46" i="3" s="1"/>
  <c r="B47" i="3" l="1"/>
  <c r="C47" i="3" s="1"/>
  <c r="D5" i="2"/>
  <c r="D7" i="3"/>
  <c r="E23" i="2"/>
  <c r="E4" i="2"/>
  <c r="F5" i="2" l="1"/>
  <c r="J5" i="2"/>
  <c r="E14" i="5"/>
  <c r="D28" i="4"/>
  <c r="D29" i="4" s="1"/>
  <c r="D6" i="2"/>
  <c r="D9" i="3"/>
  <c r="D8" i="3"/>
  <c r="E16" i="5" l="1"/>
  <c r="E17" i="5"/>
  <c r="E8" i="3"/>
  <c r="F8" i="3" s="1"/>
  <c r="E9" i="3"/>
  <c r="F9" i="3" s="1"/>
  <c r="J6" i="2"/>
  <c r="F6" i="2"/>
  <c r="D7" i="2"/>
  <c r="D11" i="3"/>
  <c r="D10" i="3"/>
  <c r="G9" i="3" l="1"/>
  <c r="G10" i="3"/>
  <c r="E11" i="3"/>
  <c r="F11" i="3" s="1"/>
  <c r="E10" i="3"/>
  <c r="F10" i="3" s="1"/>
  <c r="J7" i="2"/>
  <c r="F7" i="2"/>
  <c r="D8" i="2"/>
  <c r="D12" i="3"/>
  <c r="D13" i="3"/>
  <c r="G12" i="3" l="1"/>
  <c r="E13" i="3"/>
  <c r="F13" i="3" s="1"/>
  <c r="E12" i="3"/>
  <c r="F12" i="3" s="1"/>
  <c r="G11" i="3"/>
  <c r="J8" i="2"/>
  <c r="F8" i="2"/>
  <c r="D9" i="2"/>
  <c r="D14" i="3"/>
  <c r="E14" i="3" l="1"/>
  <c r="F14" i="3" s="1"/>
  <c r="G14" i="3"/>
  <c r="G13" i="3"/>
  <c r="J9" i="2"/>
  <c r="F9" i="2"/>
  <c r="D10" i="2"/>
  <c r="D15" i="3"/>
  <c r="G15" i="3" l="1"/>
  <c r="E15" i="3"/>
  <c r="F15" i="3" s="1"/>
  <c r="J10" i="2"/>
  <c r="F10" i="2"/>
  <c r="D11" i="2"/>
  <c r="D16" i="3"/>
  <c r="E16" i="3" l="1"/>
  <c r="F16" i="3" s="1"/>
  <c r="G16" i="3"/>
  <c r="J11" i="2"/>
  <c r="F11" i="2"/>
  <c r="D12" i="2"/>
  <c r="D17" i="3"/>
  <c r="E17" i="3" l="1"/>
  <c r="F17" i="3" s="1"/>
  <c r="G17" i="3"/>
  <c r="J12" i="2"/>
  <c r="F12" i="2"/>
  <c r="D13" i="2"/>
  <c r="D18" i="3"/>
  <c r="G18" i="3" l="1"/>
  <c r="E18" i="3"/>
  <c r="F18" i="3" s="1"/>
  <c r="F13" i="2"/>
  <c r="J13" i="2"/>
  <c r="D14" i="2"/>
  <c r="G19" i="3" l="1"/>
  <c r="J14" i="2"/>
  <c r="F14" i="2"/>
  <c r="D15" i="2"/>
  <c r="D19" i="3"/>
  <c r="E19" i="3" l="1"/>
  <c r="F19" i="3" s="1"/>
  <c r="G20" i="3"/>
  <c r="J15" i="2"/>
  <c r="F15" i="2"/>
  <c r="D16" i="2"/>
  <c r="D20" i="3"/>
  <c r="E20" i="3" l="1"/>
  <c r="F20" i="3" s="1"/>
  <c r="G21" i="3"/>
  <c r="J16" i="2"/>
  <c r="F16" i="2"/>
  <c r="D17" i="2"/>
  <c r="D21" i="3"/>
  <c r="D22" i="3"/>
  <c r="E22" i="3" l="1"/>
  <c r="F22" i="3" s="1"/>
  <c r="G23" i="3"/>
  <c r="E21" i="3"/>
  <c r="F21" i="3" s="1"/>
  <c r="J17" i="2"/>
  <c r="F17" i="2"/>
  <c r="D18" i="2"/>
  <c r="D23" i="3"/>
  <c r="E23" i="3" l="1"/>
  <c r="F23" i="3" s="1"/>
  <c r="G24" i="3"/>
  <c r="G22" i="3"/>
  <c r="J18" i="2"/>
  <c r="F18" i="2"/>
  <c r="D19" i="2"/>
  <c r="D24" i="3"/>
  <c r="E24" i="3" l="1"/>
  <c r="F24" i="3" s="1"/>
  <c r="G25" i="3"/>
  <c r="J19" i="2"/>
  <c r="F19" i="2"/>
  <c r="D20" i="2"/>
  <c r="D25" i="3"/>
  <c r="E25" i="3" l="1"/>
  <c r="F25" i="3" s="1"/>
  <c r="G26" i="3"/>
  <c r="J20" i="2"/>
  <c r="F20" i="2"/>
  <c r="D21" i="2"/>
  <c r="D26" i="3"/>
  <c r="E26" i="3" l="1"/>
  <c r="F26" i="3" s="1"/>
  <c r="F21" i="2"/>
  <c r="J21" i="2"/>
  <c r="D22" i="2"/>
  <c r="D27" i="3"/>
  <c r="E27" i="3" l="1"/>
  <c r="F27" i="3" s="1"/>
  <c r="G28" i="3"/>
  <c r="G27" i="3"/>
  <c r="J22" i="2"/>
  <c r="F22" i="2"/>
  <c r="D23" i="2"/>
  <c r="D28" i="3"/>
  <c r="E28" i="3" l="1"/>
  <c r="F28" i="3" s="1"/>
  <c r="G29" i="3"/>
  <c r="J23" i="2"/>
  <c r="F23" i="2"/>
  <c r="J24" i="2"/>
  <c r="F24" i="2"/>
  <c r="D29" i="3"/>
  <c r="D30" i="3"/>
  <c r="E29" i="3" l="1"/>
  <c r="F29" i="3" s="1"/>
  <c r="G30" i="3"/>
  <c r="E30" i="3"/>
  <c r="F30" i="3" s="1"/>
  <c r="F41" i="2"/>
  <c r="J28" i="2"/>
  <c r="J30" i="2" s="1"/>
  <c r="J33" i="2" s="1"/>
  <c r="J34" i="2" s="1"/>
  <c r="D31" i="3"/>
  <c r="G31" i="3" l="1"/>
  <c r="E31" i="3"/>
  <c r="F31" i="3" s="1"/>
  <c r="J35" i="2"/>
  <c r="J36" i="2"/>
  <c r="J37" i="2" s="1"/>
  <c r="D33" i="3"/>
  <c r="D32" i="3"/>
  <c r="G32" i="3" l="1"/>
  <c r="E32" i="3"/>
  <c r="F32" i="3" s="1"/>
  <c r="E33" i="3"/>
  <c r="F33" i="3" s="1"/>
  <c r="D34" i="3"/>
  <c r="G33" i="3" l="1"/>
  <c r="G34" i="3"/>
  <c r="E34" i="3"/>
  <c r="F34" i="3" s="1"/>
  <c r="D35" i="3"/>
  <c r="E35" i="3" l="1"/>
  <c r="F35" i="3" s="1"/>
  <c r="G36" i="3"/>
  <c r="G35" i="3"/>
  <c r="D36" i="3"/>
  <c r="E36" i="3" l="1"/>
  <c r="F36" i="3" s="1"/>
  <c r="G37" i="3"/>
  <c r="D37" i="3"/>
  <c r="E37" i="3" l="1"/>
  <c r="F37" i="3" s="1"/>
  <c r="G38" i="3"/>
  <c r="D39" i="3"/>
  <c r="D38" i="3"/>
  <c r="E39" i="3" l="1"/>
  <c r="F39" i="3" s="1"/>
  <c r="G40" i="3"/>
  <c r="E38" i="3"/>
  <c r="F38" i="3" s="1"/>
  <c r="D40" i="3"/>
  <c r="G39" i="3" l="1"/>
  <c r="E40" i="3"/>
  <c r="F40" i="3" s="1"/>
  <c r="G41" i="3"/>
  <c r="D41" i="3"/>
  <c r="D42" i="3"/>
  <c r="E42" i="3" l="1"/>
  <c r="F42" i="3" s="1"/>
  <c r="G43" i="3"/>
  <c r="E41" i="3"/>
  <c r="F41" i="3" s="1"/>
  <c r="D43" i="3"/>
  <c r="G42" i="3" l="1"/>
  <c r="E43" i="3"/>
  <c r="F43" i="3" s="1"/>
  <c r="D45" i="3"/>
  <c r="D44" i="3"/>
  <c r="G44" i="3" l="1"/>
  <c r="E45" i="3"/>
  <c r="F45" i="3" s="1"/>
  <c r="E44" i="3"/>
  <c r="F44" i="3" s="1"/>
  <c r="D46" i="3"/>
  <c r="E46" i="3" l="1"/>
  <c r="F46" i="3" s="1"/>
  <c r="G47" i="3"/>
  <c r="G45" i="3"/>
  <c r="G46" i="3"/>
  <c r="G48" i="3" l="1"/>
</calcChain>
</file>

<file path=xl/sharedStrings.xml><?xml version="1.0" encoding="utf-8"?>
<sst xmlns="http://schemas.openxmlformats.org/spreadsheetml/2006/main" count="76" uniqueCount="62">
  <si>
    <r>
      <t>d</t>
    </r>
    <r>
      <rPr>
        <b/>
        <vertAlign val="subscript"/>
        <sz val="12"/>
        <rFont val="Arial"/>
        <family val="2"/>
      </rPr>
      <t>1</t>
    </r>
    <r>
      <rPr>
        <b/>
        <sz val="12"/>
        <rFont val="Arial"/>
        <family val="2"/>
      </rPr>
      <t>=</t>
    </r>
    <phoneticPr fontId="2" type="noConversion"/>
  </si>
  <si>
    <r>
      <t>d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=</t>
    </r>
    <phoneticPr fontId="2" type="noConversion"/>
  </si>
  <si>
    <t xml:space="preserve">                           Option Price=</t>
    <phoneticPr fontId="2" type="noConversion"/>
  </si>
  <si>
    <t>Year</t>
    <phoneticPr fontId="2" type="noConversion"/>
  </si>
  <si>
    <t>P(0,t)</t>
    <phoneticPr fontId="2" type="noConversion"/>
  </si>
  <si>
    <t>P(0,t)</t>
    <phoneticPr fontId="2" type="noConversion"/>
  </si>
  <si>
    <t>P(0,t)</t>
  </si>
  <si>
    <t>CF(t)</t>
  </si>
  <si>
    <t>Non-Callable Bond</t>
  </si>
  <si>
    <t>Price=</t>
  </si>
  <si>
    <t>Price Volatility=</t>
  </si>
  <si>
    <t>Callable Bond Price=</t>
  </si>
  <si>
    <r>
      <t>P(0,t</t>
    </r>
    <r>
      <rPr>
        <b/>
        <sz val="12"/>
        <rFont val="Arial"/>
        <family val="2"/>
      </rPr>
      <t>)</t>
    </r>
  </si>
  <si>
    <t>3M Fwrd(t)</t>
  </si>
  <si>
    <t>Annuity=</t>
  </si>
  <si>
    <t>Swap Rate=</t>
  </si>
  <si>
    <t>Swaption Price=</t>
  </si>
  <si>
    <t>Fixed Leg</t>
  </si>
  <si>
    <t>Floating Leg</t>
  </si>
  <si>
    <t>Principal</t>
  </si>
  <si>
    <t>Coupon</t>
  </si>
  <si>
    <t>Maturity</t>
  </si>
  <si>
    <t>Option Time</t>
  </si>
  <si>
    <t>Strike</t>
  </si>
  <si>
    <t>Yield Volat</t>
  </si>
  <si>
    <t>Cap Rate</t>
  </si>
  <si>
    <t>Swap Rate Vol=</t>
  </si>
  <si>
    <t>Fixed Leg Rate=</t>
  </si>
  <si>
    <t>Fixed Leg Rate</t>
  </si>
  <si>
    <t>Fwrd Rate Corr</t>
  </si>
  <si>
    <t>Month</t>
  </si>
  <si>
    <t>Cap Vol</t>
  </si>
  <si>
    <t>Cap Principal</t>
  </si>
  <si>
    <t>d1</t>
  </si>
  <si>
    <t>d2</t>
  </si>
  <si>
    <t>Caplet</t>
  </si>
  <si>
    <t>F(0,T,S)</t>
  </si>
  <si>
    <t>V(0)</t>
  </si>
  <si>
    <t>Price</t>
  </si>
  <si>
    <t>3M Rate Vol</t>
  </si>
  <si>
    <t>6M Rate Vol</t>
  </si>
  <si>
    <t xml:space="preserve"> F(0,12,18)=</t>
  </si>
  <si>
    <t>F(0,15,18)=</t>
  </si>
  <si>
    <r>
      <t xml:space="preserve">           E</t>
    </r>
    <r>
      <rPr>
        <b/>
        <vertAlign val="subscript"/>
        <sz val="12"/>
        <rFont val="Arial"/>
        <family val="2"/>
      </rPr>
      <t>0</t>
    </r>
    <r>
      <rPr>
        <b/>
        <vertAlign val="superscript"/>
        <sz val="12"/>
        <rFont val="Arial"/>
        <family val="2"/>
      </rPr>
      <t>15</t>
    </r>
    <r>
      <rPr>
        <b/>
        <sz val="12"/>
        <rFont val="Arial"/>
        <family val="2"/>
      </rPr>
      <t>(R(12,18))=</t>
    </r>
  </si>
  <si>
    <t>Non-Callable Bond Price:</t>
  </si>
  <si>
    <t>Forward Bond Price:</t>
  </si>
  <si>
    <t>Forward Bond</t>
  </si>
  <si>
    <t>Forward Bond Yield:</t>
  </si>
  <si>
    <t>Fit Error:</t>
  </si>
  <si>
    <t>Yield Discount</t>
  </si>
  <si>
    <t>Numerical Forward Bond Duration Computation</t>
  </si>
  <si>
    <t>Bond(Yield)</t>
  </si>
  <si>
    <t>Bond(Yield + 0.01%)</t>
  </si>
  <si>
    <t>Modified Duration</t>
  </si>
  <si>
    <t>Forward Bond Yield Computation</t>
  </si>
  <si>
    <t>Forward Bond Price(Yield):</t>
  </si>
  <si>
    <t>Cap Price</t>
  </si>
  <si>
    <t>Years</t>
  </si>
  <si>
    <t>12M LIBOR Rate Vol</t>
  </si>
  <si>
    <t>Receiver Swap Price</t>
  </si>
  <si>
    <t>Payer Swap Price</t>
  </si>
  <si>
    <t>Notional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</si>
</sst>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_ "/>
    <numFmt numFmtId="165" formatCode="0.0000%"/>
    <numFmt numFmtId="166" formatCode="0.00_ "/>
    <numFmt numFmtId="167" formatCode="0.0"/>
    <numFmt numFmtId="168" formatCode="0.0%"/>
    <numFmt numFmtId="169" formatCode="_(&quot;$&quot;* #,##0.0000_);_(&quot;$&quot;* \(#,##0.0000\);_(&quot;$&quot;* &quot;-&quot;??_);_(@_)"/>
    <numFmt numFmtId="170" formatCode="0.000000"/>
    <numFmt numFmtId="171" formatCode="0.00000"/>
    <numFmt numFmtId="172" formatCode="&quot;$&quot;#,##0.0000"/>
    <numFmt numFmtId="173" formatCode="0.0000"/>
    <numFmt numFmtId="174" formatCode="_(* #,##0.0000_);_(* \(#,##0.0000\);_(* &quot;-&quot;??_);_(@_)"/>
    <numFmt numFmtId="175" formatCode="0.000000_ "/>
  </numFmts>
  <fonts count="9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2"/>
      <name val="Arial"/>
      <family val="2"/>
    </font>
    <font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"/>
      <family val="2"/>
    </font>
    <font>
      <b/>
      <sz val="12"/>
      <color indexed="10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9" fontId="7" fillId="2" borderId="10" xfId="2" applyNumberFormat="1" applyFont="1" applyFill="1" applyBorder="1" applyAlignment="1">
      <alignment horizontal="center" vertical="center"/>
    </xf>
    <xf numFmtId="9" fontId="4" fillId="4" borderId="5" xfId="0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center" vertical="center"/>
    </xf>
    <xf numFmtId="0" fontId="4" fillId="4" borderId="16" xfId="0" applyFont="1" applyFill="1" applyBorder="1">
      <alignment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>
      <alignment vertical="center"/>
    </xf>
    <xf numFmtId="0" fontId="4" fillId="4" borderId="19" xfId="0" applyFont="1" applyFill="1" applyBorder="1">
      <alignment vertical="center"/>
    </xf>
    <xf numFmtId="0" fontId="3" fillId="4" borderId="0" xfId="0" applyFont="1" applyFill="1" applyBorder="1" applyAlignment="1">
      <alignment horizontal="right" vertical="center"/>
    </xf>
    <xf numFmtId="0" fontId="4" fillId="4" borderId="20" xfId="0" applyFont="1" applyFill="1" applyBorder="1">
      <alignment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right" vertical="center"/>
    </xf>
    <xf numFmtId="0" fontId="4" fillId="0" borderId="20" xfId="0" applyFont="1" applyBorder="1">
      <alignment vertical="center"/>
    </xf>
    <xf numFmtId="0" fontId="4" fillId="4" borderId="21" xfId="0" applyFont="1" applyFill="1" applyBorder="1">
      <alignment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3" xfId="0" applyFont="1" applyFill="1" applyBorder="1">
      <alignment vertical="center"/>
    </xf>
    <xf numFmtId="0" fontId="4" fillId="4" borderId="3" xfId="0" applyFont="1" applyFill="1" applyBorder="1" applyAlignment="1">
      <alignment horizontal="center" vertical="center"/>
    </xf>
    <xf numFmtId="44" fontId="4" fillId="4" borderId="8" xfId="2" applyFont="1" applyFill="1" applyBorder="1" applyAlignment="1">
      <alignment vertical="center"/>
    </xf>
    <xf numFmtId="0" fontId="4" fillId="4" borderId="9" xfId="0" applyFont="1" applyFill="1" applyBorder="1">
      <alignment vertical="center"/>
    </xf>
    <xf numFmtId="168" fontId="4" fillId="4" borderId="1" xfId="0" applyNumberFormat="1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" fontId="4" fillId="4" borderId="9" xfId="0" applyNumberFormat="1" applyFont="1" applyFill="1" applyBorder="1" applyAlignment="1">
      <alignment horizontal="center" vertical="center"/>
    </xf>
    <xf numFmtId="44" fontId="4" fillId="4" borderId="0" xfId="2" applyFont="1" applyFill="1" applyBorder="1" applyAlignment="1">
      <alignment horizontal="center" vertical="center"/>
    </xf>
    <xf numFmtId="170" fontId="4" fillId="4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>
      <alignment vertical="center"/>
    </xf>
    <xf numFmtId="9" fontId="4" fillId="4" borderId="4" xfId="0" applyNumberFormat="1" applyFont="1" applyFill="1" applyBorder="1">
      <alignment vertical="center"/>
    </xf>
    <xf numFmtId="1" fontId="4" fillId="4" borderId="2" xfId="0" applyNumberFormat="1" applyFont="1" applyFill="1" applyBorder="1" applyAlignment="1">
      <alignment horizontal="center" vertical="center"/>
    </xf>
    <xf numFmtId="44" fontId="4" fillId="4" borderId="3" xfId="2" applyFont="1" applyFill="1" applyBorder="1" applyAlignment="1">
      <alignment horizontal="center" vertical="center"/>
    </xf>
    <xf numFmtId="170" fontId="4" fillId="4" borderId="4" xfId="0" applyNumberFormat="1" applyFont="1" applyFill="1" applyBorder="1" applyAlignment="1">
      <alignment horizontal="center" vertical="center"/>
    </xf>
    <xf numFmtId="169" fontId="3" fillId="4" borderId="10" xfId="2" applyNumberFormat="1" applyFont="1" applyFill="1" applyBorder="1" applyAlignment="1">
      <alignment vertical="center"/>
    </xf>
    <xf numFmtId="0" fontId="3" fillId="4" borderId="8" xfId="0" applyFont="1" applyFill="1" applyBorder="1" applyAlignment="1">
      <alignment horizontal="center" vertical="center" wrapText="1"/>
    </xf>
    <xf numFmtId="169" fontId="4" fillId="4" borderId="1" xfId="0" applyNumberFormat="1" applyFont="1" applyFill="1" applyBorder="1">
      <alignment vertical="center"/>
    </xf>
    <xf numFmtId="0" fontId="4" fillId="4" borderId="3" xfId="0" applyFont="1" applyFill="1" applyBorder="1" applyAlignment="1">
      <alignment horizontal="right" vertical="center"/>
    </xf>
    <xf numFmtId="169" fontId="4" fillId="4" borderId="4" xfId="2" applyNumberFormat="1" applyFont="1" applyFill="1" applyBorder="1" applyAlignment="1">
      <alignment vertical="center"/>
    </xf>
    <xf numFmtId="174" fontId="3" fillId="4" borderId="10" xfId="3" applyNumberFormat="1" applyFont="1" applyFill="1" applyBorder="1" applyAlignment="1">
      <alignment vertical="center"/>
    </xf>
    <xf numFmtId="165" fontId="4" fillId="4" borderId="5" xfId="0" applyNumberFormat="1" applyFont="1" applyFill="1" applyBorder="1" applyAlignment="1">
      <alignment horizontal="right" vertical="center"/>
    </xf>
    <xf numFmtId="170" fontId="4" fillId="4" borderId="5" xfId="0" applyNumberFormat="1" applyFont="1" applyFill="1" applyBorder="1">
      <alignment vertical="center"/>
    </xf>
    <xf numFmtId="169" fontId="4" fillId="4" borderId="5" xfId="2" applyNumberFormat="1" applyFont="1" applyFill="1" applyBorder="1" applyAlignment="1">
      <alignment horizontal="center" vertical="center"/>
    </xf>
    <xf numFmtId="165" fontId="3" fillId="4" borderId="10" xfId="1" applyNumberFormat="1" applyFont="1" applyFill="1" applyBorder="1" applyAlignment="1">
      <alignment vertical="center"/>
    </xf>
    <xf numFmtId="0" fontId="4" fillId="4" borderId="17" xfId="0" applyFont="1" applyFill="1" applyBorder="1">
      <alignment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>
      <alignment vertical="center"/>
    </xf>
    <xf numFmtId="0" fontId="4" fillId="4" borderId="0" xfId="0" applyFont="1" applyFill="1" applyBorder="1">
      <alignment vertical="center"/>
    </xf>
    <xf numFmtId="0" fontId="4" fillId="4" borderId="26" xfId="0" applyFont="1" applyFill="1" applyBorder="1">
      <alignment vertical="center"/>
    </xf>
    <xf numFmtId="0" fontId="3" fillId="4" borderId="0" xfId="0" applyFont="1" applyFill="1" applyBorder="1" applyAlignment="1">
      <alignment horizontal="left" vertical="center"/>
    </xf>
    <xf numFmtId="169" fontId="4" fillId="4" borderId="0" xfId="0" applyNumberFormat="1" applyFont="1" applyFill="1" applyBorder="1" applyAlignment="1">
      <alignment horizontal="center" vertical="center"/>
    </xf>
    <xf numFmtId="0" fontId="4" fillId="4" borderId="22" xfId="0" applyFont="1" applyFill="1" applyBorder="1">
      <alignment vertical="center"/>
    </xf>
    <xf numFmtId="169" fontId="8" fillId="3" borderId="5" xfId="2" applyNumberFormat="1" applyFont="1" applyFill="1" applyBorder="1" applyAlignment="1">
      <alignment horizontal="center" vertical="center"/>
    </xf>
    <xf numFmtId="44" fontId="4" fillId="4" borderId="1" xfId="2" applyFont="1" applyFill="1" applyBorder="1" applyAlignment="1">
      <alignment horizontal="right" vertical="center"/>
    </xf>
    <xf numFmtId="169" fontId="8" fillId="3" borderId="5" xfId="2" applyNumberFormat="1" applyFont="1" applyFill="1" applyBorder="1" applyAlignment="1">
      <alignment vertical="center"/>
    </xf>
    <xf numFmtId="0" fontId="4" fillId="4" borderId="6" xfId="0" applyFont="1" applyFill="1" applyBorder="1" applyAlignment="1">
      <alignment horizontal="right" vertical="center"/>
    </xf>
    <xf numFmtId="44" fontId="4" fillId="4" borderId="8" xfId="2" applyFont="1" applyFill="1" applyBorder="1" applyAlignment="1">
      <alignment horizontal="right" vertical="center"/>
    </xf>
    <xf numFmtId="0" fontId="4" fillId="4" borderId="9" xfId="0" applyFont="1" applyFill="1" applyBorder="1" applyAlignment="1">
      <alignment horizontal="right" vertical="center"/>
    </xf>
    <xf numFmtId="10" fontId="4" fillId="4" borderId="1" xfId="1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right" vertical="center"/>
    </xf>
    <xf numFmtId="10" fontId="4" fillId="4" borderId="4" xfId="1" applyNumberFormat="1" applyFont="1" applyFill="1" applyBorder="1" applyAlignment="1">
      <alignment horizontal="right" vertical="center"/>
    </xf>
    <xf numFmtId="166" fontId="3" fillId="4" borderId="7" xfId="0" applyNumberFormat="1" applyFont="1" applyFill="1" applyBorder="1" applyAlignment="1">
      <alignment horizontal="center" vertical="center"/>
    </xf>
    <xf numFmtId="175" fontId="4" fillId="4" borderId="0" xfId="0" applyNumberFormat="1" applyFont="1" applyFill="1" applyBorder="1" applyAlignment="1">
      <alignment horizontal="center" vertical="center"/>
    </xf>
    <xf numFmtId="165" fontId="4" fillId="4" borderId="0" xfId="1" applyNumberFormat="1" applyFont="1" applyFill="1" applyBorder="1" applyAlignment="1">
      <alignment horizontal="center" vertical="center"/>
    </xf>
    <xf numFmtId="169" fontId="4" fillId="4" borderId="1" xfId="2" applyNumberFormat="1" applyFont="1" applyFill="1" applyBorder="1" applyAlignment="1">
      <alignment vertical="center"/>
    </xf>
    <xf numFmtId="17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>
      <alignment vertical="center"/>
    </xf>
    <xf numFmtId="2" fontId="4" fillId="4" borderId="0" xfId="0" applyNumberFormat="1" applyFont="1" applyFill="1" applyBorder="1" applyAlignment="1">
      <alignment horizontal="center" vertical="center"/>
    </xf>
    <xf numFmtId="164" fontId="4" fillId="4" borderId="0" xfId="0" applyNumberFormat="1" applyFont="1" applyFill="1" applyBorder="1" applyAlignment="1">
      <alignment horizontal="center" vertical="center"/>
    </xf>
    <xf numFmtId="166" fontId="4" fillId="4" borderId="17" xfId="0" applyNumberFormat="1" applyFont="1" applyFill="1" applyBorder="1" applyAlignment="1">
      <alignment horizontal="center" vertical="center"/>
    </xf>
    <xf numFmtId="166" fontId="4" fillId="4" borderId="0" xfId="0" applyNumberFormat="1" applyFont="1" applyFill="1" applyBorder="1" applyAlignment="1">
      <alignment horizontal="center" vertical="center"/>
    </xf>
    <xf numFmtId="166" fontId="4" fillId="4" borderId="22" xfId="0" applyNumberFormat="1" applyFont="1" applyFill="1" applyBorder="1" applyAlignment="1">
      <alignment horizontal="center" vertical="center"/>
    </xf>
    <xf numFmtId="173" fontId="4" fillId="4" borderId="0" xfId="0" applyNumberFormat="1" applyFont="1" applyFill="1" applyBorder="1">
      <alignment vertical="center"/>
    </xf>
    <xf numFmtId="0" fontId="4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167" fontId="4" fillId="4" borderId="9" xfId="0" applyNumberFormat="1" applyFont="1" applyFill="1" applyBorder="1" applyAlignment="1">
      <alignment horizontal="center" vertical="center"/>
    </xf>
    <xf numFmtId="170" fontId="4" fillId="4" borderId="1" xfId="0" applyNumberFormat="1" applyFont="1" applyFill="1" applyBorder="1">
      <alignment vertical="center"/>
    </xf>
    <xf numFmtId="167" fontId="4" fillId="4" borderId="2" xfId="0" applyNumberFormat="1" applyFont="1" applyFill="1" applyBorder="1" applyAlignment="1">
      <alignment horizontal="center" vertical="center"/>
    </xf>
    <xf numFmtId="170" fontId="4" fillId="4" borderId="4" xfId="0" applyNumberFormat="1" applyFont="1" applyFill="1" applyBorder="1">
      <alignment vertical="center"/>
    </xf>
    <xf numFmtId="173" fontId="4" fillId="4" borderId="10" xfId="0" applyNumberFormat="1" applyFont="1" applyFill="1" applyBorder="1" applyAlignment="1">
      <alignment horizontal="center" vertical="center"/>
    </xf>
    <xf numFmtId="10" fontId="4" fillId="4" borderId="5" xfId="1" applyNumberFormat="1" applyFont="1" applyFill="1" applyBorder="1" applyAlignment="1">
      <alignment horizontal="center" vertical="center"/>
    </xf>
    <xf numFmtId="170" fontId="4" fillId="4" borderId="5" xfId="0" applyNumberFormat="1" applyFont="1" applyFill="1" applyBorder="1" applyAlignment="1">
      <alignment horizontal="center" vertical="center"/>
    </xf>
    <xf numFmtId="169" fontId="7" fillId="3" borderId="10" xfId="2" applyNumberFormat="1" applyFont="1" applyFill="1" applyBorder="1" applyAlignment="1">
      <alignment horizontal="center" vertical="center"/>
    </xf>
    <xf numFmtId="10" fontId="4" fillId="4" borderId="5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71" fontId="4" fillId="4" borderId="1" xfId="0" applyNumberFormat="1" applyFont="1" applyFill="1" applyBorder="1" applyAlignment="1">
      <alignment horizontal="center" vertical="center"/>
    </xf>
    <xf numFmtId="44" fontId="4" fillId="4" borderId="15" xfId="2" applyFont="1" applyFill="1" applyBorder="1" applyAlignment="1">
      <alignment horizontal="center" vertical="center"/>
    </xf>
    <xf numFmtId="165" fontId="4" fillId="4" borderId="9" xfId="1" applyNumberFormat="1" applyFont="1" applyFill="1" applyBorder="1">
      <alignment vertical="center"/>
    </xf>
    <xf numFmtId="171" fontId="4" fillId="4" borderId="4" xfId="0" applyNumberFormat="1" applyFont="1" applyFill="1" applyBorder="1" applyAlignment="1">
      <alignment horizontal="center" vertical="center"/>
    </xf>
    <xf numFmtId="165" fontId="4" fillId="4" borderId="2" xfId="1" applyNumberFormat="1" applyFont="1" applyFill="1" applyBorder="1">
      <alignment vertical="center"/>
    </xf>
    <xf numFmtId="169" fontId="4" fillId="4" borderId="4" xfId="0" applyNumberFormat="1" applyFont="1" applyFill="1" applyBorder="1">
      <alignment vertical="center"/>
    </xf>
    <xf numFmtId="169" fontId="3" fillId="4" borderId="5" xfId="2" applyNumberFormat="1" applyFont="1" applyFill="1" applyBorder="1" applyAlignment="1">
      <alignment horizontal="right" vertical="center"/>
    </xf>
    <xf numFmtId="169" fontId="3" fillId="4" borderId="10" xfId="2" applyNumberFormat="1" applyFont="1" applyFill="1" applyBorder="1" applyAlignment="1">
      <alignment horizontal="right" vertical="center"/>
    </xf>
    <xf numFmtId="0" fontId="3" fillId="4" borderId="0" xfId="0" applyFont="1" applyFill="1" applyBorder="1">
      <alignment vertical="center"/>
    </xf>
    <xf numFmtId="172" fontId="7" fillId="3" borderId="5" xfId="0" applyNumberFormat="1" applyFont="1" applyFill="1" applyBorder="1" applyAlignment="1">
      <alignment horizontal="right" vertical="center"/>
    </xf>
    <xf numFmtId="44" fontId="4" fillId="4" borderId="5" xfId="2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10</xdr:col>
      <xdr:colOff>485775</xdr:colOff>
      <xdr:row>43</xdr:row>
      <xdr:rowOff>85725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8575" y="28575"/>
              <a:ext cx="7315200" cy="7839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Assume that the price of zero coupon bond maturing N months from now is given by the formula: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0" marR="0" algn="ctr">
                <a:spcBef>
                  <a:spcPts val="0"/>
                </a:spcBef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effectLst/>
                        <a:latin typeface="Cambria Math"/>
                        <a:ea typeface="Times New Roman"/>
                      </a:rPr>
                      <m:t>𝑃</m:t>
                    </m:r>
                    <m:d>
                      <m:dPr>
                        <m:ctrlPr>
                          <a:rPr lang="en-US" sz="1100" i="1">
                            <a:effectLst/>
                            <a:latin typeface="Cambria Math"/>
                            <a:ea typeface="Times New Roman"/>
                          </a:rPr>
                        </m:ctrlPr>
                      </m:dPr>
                      <m:e>
                        <m:r>
                          <a:rPr lang="en-US" sz="1100" i="1">
                            <a:effectLst/>
                            <a:latin typeface="Cambria Math"/>
                            <a:ea typeface="Times New Roman"/>
                          </a:rPr>
                          <m:t>𝑁</m:t>
                        </m:r>
                      </m:e>
                    </m:d>
                    <m:r>
                      <a:rPr lang="en-US" sz="11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unc>
                      <m:funcPr>
                        <m:ctrlPr>
                          <a:rPr lang="en-US" sz="1100" i="1">
                            <a:effectLst/>
                            <a:latin typeface="Cambria Math"/>
                            <a:ea typeface="Times New Roman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>
                            <a:effectLst/>
                            <a:latin typeface="Cambria Math"/>
                            <a:ea typeface="Times New Roman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US" sz="1100" i="1">
                                <a:effectLst/>
                                <a:latin typeface="Cambria Math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effectLst/>
                                <a:latin typeface="Cambria Math"/>
                                <a:ea typeface="Times New Roman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sz="1100" i="1">
                                    <a:effectLst/>
                                    <a:latin typeface="Cambria Math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0.04−0.03∗</m:t>
                                </m:r>
                                <m:sSup>
                                  <m:sSupPr>
                                    <m:ctrlPr>
                                      <a:rPr lang="en-US" sz="11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𝑒</m:t>
                                    </m:r>
                                  </m:e>
                                  <m:sup>
                                    <m:r>
                                      <a:rPr lang="en-US" sz="11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−</m:t>
                                    </m:r>
                                    <m:r>
                                      <a:rPr lang="en-US" sz="11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𝑁</m:t>
                                    </m:r>
                                    <m:r>
                                      <a:rPr lang="en-US" sz="11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/120</m:t>
                                    </m:r>
                                  </m:sup>
                                </m:sSup>
                              </m:e>
                            </m:d>
                            <m:r>
                              <a:rPr lang="en-US" sz="1100" i="1">
                                <a:effectLst/>
                                <a:latin typeface="Cambria Math"/>
                                <a:ea typeface="Times New Roman"/>
                              </a:rPr>
                              <m:t>∗</m:t>
                            </m:r>
                            <m:f>
                              <m:fPr>
                                <m:type m:val="lin"/>
                                <m:ctrlPr>
                                  <a:rPr lang="en-US" sz="1100" i="1">
                                    <a:effectLst/>
                                    <a:latin typeface="Cambria Math"/>
                                    <a:ea typeface="Times New Roman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𝑁</m:t>
                                </m:r>
                              </m:num>
                              <m:den>
                                <m:r>
                                  <a:rPr lang="en-US" sz="11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12</m:t>
                                </m:r>
                              </m:den>
                            </m:f>
                          </m:e>
                        </m:d>
                        <m:r>
                          <a:rPr lang="en-US" sz="1100" i="1">
                            <a:effectLst/>
                            <a:latin typeface="Cambria Math"/>
                            <a:ea typeface="Times New Roman"/>
                          </a:rPr>
                          <m:t>  </m:t>
                        </m:r>
                      </m:e>
                    </m:func>
                  </m:oMath>
                </m:oMathPara>
              </a14:m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100" b="1">
                  <a:effectLst/>
                  <a:latin typeface="Times New Roman"/>
                  <a:ea typeface="Times New Roman"/>
                </a:rPr>
                <a:t>Disregard day count issues assuming each month to be exactly 1/12 of the year.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100" b="1">
                  <a:effectLst/>
                  <a:latin typeface="Times New Roman"/>
                  <a:ea typeface="Times New Roman"/>
                </a:rPr>
                <a:t> 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100" b="1" u="sng">
                  <a:effectLst/>
                  <a:latin typeface="Times New Roman"/>
                  <a:ea typeface="Times New Roman"/>
                </a:rPr>
                <a:t>Problem 1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: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Consider a fixed rate bond with principal of $100, 3% coupon paid every six months (half of the coupon paid each time), maturing in 10 years and callable at 5-year time with strike price equal to par (i.e. principal is returned if bond is called).  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Assume that the quoted volatility of the 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forward</a:t>
              </a:r>
              <a:r>
                <a:rPr lang="en-US" sz="1100">
                  <a:effectLst/>
                  <a:latin typeface="Times New Roman"/>
                  <a:ea typeface="Times New Roman"/>
                </a:rPr>
                <a:t> (semiannual) yield of the bond from 5 to 10 years is 30%.  [Forward yield is the yield that returns back the 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forward</a:t>
              </a:r>
              <a:r>
                <a:rPr lang="en-US" sz="1100">
                  <a:effectLst/>
                  <a:latin typeface="Times New Roman"/>
                  <a:ea typeface="Times New Roman"/>
                </a:rPr>
                <a:t> price of the 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forward</a:t>
              </a:r>
              <a:r>
                <a:rPr lang="en-US" sz="1100">
                  <a:effectLst/>
                  <a:latin typeface="Times New Roman"/>
                  <a:ea typeface="Times New Roman"/>
                </a:rPr>
                <a:t> bond]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Compute the current price of this bond using the fact that the price of a callable bond is equal to the price of the underlying non-callable bond minus the price of the call option.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endParaRPr lang="en-US" sz="1100" b="1" u="sng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100" b="1" u="sng">
                  <a:effectLst/>
                  <a:latin typeface="Times New Roman"/>
                  <a:ea typeface="Times New Roman"/>
                </a:rPr>
                <a:t>Problem 2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: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Consider a cap on 3-month Libor (simply compounded) rate with $100 principal, maturing in 10 years and the strike (cap rate) of 5%.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Compute dollar price of this cap assuming that the market quote for its implied Black volatility is 30%.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endParaRPr lang="en-US" sz="1100" b="1" u="sng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100" b="1" u="sng">
                  <a:effectLst/>
                  <a:latin typeface="Times New Roman"/>
                  <a:ea typeface="Times New Roman"/>
                </a:rPr>
                <a:t>Problem 3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: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Consider a European swaption (which is an option to enter into a swap) with $100 notional principal and the option expiry of 5 years from now.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If the option is exercised, the holder acquires a long position in the swap to 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receive</a:t>
              </a:r>
              <a:r>
                <a:rPr lang="en-US" sz="1100">
                  <a:effectLst/>
                  <a:latin typeface="Times New Roman"/>
                  <a:ea typeface="Times New Roman"/>
                </a:rPr>
                <a:t> 3% coupon paid semiannually (half of coupon is paid every 6 months) in exchange for 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paying</a:t>
              </a:r>
              <a:r>
                <a:rPr lang="en-US" sz="1100">
                  <a:effectLst/>
                  <a:latin typeface="Times New Roman"/>
                  <a:ea typeface="Times New Roman"/>
                </a:rPr>
                <a:t> 3-month LIBOR (simply compounded) rate reset/paid quarterly.  The underlying swap matures 5 years from the option expiry (10=5+5 years from now).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Price the above swaption assuming that the quoted volatility for the 5-to-5 swap rate is 40%.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endParaRPr lang="en-US" sz="1100" b="1" u="sng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100" b="1" u="sng">
                  <a:effectLst/>
                  <a:latin typeface="Times New Roman"/>
                  <a:ea typeface="Times New Roman"/>
                </a:rPr>
                <a:t>Problem 4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: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Consider a fixed-for-float swap with $100 notional principal which starts in 5 years, matures in 10 years and pays 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in-arrears</a:t>
              </a:r>
              <a:r>
                <a:rPr lang="en-US" sz="1100">
                  <a:effectLst/>
                  <a:latin typeface="Times New Roman"/>
                  <a:ea typeface="Times New Roman"/>
                </a:rPr>
                <a:t>: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742950" marR="0" lvl="1" indent="-285750">
                <a:spcBef>
                  <a:spcPts val="0"/>
                </a:spcBef>
                <a:spcAft>
                  <a:spcPts val="0"/>
                </a:spcAft>
                <a:buFont typeface="Courier New"/>
                <a:buChar char="o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Fixed leg pays 3% coupon annually (full coupon is paid every 12-month period) 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at the beginning </a:t>
              </a:r>
              <a:r>
                <a:rPr lang="en-US" sz="1100">
                  <a:effectLst/>
                  <a:latin typeface="Times New Roman"/>
                  <a:ea typeface="Times New Roman"/>
                </a:rPr>
                <a:t>of each 12-month accrual period.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742950" marR="0" lvl="1" indent="-285750">
                <a:spcBef>
                  <a:spcPts val="0"/>
                </a:spcBef>
                <a:spcAft>
                  <a:spcPts val="0"/>
                </a:spcAft>
                <a:buFont typeface="Courier New"/>
                <a:buChar char="o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Floating leg pays 12-month Libor (simply compounded) rate 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at the beginning </a:t>
              </a:r>
              <a:r>
                <a:rPr lang="en-US" sz="1100">
                  <a:effectLst/>
                  <a:latin typeface="Times New Roman"/>
                  <a:ea typeface="Times New Roman"/>
                </a:rPr>
                <a:t>of each 12-month accrual period.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742950" marR="0" lvl="1" indent="-285750">
                <a:spcBef>
                  <a:spcPts val="0"/>
                </a:spcBef>
                <a:spcAft>
                  <a:spcPts val="0"/>
                </a:spcAft>
                <a:buFont typeface="Courier New"/>
                <a:buChar char="o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First payment is at 5-year time and last payment is at 9-year time.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Price above swap using convexity adjustment formula and assuming that the 12-month Libor rate has volatility of 30%.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endParaRPr lang="en-US" sz="1100" b="1" u="sng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100" b="1" u="sng">
                  <a:effectLst/>
                  <a:latin typeface="Times New Roman"/>
                  <a:ea typeface="Times New Roman"/>
                </a:rPr>
                <a:t>Problem 5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: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Consider a security with a single payoff at 15-month time equal to $100 * R(12,18) * 0.5 where R(12,18) is the simply compounded rate for the period from 12 to 18 months and observed at 12-month time. 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Using the timing adjustment formula, price the above security assuming that 3-month (simply compounded) rate has volatility of 40%, 6-month (simply compounded) rate has volatility of 30% and the correlation between 3-month and 6-month rates is 80%. 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8575" y="28575"/>
              <a:ext cx="7315200" cy="7839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Assume that the price of zero coupon bond maturing N months from now is given by the formula: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0" marR="0" algn="ctr">
                <a:spcBef>
                  <a:spcPts val="0"/>
                </a:spcBef>
                <a:spcAft>
                  <a:spcPts val="0"/>
                </a:spcAft>
              </a:pPr>
              <a:r>
                <a:rPr lang="en-US" sz="1100" i="0">
                  <a:effectLst/>
                  <a:latin typeface="Cambria Math"/>
                  <a:ea typeface="Times New Roman"/>
                </a:rPr>
                <a:t>𝑃</a:t>
              </a:r>
              <a:r>
                <a:rPr lang="en-US" sz="1100" i="0">
                  <a:effectLst/>
                  <a:latin typeface="Cambria Math"/>
                </a:rPr>
                <a:t>(</a:t>
              </a:r>
              <a:r>
                <a:rPr lang="en-US" sz="1100" i="0">
                  <a:effectLst/>
                  <a:latin typeface="Cambria Math"/>
                  <a:ea typeface="Times New Roman"/>
                </a:rPr>
                <a:t>𝑁)=exp⁡〖(−(0.04−0.03∗𝑒^(−𝑁/120) )∗𝑁∕12)   〗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100" b="1">
                  <a:effectLst/>
                  <a:latin typeface="Times New Roman"/>
                  <a:ea typeface="Times New Roman"/>
                </a:rPr>
                <a:t>Disregard day count issues assuming each month to be exactly 1/12 of the year.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100" b="1">
                  <a:effectLst/>
                  <a:latin typeface="Times New Roman"/>
                  <a:ea typeface="Times New Roman"/>
                </a:rPr>
                <a:t> 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100" b="1" u="sng">
                  <a:effectLst/>
                  <a:latin typeface="Times New Roman"/>
                  <a:ea typeface="Times New Roman"/>
                </a:rPr>
                <a:t>Problem 1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: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Consider a fixed rate bond with principal of $100, 3% coupon paid every six months (half of the coupon paid each time), maturing in 10 years and callable at 5-year time with strike price equal to par (i.e. principal is returned if bond is called).  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Assume that the quoted volatility of the 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forward</a:t>
              </a:r>
              <a:r>
                <a:rPr lang="en-US" sz="1100">
                  <a:effectLst/>
                  <a:latin typeface="Times New Roman"/>
                  <a:ea typeface="Times New Roman"/>
                </a:rPr>
                <a:t> (semiannual) yield of the bond from 5 to 10 years is 30%.  [Forward yield is the yield that returns back the 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forward</a:t>
              </a:r>
              <a:r>
                <a:rPr lang="en-US" sz="1100">
                  <a:effectLst/>
                  <a:latin typeface="Times New Roman"/>
                  <a:ea typeface="Times New Roman"/>
                </a:rPr>
                <a:t> price of the 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forward</a:t>
              </a:r>
              <a:r>
                <a:rPr lang="en-US" sz="1100">
                  <a:effectLst/>
                  <a:latin typeface="Times New Roman"/>
                  <a:ea typeface="Times New Roman"/>
                </a:rPr>
                <a:t> bond]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Compute the current price of this bond using the fact that the price of a callable bond is equal to the price of the underlying non-callable bond minus the price of the call option.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endParaRPr lang="en-US" sz="1100" b="1" u="sng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100" b="1" u="sng">
                  <a:effectLst/>
                  <a:latin typeface="Times New Roman"/>
                  <a:ea typeface="Times New Roman"/>
                </a:rPr>
                <a:t>Problem 2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: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Consider a cap on 3-month Libor (simply compounded) rate with $100 principal, maturing in 10 years and the strike (cap rate) of 5%.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Compute dollar price of this cap assuming that the market quote for its implied Black volatility is 30%.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endParaRPr lang="en-US" sz="1100" b="1" u="sng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100" b="1" u="sng">
                  <a:effectLst/>
                  <a:latin typeface="Times New Roman"/>
                  <a:ea typeface="Times New Roman"/>
                </a:rPr>
                <a:t>Problem 3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: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Consider a European swaption (which is an option to enter into a swap) with $100 notional principal and the option expiry of 5 years from now.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If the option is exercised, the holder acquires a long position in the swap to 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receive</a:t>
              </a:r>
              <a:r>
                <a:rPr lang="en-US" sz="1100">
                  <a:effectLst/>
                  <a:latin typeface="Times New Roman"/>
                  <a:ea typeface="Times New Roman"/>
                </a:rPr>
                <a:t> 3% coupon paid semiannually (half of coupon is paid every 6 months) in exchange for 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paying</a:t>
              </a:r>
              <a:r>
                <a:rPr lang="en-US" sz="1100">
                  <a:effectLst/>
                  <a:latin typeface="Times New Roman"/>
                  <a:ea typeface="Times New Roman"/>
                </a:rPr>
                <a:t> 3-month LIBOR (simply compounded) rate reset/paid quarterly.  The underlying swap matures 5 years from the option expiry (10=5+5 years from now).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Price the above swaption assuming that the quoted volatility for the 5-to-5 swap rate is 40%.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endParaRPr lang="en-US" sz="1100" b="1" u="sng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100" b="1" u="sng">
                  <a:effectLst/>
                  <a:latin typeface="Times New Roman"/>
                  <a:ea typeface="Times New Roman"/>
                </a:rPr>
                <a:t>Problem 4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: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Consider a fixed-for-float swap with $100 notional principal which starts in 5 years, matures in 10 years and pays 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in-arrears</a:t>
              </a:r>
              <a:r>
                <a:rPr lang="en-US" sz="1100">
                  <a:effectLst/>
                  <a:latin typeface="Times New Roman"/>
                  <a:ea typeface="Times New Roman"/>
                </a:rPr>
                <a:t>: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742950" marR="0" lvl="1" indent="-285750">
                <a:spcBef>
                  <a:spcPts val="0"/>
                </a:spcBef>
                <a:spcAft>
                  <a:spcPts val="0"/>
                </a:spcAft>
                <a:buFont typeface="Courier New"/>
                <a:buChar char="o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Fixed leg pays 3% coupon annually (full coupon is paid every 12-month period) 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at the beginning </a:t>
              </a:r>
              <a:r>
                <a:rPr lang="en-US" sz="1100">
                  <a:effectLst/>
                  <a:latin typeface="Times New Roman"/>
                  <a:ea typeface="Times New Roman"/>
                </a:rPr>
                <a:t>of each 12-month accrual period.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742950" marR="0" lvl="1" indent="-285750">
                <a:spcBef>
                  <a:spcPts val="0"/>
                </a:spcBef>
                <a:spcAft>
                  <a:spcPts val="0"/>
                </a:spcAft>
                <a:buFont typeface="Courier New"/>
                <a:buChar char="o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Floating leg pays 12-month Libor (simply compounded) rate 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at the beginning </a:t>
              </a:r>
              <a:r>
                <a:rPr lang="en-US" sz="1100">
                  <a:effectLst/>
                  <a:latin typeface="Times New Roman"/>
                  <a:ea typeface="Times New Roman"/>
                </a:rPr>
                <a:t>of each 12-month accrual period.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742950" marR="0" lvl="1" indent="-285750">
                <a:spcBef>
                  <a:spcPts val="0"/>
                </a:spcBef>
                <a:spcAft>
                  <a:spcPts val="0"/>
                </a:spcAft>
                <a:buFont typeface="Courier New"/>
                <a:buChar char="o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First payment is at 5-year time and last payment is at 9-year time.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Price above swap using convexity adjustment formula and assuming that the 12-month Libor rate has volatility of 30%.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endParaRPr lang="en-US" sz="1100" b="1" u="sng">
                <a:effectLst/>
                <a:latin typeface="Times New Roman"/>
                <a:ea typeface="Times New Roman"/>
              </a:endParaRPr>
            </a:p>
            <a:p>
              <a:pPr marL="0" marR="0">
                <a:spcBef>
                  <a:spcPts val="0"/>
                </a:spcBef>
                <a:spcAft>
                  <a:spcPts val="0"/>
                </a:spcAft>
              </a:pPr>
              <a:r>
                <a:rPr lang="en-US" sz="1100" b="1" u="sng">
                  <a:effectLst/>
                  <a:latin typeface="Times New Roman"/>
                  <a:ea typeface="Times New Roman"/>
                </a:rPr>
                <a:t>Problem 5</a:t>
              </a:r>
              <a:r>
                <a:rPr lang="en-US" sz="1100" b="1">
                  <a:effectLst/>
                  <a:latin typeface="Times New Roman"/>
                  <a:ea typeface="Times New Roman"/>
                </a:rPr>
                <a:t>: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Consider a security with a single payoff at 15-month time equal to $100 * R(12,18) * 0.5 where R(12,18) is the simply compounded rate for the period from 12 to 18 months and observed at 12-month time. 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pPr marL="342900" marR="0" lvl="0" indent="-342900">
                <a:spcBef>
                  <a:spcPts val="0"/>
                </a:spcBef>
                <a:spcAft>
                  <a:spcPts val="0"/>
                </a:spcAft>
                <a:buFont typeface="Symbol"/>
                <a:buChar char=""/>
              </a:pPr>
              <a:r>
                <a:rPr lang="en-US" sz="1100">
                  <a:effectLst/>
                  <a:latin typeface="Times New Roman"/>
                  <a:ea typeface="Times New Roman"/>
                </a:rPr>
                <a:t>Using the timing adjustment formula, price the above security assuming that 3-month (simply compounded) rate has volatility of 40%, 6-month (simply compounded) rate has volatility of 30% and the correlation between 3-month and 6-month rates is 80%. </a:t>
              </a:r>
              <a:endParaRPr lang="en-US" sz="1600">
                <a:effectLst/>
                <a:latin typeface="Times New Roman"/>
                <a:ea typeface="Times New Roman"/>
              </a:endParaRPr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AEA1B90-D6FF-4528-B336-879C079E0ABB}" protected="1">
  <header guid="{5AEA1B90-D6FF-4528-B336-879C079E0ABB}" dateTime="2016-03-11T19:22:42" maxSheetId="7" userName="Andrei" r:id="rId1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6" sqref="L6"/>
    </sheetView>
  </sheetViews>
  <sheetFormatPr defaultRowHeight="14.25"/>
  <cols>
    <col min="1" max="1" width="9" customWidth="1"/>
  </cols>
  <sheetData/>
  <customSheetViews>
    <customSheetView guid="{68815E05-D758-4219-8229-C815838A39D9}">
      <selection activeCell="L6" sqref="L6"/>
      <pageMargins left="0.7" right="0.7" top="0.75" bottom="0.75" header="0.3" footer="0.3"/>
      <pageSetup orientation="portrait" verticalDpi="0" r:id="rId1"/>
    </customSheetView>
  </customSheetViews>
  <pageMargins left="0.7" right="0.7" top="0.75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M31" sqref="M31"/>
    </sheetView>
  </sheetViews>
  <sheetFormatPr defaultRowHeight="15"/>
  <cols>
    <col min="1" max="1" width="11.75" style="1" bestFit="1" customWidth="1"/>
    <col min="2" max="2" width="10.5" style="1" customWidth="1"/>
    <col min="3" max="3" width="3.75" style="1" customWidth="1"/>
    <col min="4" max="4" width="10.5" style="2" customWidth="1"/>
    <col min="5" max="5" width="12.25" style="2" customWidth="1"/>
    <col min="6" max="6" width="16.125" style="2" customWidth="1"/>
    <col min="7" max="7" width="3.125" style="1" customWidth="1"/>
    <col min="8" max="8" width="10.375" style="1" customWidth="1"/>
    <col min="9" max="9" width="11.5" style="1" customWidth="1"/>
    <col min="10" max="10" width="15.25" style="1" customWidth="1"/>
    <col min="11" max="16384" width="9" style="1"/>
  </cols>
  <sheetData>
    <row r="1" spans="1:11" ht="18.75" customHeight="1">
      <c r="A1" s="10"/>
      <c r="B1" s="48"/>
      <c r="C1" s="48"/>
      <c r="D1" s="49"/>
      <c r="E1" s="49"/>
      <c r="F1" s="49"/>
      <c r="G1" s="48"/>
      <c r="H1" s="48"/>
      <c r="I1" s="48"/>
      <c r="J1" s="48"/>
      <c r="K1" s="12"/>
    </row>
    <row r="2" spans="1:11" ht="18.75" customHeight="1">
      <c r="A2" s="50" t="s">
        <v>19</v>
      </c>
      <c r="B2" s="23">
        <v>100</v>
      </c>
      <c r="C2" s="51"/>
      <c r="D2" s="104" t="s">
        <v>8</v>
      </c>
      <c r="E2" s="105"/>
      <c r="F2" s="106"/>
      <c r="G2" s="51"/>
      <c r="H2" s="104" t="s">
        <v>46</v>
      </c>
      <c r="I2" s="105"/>
      <c r="J2" s="106"/>
      <c r="K2" s="15"/>
    </row>
    <row r="3" spans="1:11" ht="15.75">
      <c r="A3" s="13" t="s">
        <v>20</v>
      </c>
      <c r="B3" s="25">
        <v>0.03</v>
      </c>
      <c r="C3" s="26"/>
      <c r="D3" s="27" t="s">
        <v>30</v>
      </c>
      <c r="E3" s="28" t="s">
        <v>7</v>
      </c>
      <c r="F3" s="29" t="s">
        <v>6</v>
      </c>
      <c r="G3" s="51"/>
      <c r="H3" s="27" t="s">
        <v>30</v>
      </c>
      <c r="I3" s="28" t="s">
        <v>7</v>
      </c>
      <c r="J3" s="29" t="s">
        <v>6</v>
      </c>
      <c r="K3" s="15"/>
    </row>
    <row r="4" spans="1:11">
      <c r="A4" s="13" t="s">
        <v>21</v>
      </c>
      <c r="B4" s="26">
        <v>10</v>
      </c>
      <c r="C4" s="26"/>
      <c r="D4" s="30">
        <v>6</v>
      </c>
      <c r="E4" s="31">
        <f t="shared" ref="E4:E22" si="0">bond_principal*(bond_coupon/2)</f>
        <v>1.5</v>
      </c>
      <c r="F4" s="32">
        <f t="shared" ref="F4:F23" si="1">EXP(-(0.04-0.03*EXP(-N/120))*N/12)</f>
        <v>0.99428483541358992</v>
      </c>
      <c r="G4" s="51"/>
      <c r="H4" s="30">
        <v>6</v>
      </c>
      <c r="I4" s="31"/>
      <c r="J4" s="32">
        <f t="shared" ref="J4:J23" si="2">EXP(-(0.04-0.03*EXP(-N/120))*N/12)</f>
        <v>0.99428483541358992</v>
      </c>
      <c r="K4" s="15"/>
    </row>
    <row r="5" spans="1:11">
      <c r="A5" s="13" t="s">
        <v>22</v>
      </c>
      <c r="B5" s="26">
        <v>5</v>
      </c>
      <c r="C5" s="26"/>
      <c r="D5" s="30">
        <f>D4+6</f>
        <v>12</v>
      </c>
      <c r="E5" s="31">
        <f t="shared" si="0"/>
        <v>1.5</v>
      </c>
      <c r="F5" s="32">
        <f t="shared" si="1"/>
        <v>0.9872273935729915</v>
      </c>
      <c r="G5" s="51"/>
      <c r="H5" s="30">
        <f>H4+6</f>
        <v>12</v>
      </c>
      <c r="I5" s="31"/>
      <c r="J5" s="32">
        <f t="shared" si="2"/>
        <v>0.9872273935729915</v>
      </c>
      <c r="K5" s="15"/>
    </row>
    <row r="6" spans="1:11">
      <c r="A6" s="13" t="s">
        <v>23</v>
      </c>
      <c r="B6" s="57">
        <v>100</v>
      </c>
      <c r="C6" s="26"/>
      <c r="D6" s="30">
        <f t="shared" ref="D6:D23" si="3">D5+6</f>
        <v>18</v>
      </c>
      <c r="E6" s="31">
        <f t="shared" si="0"/>
        <v>1.5</v>
      </c>
      <c r="F6" s="32">
        <f t="shared" si="1"/>
        <v>0.97895643095706719</v>
      </c>
      <c r="G6" s="51"/>
      <c r="H6" s="30">
        <f t="shared" ref="H6:H23" si="4">H5+6</f>
        <v>18</v>
      </c>
      <c r="I6" s="31"/>
      <c r="J6" s="32">
        <f t="shared" si="2"/>
        <v>0.97895643095706719</v>
      </c>
      <c r="K6" s="15"/>
    </row>
    <row r="7" spans="1:11">
      <c r="A7" s="52" t="s">
        <v>24</v>
      </c>
      <c r="B7" s="34">
        <v>0.3</v>
      </c>
      <c r="C7" s="26"/>
      <c r="D7" s="30">
        <f t="shared" si="3"/>
        <v>24</v>
      </c>
      <c r="E7" s="31">
        <f t="shared" si="0"/>
        <v>1.5</v>
      </c>
      <c r="F7" s="32">
        <f t="shared" si="1"/>
        <v>0.96959564539245091</v>
      </c>
      <c r="G7" s="51"/>
      <c r="H7" s="30">
        <f t="shared" si="4"/>
        <v>24</v>
      </c>
      <c r="I7" s="31"/>
      <c r="J7" s="32">
        <f t="shared" si="2"/>
        <v>0.96959564539245091</v>
      </c>
      <c r="K7" s="15"/>
    </row>
    <row r="8" spans="1:11">
      <c r="A8" s="13"/>
      <c r="B8" s="51"/>
      <c r="C8" s="26"/>
      <c r="D8" s="30">
        <f t="shared" si="3"/>
        <v>30</v>
      </c>
      <c r="E8" s="31">
        <f t="shared" si="0"/>
        <v>1.5</v>
      </c>
      <c r="F8" s="32">
        <f t="shared" si="1"/>
        <v>0.95926305412439827</v>
      </c>
      <c r="G8" s="51"/>
      <c r="H8" s="30">
        <f t="shared" si="4"/>
        <v>30</v>
      </c>
      <c r="I8" s="31"/>
      <c r="J8" s="32">
        <f t="shared" si="2"/>
        <v>0.95926305412439827</v>
      </c>
      <c r="K8" s="15"/>
    </row>
    <row r="9" spans="1:11">
      <c r="A9" s="13"/>
      <c r="B9" s="51"/>
      <c r="C9" s="26"/>
      <c r="D9" s="30">
        <f t="shared" si="3"/>
        <v>36</v>
      </c>
      <c r="E9" s="31">
        <f t="shared" si="0"/>
        <v>1.5</v>
      </c>
      <c r="F9" s="32">
        <f t="shared" si="1"/>
        <v>0.94807054955086534</v>
      </c>
      <c r="G9" s="51"/>
      <c r="H9" s="30">
        <f t="shared" si="4"/>
        <v>36</v>
      </c>
      <c r="I9" s="31"/>
      <c r="J9" s="32">
        <f t="shared" si="2"/>
        <v>0.94807054955086534</v>
      </c>
      <c r="K9" s="15"/>
    </row>
    <row r="10" spans="1:11">
      <c r="A10" s="13"/>
      <c r="B10" s="51"/>
      <c r="C10" s="26"/>
      <c r="D10" s="30">
        <f t="shared" si="3"/>
        <v>42</v>
      </c>
      <c r="E10" s="31">
        <f t="shared" si="0"/>
        <v>1.5</v>
      </c>
      <c r="F10" s="32">
        <f t="shared" si="1"/>
        <v>0.93612360876301726</v>
      </c>
      <c r="G10" s="51"/>
      <c r="H10" s="30">
        <f t="shared" si="4"/>
        <v>42</v>
      </c>
      <c r="I10" s="31"/>
      <c r="J10" s="32">
        <f t="shared" si="2"/>
        <v>0.93612360876301726</v>
      </c>
      <c r="K10" s="15"/>
    </row>
    <row r="11" spans="1:11">
      <c r="A11" s="13"/>
      <c r="B11" s="51"/>
      <c r="C11" s="26"/>
      <c r="D11" s="30">
        <f t="shared" si="3"/>
        <v>48</v>
      </c>
      <c r="E11" s="31">
        <f t="shared" si="0"/>
        <v>1.5</v>
      </c>
      <c r="F11" s="32">
        <f t="shared" si="1"/>
        <v>0.92352113441661277</v>
      </c>
      <c r="G11" s="51"/>
      <c r="H11" s="30">
        <f t="shared" si="4"/>
        <v>48</v>
      </c>
      <c r="I11" s="31"/>
      <c r="J11" s="32">
        <f t="shared" si="2"/>
        <v>0.92352113441661277</v>
      </c>
      <c r="K11" s="15"/>
    </row>
    <row r="12" spans="1:11">
      <c r="A12" s="13"/>
      <c r="B12" s="51"/>
      <c r="C12" s="26"/>
      <c r="D12" s="30">
        <f t="shared" si="3"/>
        <v>54</v>
      </c>
      <c r="E12" s="31">
        <f t="shared" si="0"/>
        <v>1.5</v>
      </c>
      <c r="F12" s="32">
        <f t="shared" si="1"/>
        <v>0.9103554061305309</v>
      </c>
      <c r="G12" s="51"/>
      <c r="H12" s="30">
        <f t="shared" si="4"/>
        <v>54</v>
      </c>
      <c r="I12" s="31"/>
      <c r="J12" s="32">
        <f t="shared" si="2"/>
        <v>0.9103554061305309</v>
      </c>
      <c r="K12" s="15"/>
    </row>
    <row r="13" spans="1:11">
      <c r="A13" s="13"/>
      <c r="B13" s="51"/>
      <c r="C13" s="26"/>
      <c r="D13" s="30">
        <f t="shared" si="3"/>
        <v>60</v>
      </c>
      <c r="E13" s="31">
        <f t="shared" si="0"/>
        <v>1.5</v>
      </c>
      <c r="F13" s="32">
        <f t="shared" si="1"/>
        <v>0.89671212344894402</v>
      </c>
      <c r="G13" s="51"/>
      <c r="H13" s="30">
        <f t="shared" si="4"/>
        <v>60</v>
      </c>
      <c r="I13" s="31"/>
      <c r="J13" s="32">
        <f t="shared" si="2"/>
        <v>0.89671212344894402</v>
      </c>
      <c r="K13" s="15"/>
    </row>
    <row r="14" spans="1:11">
      <c r="A14" s="13"/>
      <c r="B14" s="51"/>
      <c r="C14" s="26"/>
      <c r="D14" s="30">
        <f t="shared" si="3"/>
        <v>66</v>
      </c>
      <c r="E14" s="31">
        <f t="shared" si="0"/>
        <v>1.5</v>
      </c>
      <c r="F14" s="32">
        <f t="shared" si="1"/>
        <v>0.88267052331596796</v>
      </c>
      <c r="G14" s="51"/>
      <c r="H14" s="30">
        <f t="shared" si="4"/>
        <v>66</v>
      </c>
      <c r="I14" s="31">
        <f t="shared" ref="I14:I22" si="5">bond_principal*(bond_coupon/2)</f>
        <v>1.5</v>
      </c>
      <c r="J14" s="32">
        <f t="shared" si="2"/>
        <v>0.88267052331596796</v>
      </c>
      <c r="K14" s="15"/>
    </row>
    <row r="15" spans="1:11">
      <c r="A15" s="13"/>
      <c r="B15" s="51"/>
      <c r="C15" s="26"/>
      <c r="D15" s="30">
        <f t="shared" si="3"/>
        <v>72</v>
      </c>
      <c r="E15" s="31">
        <f t="shared" si="0"/>
        <v>1.5</v>
      </c>
      <c r="F15" s="32">
        <f t="shared" si="1"/>
        <v>0.86830355692222638</v>
      </c>
      <c r="G15" s="51"/>
      <c r="H15" s="30">
        <f t="shared" si="4"/>
        <v>72</v>
      </c>
      <c r="I15" s="31">
        <f t="shared" si="5"/>
        <v>1.5</v>
      </c>
      <c r="J15" s="32">
        <f t="shared" si="2"/>
        <v>0.86830355692222638</v>
      </c>
      <c r="K15" s="15"/>
    </row>
    <row r="16" spans="1:11">
      <c r="A16" s="13"/>
      <c r="B16" s="51"/>
      <c r="C16" s="26"/>
      <c r="D16" s="30">
        <f t="shared" si="3"/>
        <v>78</v>
      </c>
      <c r="E16" s="31">
        <f t="shared" si="0"/>
        <v>1.5</v>
      </c>
      <c r="F16" s="32">
        <f t="shared" si="1"/>
        <v>0.85367811263702165</v>
      </c>
      <c r="G16" s="51"/>
      <c r="H16" s="30">
        <f t="shared" si="4"/>
        <v>78</v>
      </c>
      <c r="I16" s="31">
        <f t="shared" si="5"/>
        <v>1.5</v>
      </c>
      <c r="J16" s="32">
        <f t="shared" si="2"/>
        <v>0.85367811263702165</v>
      </c>
      <c r="K16" s="15"/>
    </row>
    <row r="17" spans="1:11">
      <c r="A17" s="13"/>
      <c r="B17" s="51"/>
      <c r="C17" s="26"/>
      <c r="D17" s="30">
        <f t="shared" si="3"/>
        <v>84</v>
      </c>
      <c r="E17" s="31">
        <f t="shared" si="0"/>
        <v>1.5</v>
      </c>
      <c r="F17" s="32">
        <f t="shared" si="1"/>
        <v>0.83885527349904565</v>
      </c>
      <c r="G17" s="51"/>
      <c r="H17" s="30">
        <f t="shared" si="4"/>
        <v>84</v>
      </c>
      <c r="I17" s="31">
        <f t="shared" si="5"/>
        <v>1.5</v>
      </c>
      <c r="J17" s="32">
        <f t="shared" si="2"/>
        <v>0.83885527349904565</v>
      </c>
      <c r="K17" s="15"/>
    </row>
    <row r="18" spans="1:11">
      <c r="A18" s="13"/>
      <c r="B18" s="51"/>
      <c r="C18" s="26"/>
      <c r="D18" s="30">
        <f t="shared" si="3"/>
        <v>90</v>
      </c>
      <c r="E18" s="31">
        <f t="shared" si="0"/>
        <v>1.5</v>
      </c>
      <c r="F18" s="32">
        <f t="shared" si="1"/>
        <v>0.82389059937714038</v>
      </c>
      <c r="G18" s="51"/>
      <c r="H18" s="30">
        <f t="shared" si="4"/>
        <v>90</v>
      </c>
      <c r="I18" s="31">
        <f t="shared" si="5"/>
        <v>1.5</v>
      </c>
      <c r="J18" s="32">
        <f t="shared" si="2"/>
        <v>0.82389059937714038</v>
      </c>
      <c r="K18" s="15"/>
    </row>
    <row r="19" spans="1:11">
      <c r="A19" s="13"/>
      <c r="B19" s="51"/>
      <c r="C19" s="26"/>
      <c r="D19" s="30">
        <f t="shared" si="3"/>
        <v>96</v>
      </c>
      <c r="E19" s="31">
        <f t="shared" si="0"/>
        <v>1.5</v>
      </c>
      <c r="F19" s="32">
        <f t="shared" si="1"/>
        <v>0.80883442541526362</v>
      </c>
      <c r="G19" s="51"/>
      <c r="H19" s="30">
        <f t="shared" si="4"/>
        <v>96</v>
      </c>
      <c r="I19" s="31">
        <f t="shared" si="5"/>
        <v>1.5</v>
      </c>
      <c r="J19" s="32">
        <f t="shared" si="2"/>
        <v>0.80883442541526362</v>
      </c>
      <c r="K19" s="15"/>
    </row>
    <row r="20" spans="1:11">
      <c r="A20" s="13"/>
      <c r="B20" s="51"/>
      <c r="C20" s="26"/>
      <c r="D20" s="30">
        <f t="shared" si="3"/>
        <v>102</v>
      </c>
      <c r="E20" s="31">
        <f t="shared" si="0"/>
        <v>1.5</v>
      </c>
      <c r="F20" s="32">
        <f t="shared" si="1"/>
        <v>0.79373216973535676</v>
      </c>
      <c r="G20" s="51"/>
      <c r="H20" s="30">
        <f t="shared" si="4"/>
        <v>102</v>
      </c>
      <c r="I20" s="31">
        <f t="shared" si="5"/>
        <v>1.5</v>
      </c>
      <c r="J20" s="32">
        <f t="shared" si="2"/>
        <v>0.79373216973535676</v>
      </c>
      <c r="K20" s="15"/>
    </row>
    <row r="21" spans="1:11">
      <c r="A21" s="13"/>
      <c r="B21" s="51"/>
      <c r="C21" s="26"/>
      <c r="D21" s="30">
        <f t="shared" si="3"/>
        <v>108</v>
      </c>
      <c r="E21" s="31">
        <f t="shared" si="0"/>
        <v>1.5</v>
      </c>
      <c r="F21" s="32">
        <f t="shared" si="1"/>
        <v>0.77862464458719227</v>
      </c>
      <c r="G21" s="51"/>
      <c r="H21" s="30">
        <f t="shared" si="4"/>
        <v>108</v>
      </c>
      <c r="I21" s="31">
        <f t="shared" si="5"/>
        <v>1.5</v>
      </c>
      <c r="J21" s="32">
        <f t="shared" si="2"/>
        <v>0.77862464458719227</v>
      </c>
      <c r="K21" s="15"/>
    </row>
    <row r="22" spans="1:11">
      <c r="A22" s="13"/>
      <c r="B22" s="51"/>
      <c r="C22" s="26"/>
      <c r="D22" s="30">
        <f t="shared" si="3"/>
        <v>114</v>
      </c>
      <c r="E22" s="31">
        <f t="shared" si="0"/>
        <v>1.5</v>
      </c>
      <c r="F22" s="32">
        <f t="shared" si="1"/>
        <v>0.76354836620898181</v>
      </c>
      <c r="G22" s="51"/>
      <c r="H22" s="30">
        <f t="shared" si="4"/>
        <v>114</v>
      </c>
      <c r="I22" s="31">
        <f t="shared" si="5"/>
        <v>1.5</v>
      </c>
      <c r="J22" s="32">
        <f t="shared" si="2"/>
        <v>0.76354836620898181</v>
      </c>
      <c r="K22" s="15"/>
    </row>
    <row r="23" spans="1:11">
      <c r="A23" s="13"/>
      <c r="B23" s="51"/>
      <c r="C23" s="26"/>
      <c r="D23" s="35">
        <f t="shared" si="3"/>
        <v>120</v>
      </c>
      <c r="E23" s="36">
        <f>bond_principal*(bond_coupon/2+1)</f>
        <v>101.49999999999999</v>
      </c>
      <c r="F23" s="37">
        <f t="shared" si="1"/>
        <v>0.74853585960316882</v>
      </c>
      <c r="G23" s="51"/>
      <c r="H23" s="35">
        <f t="shared" si="4"/>
        <v>120</v>
      </c>
      <c r="I23" s="36">
        <f>bond_principal*(bond_coupon/2+1)</f>
        <v>101.49999999999999</v>
      </c>
      <c r="J23" s="37">
        <f t="shared" si="2"/>
        <v>0.74853585960316882</v>
      </c>
      <c r="K23" s="15"/>
    </row>
    <row r="24" spans="1:11" ht="18" customHeight="1">
      <c r="A24" s="13"/>
      <c r="B24" s="51"/>
      <c r="C24" s="51"/>
      <c r="D24" s="53"/>
      <c r="E24" s="17" t="s">
        <v>44</v>
      </c>
      <c r="F24" s="38">
        <f>SUMPRODUCT(E4:E23,F4:F23)</f>
        <v>101.35076152992461</v>
      </c>
      <c r="G24" s="51"/>
      <c r="H24" s="53"/>
      <c r="I24" s="17" t="s">
        <v>45</v>
      </c>
      <c r="J24" s="38">
        <f>SUMPRODUCT(I4:I23,J4:J23)/J13</f>
        <v>97.126596127957683</v>
      </c>
      <c r="K24" s="15"/>
    </row>
    <row r="25" spans="1:11" ht="18" customHeight="1">
      <c r="A25" s="13"/>
      <c r="B25" s="51"/>
      <c r="C25" s="51"/>
      <c r="D25" s="16"/>
      <c r="E25" s="17"/>
      <c r="F25" s="16"/>
      <c r="G25" s="51"/>
      <c r="H25" s="51"/>
      <c r="I25" s="51"/>
      <c r="J25" s="51"/>
      <c r="K25" s="15"/>
    </row>
    <row r="26" spans="1:11">
      <c r="A26" s="13"/>
      <c r="B26" s="51"/>
      <c r="C26" s="51"/>
      <c r="D26" s="16"/>
      <c r="E26" s="16"/>
      <c r="F26" s="16"/>
      <c r="G26" s="51"/>
      <c r="H26" s="51"/>
      <c r="I26" s="51"/>
      <c r="J26" s="51"/>
      <c r="K26" s="15"/>
    </row>
    <row r="27" spans="1:11" ht="33" customHeight="1">
      <c r="A27" s="13"/>
      <c r="B27" s="51"/>
      <c r="C27" s="51"/>
      <c r="D27" s="104" t="s">
        <v>54</v>
      </c>
      <c r="E27" s="105"/>
      <c r="F27" s="106"/>
      <c r="G27" s="51"/>
      <c r="H27" s="107" t="s">
        <v>50</v>
      </c>
      <c r="I27" s="108"/>
      <c r="J27" s="109"/>
      <c r="K27" s="15"/>
    </row>
    <row r="28" spans="1:11" ht="20.25" customHeight="1">
      <c r="A28" s="13"/>
      <c r="B28" s="51"/>
      <c r="C28" s="51"/>
      <c r="D28" s="27" t="s">
        <v>30</v>
      </c>
      <c r="E28" s="28" t="s">
        <v>7</v>
      </c>
      <c r="F28" s="39" t="s">
        <v>49</v>
      </c>
      <c r="G28" s="51"/>
      <c r="H28" s="24"/>
      <c r="I28" s="17" t="s">
        <v>51</v>
      </c>
      <c r="J28" s="40">
        <f>J24</f>
        <v>97.126596127957683</v>
      </c>
      <c r="K28" s="15"/>
    </row>
    <row r="29" spans="1:11">
      <c r="A29" s="13"/>
      <c r="B29" s="51"/>
      <c r="C29" s="51"/>
      <c r="D29" s="30">
        <v>6</v>
      </c>
      <c r="E29" s="31">
        <f t="shared" ref="E29:E37" si="6">bond_principal*(bond_coupon/2)</f>
        <v>1.5</v>
      </c>
      <c r="F29" s="32">
        <f>1/(1+fwrd_yield/2)</f>
        <v>0.9821559155955103</v>
      </c>
      <c r="G29" s="51"/>
      <c r="H29" s="33"/>
      <c r="I29" s="41" t="s">
        <v>52</v>
      </c>
      <c r="J29" s="42">
        <v>97.082016618501399</v>
      </c>
      <c r="K29" s="15"/>
    </row>
    <row r="30" spans="1:11" ht="15.75">
      <c r="A30" s="13"/>
      <c r="B30" s="51"/>
      <c r="C30" s="51"/>
      <c r="D30" s="30">
        <f t="shared" ref="D30:D38" si="7">D29+6</f>
        <v>12</v>
      </c>
      <c r="E30" s="31">
        <f t="shared" si="6"/>
        <v>1.5</v>
      </c>
      <c r="F30" s="32">
        <f t="shared" ref="F30:F38" si="8">F29/(1+fwrd_yield/2)</f>
        <v>0.96463024253925511</v>
      </c>
      <c r="G30" s="51"/>
      <c r="H30" s="51"/>
      <c r="I30" s="17" t="s">
        <v>53</v>
      </c>
      <c r="J30" s="43">
        <f>(J28-J29)/0.0001/J28</f>
        <v>4.5898354553219907</v>
      </c>
      <c r="K30" s="15"/>
    </row>
    <row r="31" spans="1:11">
      <c r="A31" s="13"/>
      <c r="B31" s="51"/>
      <c r="C31" s="51"/>
      <c r="D31" s="30">
        <f t="shared" si="7"/>
        <v>18</v>
      </c>
      <c r="E31" s="31">
        <f t="shared" si="6"/>
        <v>1.5</v>
      </c>
      <c r="F31" s="32">
        <f t="shared" si="8"/>
        <v>0.94741729907226124</v>
      </c>
      <c r="G31" s="51"/>
      <c r="H31" s="51"/>
      <c r="I31" s="51"/>
      <c r="J31" s="51"/>
      <c r="K31" s="15"/>
    </row>
    <row r="32" spans="1:11">
      <c r="A32" s="13"/>
      <c r="B32" s="51"/>
      <c r="C32" s="51"/>
      <c r="D32" s="30">
        <f t="shared" si="7"/>
        <v>24</v>
      </c>
      <c r="E32" s="31">
        <f t="shared" si="6"/>
        <v>1.5</v>
      </c>
      <c r="F32" s="32">
        <f t="shared" si="8"/>
        <v>0.93051150482134215</v>
      </c>
      <c r="G32" s="51"/>
      <c r="H32" s="51"/>
      <c r="I32" s="51"/>
      <c r="J32" s="51"/>
      <c r="K32" s="15"/>
    </row>
    <row r="33" spans="1:11" ht="15.75">
      <c r="A33" s="13"/>
      <c r="B33" s="51"/>
      <c r="C33" s="51"/>
      <c r="D33" s="30">
        <f t="shared" si="7"/>
        <v>30</v>
      </c>
      <c r="E33" s="31">
        <f t="shared" si="6"/>
        <v>1.5</v>
      </c>
      <c r="F33" s="32">
        <f t="shared" si="8"/>
        <v>0.91390737898996144</v>
      </c>
      <c r="G33" s="51"/>
      <c r="H33" s="102" t="s">
        <v>10</v>
      </c>
      <c r="I33" s="103"/>
      <c r="J33" s="44">
        <f>duration*fwrd_yield*bond_yield_volat</f>
        <v>5.0033651460211666E-2</v>
      </c>
      <c r="K33" s="15"/>
    </row>
    <row r="34" spans="1:11" ht="18.75">
      <c r="A34" s="13"/>
      <c r="B34" s="51"/>
      <c r="C34" s="51"/>
      <c r="D34" s="30">
        <f t="shared" si="7"/>
        <v>36</v>
      </c>
      <c r="E34" s="31">
        <f t="shared" si="6"/>
        <v>1.5</v>
      </c>
      <c r="F34" s="32">
        <f t="shared" si="8"/>
        <v>0.89759953858137864</v>
      </c>
      <c r="G34" s="51"/>
      <c r="H34" s="16"/>
      <c r="I34" s="14" t="s">
        <v>0</v>
      </c>
      <c r="J34" s="45">
        <f>(LN(fwrd_price/call_strike)+volat^2*call_time*1/2)/(volat*SQRT(call_time))</f>
        <v>-0.20465503331718193</v>
      </c>
      <c r="K34" s="15"/>
    </row>
    <row r="35" spans="1:11" ht="18.75">
      <c r="A35" s="13"/>
      <c r="B35" s="51"/>
      <c r="C35" s="51"/>
      <c r="D35" s="30">
        <f t="shared" si="7"/>
        <v>42</v>
      </c>
      <c r="E35" s="31">
        <f t="shared" si="6"/>
        <v>1.5</v>
      </c>
      <c r="F35" s="32">
        <f t="shared" si="8"/>
        <v>0.88158269665350153</v>
      </c>
      <c r="G35" s="51"/>
      <c r="H35" s="16"/>
      <c r="I35" s="14" t="s">
        <v>1</v>
      </c>
      <c r="J35" s="45">
        <f>J34-volat*SQRT(call_time)</f>
        <v>-0.31653367914474684</v>
      </c>
      <c r="K35" s="15"/>
    </row>
    <row r="36" spans="1:11" ht="15.75">
      <c r="A36" s="13"/>
      <c r="B36" s="51"/>
      <c r="C36" s="51"/>
      <c r="D36" s="30">
        <f t="shared" si="7"/>
        <v>48</v>
      </c>
      <c r="E36" s="31">
        <f t="shared" si="6"/>
        <v>1.5</v>
      </c>
      <c r="F36" s="32">
        <f t="shared" si="8"/>
        <v>0.86585166060487884</v>
      </c>
      <c r="G36" s="51"/>
      <c r="H36" s="102" t="s">
        <v>2</v>
      </c>
      <c r="I36" s="103"/>
      <c r="J36" s="46">
        <f>J13*(fwrd_price*NORMSDIST(J34)-call_strike*NORMSDIST(J35))</f>
        <v>2.7874123456272368</v>
      </c>
      <c r="K36" s="15"/>
    </row>
    <row r="37" spans="1:11" ht="15.75">
      <c r="A37" s="13"/>
      <c r="B37" s="51"/>
      <c r="C37" s="51"/>
      <c r="D37" s="30">
        <f t="shared" si="7"/>
        <v>54</v>
      </c>
      <c r="E37" s="31">
        <f t="shared" si="6"/>
        <v>1.5</v>
      </c>
      <c r="F37" s="32">
        <f t="shared" si="8"/>
        <v>0.85040133049127786</v>
      </c>
      <c r="G37" s="51"/>
      <c r="H37" s="102" t="s">
        <v>11</v>
      </c>
      <c r="I37" s="103"/>
      <c r="J37" s="56">
        <f>bond_price-call_price</f>
        <v>98.56334918429738</v>
      </c>
      <c r="K37" s="15"/>
    </row>
    <row r="38" spans="1:11">
      <c r="A38" s="13"/>
      <c r="B38" s="51"/>
      <c r="C38" s="51"/>
      <c r="D38" s="35">
        <f t="shared" si="7"/>
        <v>60</v>
      </c>
      <c r="E38" s="36">
        <f>bond_principal*(bond_coupon/2+1)</f>
        <v>101.49999999999999</v>
      </c>
      <c r="F38" s="37">
        <f t="shared" si="8"/>
        <v>0.83522669737230115</v>
      </c>
      <c r="G38" s="51"/>
      <c r="H38" s="51"/>
      <c r="I38" s="51"/>
      <c r="J38" s="51"/>
      <c r="K38" s="15"/>
    </row>
    <row r="39" spans="1:11" ht="15.75">
      <c r="A39" s="13"/>
      <c r="B39" s="51"/>
      <c r="C39" s="51"/>
      <c r="D39" s="53"/>
      <c r="E39" s="17" t="s">
        <v>47</v>
      </c>
      <c r="F39" s="47">
        <v>3.6336561478979103E-2</v>
      </c>
      <c r="G39" s="51"/>
      <c r="H39" s="51"/>
      <c r="I39" s="51"/>
      <c r="J39" s="51"/>
      <c r="K39" s="15"/>
    </row>
    <row r="40" spans="1:11">
      <c r="A40" s="13"/>
      <c r="B40" s="51"/>
      <c r="C40" s="51"/>
      <c r="D40" s="16"/>
      <c r="E40" s="17" t="s">
        <v>55</v>
      </c>
      <c r="F40" s="46">
        <f>SUMPRODUCT(E29:E38,F29:F38)</f>
        <v>97.126596134312607</v>
      </c>
      <c r="G40" s="51"/>
      <c r="H40" s="51"/>
      <c r="I40" s="51"/>
      <c r="J40" s="51"/>
      <c r="K40" s="15"/>
    </row>
    <row r="41" spans="1:11">
      <c r="A41" s="13"/>
      <c r="B41" s="51"/>
      <c r="C41" s="51"/>
      <c r="D41" s="16"/>
      <c r="E41" s="16" t="s">
        <v>48</v>
      </c>
      <c r="F41" s="54">
        <f>F40-J24</f>
        <v>6.3549236983817536E-9</v>
      </c>
      <c r="G41" s="51"/>
      <c r="H41" s="51"/>
      <c r="I41" s="51"/>
      <c r="J41" s="51"/>
      <c r="K41" s="15"/>
    </row>
    <row r="42" spans="1:11" ht="15.75" thickBot="1">
      <c r="A42" s="19"/>
      <c r="B42" s="55"/>
      <c r="C42" s="55"/>
      <c r="D42" s="20"/>
      <c r="E42" s="20"/>
      <c r="F42" s="20"/>
      <c r="G42" s="55"/>
      <c r="H42" s="55"/>
      <c r="I42" s="55"/>
      <c r="J42" s="55"/>
      <c r="K42" s="21"/>
    </row>
  </sheetData>
  <customSheetViews>
    <customSheetView guid="{68815E05-D758-4219-8229-C815838A39D9}">
      <selection activeCell="M31" sqref="M31"/>
      <pageMargins left="0.75" right="0.75" top="1" bottom="1" header="0.5" footer="0.5"/>
      <pageSetup paperSize="9" orientation="portrait" horizontalDpi="96" verticalDpi="96" r:id="rId1"/>
      <headerFooter alignWithMargins="0"/>
    </customSheetView>
  </customSheetViews>
  <mergeCells count="7">
    <mergeCell ref="H36:I36"/>
    <mergeCell ref="H37:I37"/>
    <mergeCell ref="H33:I33"/>
    <mergeCell ref="D2:F2"/>
    <mergeCell ref="H2:J2"/>
    <mergeCell ref="D27:F27"/>
    <mergeCell ref="H27:J27"/>
  </mergeCells>
  <phoneticPr fontId="2" type="noConversion"/>
  <pageMargins left="0.75" right="0.75" top="1" bottom="1" header="0.5" footer="0.5"/>
  <pageSetup paperSize="9" orientation="portrait" horizontalDpi="96" verticalDpi="96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zoomScale="85" zoomScaleNormal="85" workbookViewId="0">
      <selection activeCell="M48" sqref="M48"/>
    </sheetView>
  </sheetViews>
  <sheetFormatPr defaultRowHeight="15"/>
  <cols>
    <col min="1" max="1" width="5" style="1" customWidth="1"/>
    <col min="2" max="2" width="13.75" style="2" customWidth="1"/>
    <col min="3" max="3" width="11.625" style="3" customWidth="1"/>
    <col min="4" max="4" width="12" style="2" bestFit="1" customWidth="1"/>
    <col min="5" max="5" width="9" style="1"/>
    <col min="6" max="6" width="10.125" style="1" customWidth="1"/>
    <col min="7" max="7" width="13.875" style="1" customWidth="1"/>
    <col min="8" max="8" width="6.5" style="1" customWidth="1"/>
    <col min="9" max="16384" width="9" style="1"/>
  </cols>
  <sheetData>
    <row r="1" spans="1:8">
      <c r="A1" s="10"/>
      <c r="B1" s="11"/>
      <c r="C1" s="73"/>
      <c r="D1" s="11"/>
      <c r="E1" s="48"/>
      <c r="F1" s="48"/>
      <c r="G1" s="48"/>
      <c r="H1" s="12"/>
    </row>
    <row r="2" spans="1:8" ht="22.5" customHeight="1">
      <c r="A2" s="13"/>
      <c r="B2" s="59" t="s">
        <v>32</v>
      </c>
      <c r="C2" s="60">
        <v>100</v>
      </c>
      <c r="D2" s="16"/>
      <c r="E2" s="51"/>
      <c r="F2" s="51"/>
      <c r="G2" s="51"/>
      <c r="H2" s="15"/>
    </row>
    <row r="3" spans="1:8" ht="18" customHeight="1">
      <c r="A3" s="13"/>
      <c r="B3" s="61" t="s">
        <v>25</v>
      </c>
      <c r="C3" s="62">
        <v>0.05</v>
      </c>
      <c r="D3" s="16"/>
      <c r="E3" s="51"/>
      <c r="F3" s="51"/>
      <c r="G3" s="51"/>
      <c r="H3" s="15"/>
    </row>
    <row r="4" spans="1:8" ht="15.75" customHeight="1">
      <c r="A4" s="13"/>
      <c r="B4" s="63" t="s">
        <v>31</v>
      </c>
      <c r="C4" s="64">
        <v>0.3</v>
      </c>
      <c r="D4" s="16"/>
      <c r="E4" s="51"/>
      <c r="F4" s="51"/>
      <c r="G4" s="51"/>
      <c r="H4" s="15"/>
    </row>
    <row r="5" spans="1:8">
      <c r="A5" s="13"/>
      <c r="B5" s="16"/>
      <c r="C5" s="74"/>
      <c r="D5" s="16"/>
      <c r="E5" s="51"/>
      <c r="F5" s="51"/>
      <c r="G5" s="51"/>
      <c r="H5" s="15"/>
    </row>
    <row r="6" spans="1:8" ht="15.75">
      <c r="A6" s="13"/>
      <c r="B6" s="27" t="s">
        <v>30</v>
      </c>
      <c r="C6" s="65" t="s">
        <v>12</v>
      </c>
      <c r="D6" s="28" t="s">
        <v>13</v>
      </c>
      <c r="E6" s="28" t="s">
        <v>33</v>
      </c>
      <c r="F6" s="28" t="s">
        <v>34</v>
      </c>
      <c r="G6" s="29" t="s">
        <v>35</v>
      </c>
      <c r="H6" s="15"/>
    </row>
    <row r="7" spans="1:8">
      <c r="A7" s="13"/>
      <c r="B7" s="30">
        <v>0</v>
      </c>
      <c r="C7" s="66">
        <f>EXP(-(0.04-0.03*EXP(-B7/120))*B7/12)</f>
        <v>1</v>
      </c>
      <c r="D7" s="67">
        <f>(C7/C8-1)*4</f>
        <v>1.0755135891512779E-2</v>
      </c>
      <c r="E7" s="51"/>
      <c r="F7" s="51"/>
      <c r="G7" s="26"/>
      <c r="H7" s="15"/>
    </row>
    <row r="8" spans="1:8">
      <c r="A8" s="13"/>
      <c r="B8" s="30">
        <f>B7+3</f>
        <v>3</v>
      </c>
      <c r="C8" s="66">
        <f t="shared" ref="C8:C47" si="0">EXP(-(0.04-0.03*EXP(-B8/120))*B8/12)</f>
        <v>0.99731842619977795</v>
      </c>
      <c r="D8" s="67">
        <f t="shared" ref="D8:D46" si="1">(C8/C9-1)*4</f>
        <v>1.2204111651470839E-2</v>
      </c>
      <c r="E8" s="51">
        <f t="shared" ref="E8:E46" si="2">LN(D8/cap_rate)/(cap_vol*SQRT(B8/12))+cap_vol*SQRT(B8/12)/2</f>
        <v>-9.326667265701742</v>
      </c>
      <c r="F8" s="76">
        <f t="shared" ref="F8:F46" si="3">E8-cap_vol*SQRT(B8/12)</f>
        <v>-9.4766672657017423</v>
      </c>
      <c r="G8" s="26"/>
      <c r="H8" s="15"/>
    </row>
    <row r="9" spans="1:8">
      <c r="A9" s="13"/>
      <c r="B9" s="30">
        <f t="shared" ref="B9:B47" si="4">B8+3</f>
        <v>6</v>
      </c>
      <c r="C9" s="66">
        <f t="shared" si="0"/>
        <v>0.99428483541358992</v>
      </c>
      <c r="D9" s="67">
        <f t="shared" si="1"/>
        <v>1.3599919154468232E-2</v>
      </c>
      <c r="E9" s="51">
        <f t="shared" si="2"/>
        <v>-6.0314283088485841</v>
      </c>
      <c r="F9" s="76">
        <f t="shared" si="3"/>
        <v>-6.2435603432045479</v>
      </c>
      <c r="G9" s="68">
        <f t="shared" ref="G9:G47" si="5">cap_principal*0.25*C9*(D8*_xlfn.NORM.S.DIST(E8, TRUE)-cap_rate*_xlfn.NORM.S.DIST(F8,TRUE))</f>
        <v>2.5671532590330482E-23</v>
      </c>
      <c r="H9" s="15"/>
    </row>
    <row r="10" spans="1:8">
      <c r="A10" s="13"/>
      <c r="B10" s="30">
        <f t="shared" si="4"/>
        <v>9</v>
      </c>
      <c r="C10" s="66">
        <f t="shared" si="0"/>
        <v>0.99091574191884335</v>
      </c>
      <c r="D10" s="67">
        <f t="shared" si="1"/>
        <v>1.4944270671026771E-2</v>
      </c>
      <c r="E10" s="51">
        <f t="shared" si="2"/>
        <v>-4.5185164569888148</v>
      </c>
      <c r="F10" s="76">
        <f t="shared" si="3"/>
        <v>-4.7783240781241467</v>
      </c>
      <c r="G10" s="68">
        <f t="shared" si="5"/>
        <v>8.8698937740154822E-12</v>
      </c>
      <c r="H10" s="15"/>
    </row>
    <row r="11" spans="1:8">
      <c r="A11" s="13"/>
      <c r="B11" s="30">
        <f t="shared" si="4"/>
        <v>12</v>
      </c>
      <c r="C11" s="66">
        <f t="shared" si="0"/>
        <v>0.9872273935729915</v>
      </c>
      <c r="D11" s="67">
        <f t="shared" si="1"/>
        <v>1.6238828278451578E-2</v>
      </c>
      <c r="E11" s="51">
        <f t="shared" si="2"/>
        <v>-3.5987260787974229</v>
      </c>
      <c r="F11" s="76">
        <f t="shared" si="3"/>
        <v>-3.8987260787974227</v>
      </c>
      <c r="G11" s="68">
        <f t="shared" si="5"/>
        <v>5.7795245405575387E-8</v>
      </c>
      <c r="H11" s="15"/>
    </row>
    <row r="12" spans="1:8">
      <c r="A12" s="13"/>
      <c r="B12" s="30">
        <f t="shared" si="4"/>
        <v>15</v>
      </c>
      <c r="C12" s="66">
        <f t="shared" si="0"/>
        <v>0.98323574447007034</v>
      </c>
      <c r="D12" s="67">
        <f t="shared" si="1"/>
        <v>1.7485205174328833E-2</v>
      </c>
      <c r="E12" s="51">
        <f t="shared" si="2"/>
        <v>-2.9647813652731676</v>
      </c>
      <c r="F12" s="76">
        <f t="shared" si="3"/>
        <v>-3.3001915618981359</v>
      </c>
      <c r="G12" s="68">
        <f t="shared" si="5"/>
        <v>4.3980698878380671E-6</v>
      </c>
      <c r="H12" s="15"/>
    </row>
    <row r="13" spans="1:8">
      <c r="A13" s="13"/>
      <c r="B13" s="30">
        <f t="shared" si="4"/>
        <v>18</v>
      </c>
      <c r="C13" s="66">
        <f t="shared" si="0"/>
        <v>0.97895643095706719</v>
      </c>
      <c r="D13" s="67">
        <f t="shared" si="1"/>
        <v>1.8684966963036231E-2</v>
      </c>
      <c r="E13" s="51">
        <f t="shared" si="2"/>
        <v>-2.4952236502703391</v>
      </c>
      <c r="F13" s="76">
        <f t="shared" si="3"/>
        <v>-2.8626471116878158</v>
      </c>
      <c r="G13" s="68">
        <f t="shared" si="5"/>
        <v>5.6937694315026006E-5</v>
      </c>
      <c r="H13" s="15"/>
    </row>
    <row r="14" spans="1:8">
      <c r="A14" s="13"/>
      <c r="B14" s="30">
        <f t="shared" si="4"/>
        <v>21</v>
      </c>
      <c r="C14" s="66">
        <f t="shared" si="0"/>
        <v>0.97440475081267708</v>
      </c>
      <c r="D14" s="67">
        <f t="shared" si="1"/>
        <v>1.9839632915346073E-2</v>
      </c>
      <c r="E14" s="51">
        <f t="shared" si="2"/>
        <v>-2.130690067649236</v>
      </c>
      <c r="F14" s="76">
        <f t="shared" si="3"/>
        <v>-2.5275527643089246</v>
      </c>
      <c r="G14" s="68">
        <f t="shared" si="5"/>
        <v>3.0624437362668472E-4</v>
      </c>
      <c r="H14" s="15"/>
    </row>
    <row r="15" spans="1:8">
      <c r="A15" s="13"/>
      <c r="B15" s="30">
        <f t="shared" si="4"/>
        <v>24</v>
      </c>
      <c r="C15" s="66">
        <f t="shared" si="0"/>
        <v>0.96959564539245091</v>
      </c>
      <c r="D15" s="67">
        <f t="shared" si="1"/>
        <v>2.0950677201291512E-2</v>
      </c>
      <c r="E15" s="51">
        <f t="shared" si="2"/>
        <v>-1.8381288740903385</v>
      </c>
      <c r="F15" s="76">
        <f t="shared" si="3"/>
        <v>-2.2623929428022671</v>
      </c>
      <c r="G15" s="68">
        <f t="shared" si="5"/>
        <v>1.0020814146484739E-3</v>
      </c>
      <c r="H15" s="15"/>
    </row>
    <row r="16" spans="1:8">
      <c r="A16" s="13"/>
      <c r="B16" s="30">
        <f t="shared" si="4"/>
        <v>27</v>
      </c>
      <c r="C16" s="66">
        <f t="shared" si="0"/>
        <v>0.96454368454707828</v>
      </c>
      <c r="D16" s="67">
        <f t="shared" si="1"/>
        <v>2.2019530096465623E-2</v>
      </c>
      <c r="E16" s="51">
        <f t="shared" si="2"/>
        <v>-1.5974293649177946</v>
      </c>
      <c r="F16" s="76">
        <f t="shared" si="3"/>
        <v>-2.0474293649177948</v>
      </c>
      <c r="G16" s="68">
        <f t="shared" si="5"/>
        <v>2.4113289515679368E-3</v>
      </c>
      <c r="H16" s="15"/>
    </row>
    <row r="17" spans="1:8">
      <c r="A17" s="13"/>
      <c r="B17" s="30">
        <f t="shared" si="4"/>
        <v>30</v>
      </c>
      <c r="C17" s="66">
        <f t="shared" si="0"/>
        <v>0.95926305412439827</v>
      </c>
      <c r="D17" s="67">
        <f t="shared" si="1"/>
        <v>2.3047579161972642E-2</v>
      </c>
      <c r="E17" s="51">
        <f t="shared" si="2"/>
        <v>-1.3955389925643129</v>
      </c>
      <c r="F17" s="76">
        <f t="shared" si="3"/>
        <v>-1.8698806415895697</v>
      </c>
      <c r="G17" s="68">
        <f t="shared" si="5"/>
        <v>4.7375008773221953E-3</v>
      </c>
      <c r="H17" s="15"/>
    </row>
    <row r="18" spans="1:8">
      <c r="A18" s="13"/>
      <c r="B18" s="30">
        <f t="shared" si="4"/>
        <v>33</v>
      </c>
      <c r="C18" s="66">
        <f t="shared" si="0"/>
        <v>0.95376754587050561</v>
      </c>
      <c r="D18" s="67">
        <f t="shared" si="1"/>
        <v>2.4036170398243684E-2</v>
      </c>
      <c r="E18" s="51">
        <f t="shared" si="2"/>
        <v>-1.2235595887699326</v>
      </c>
      <c r="F18" s="76">
        <f t="shared" si="3"/>
        <v>-1.7210533073232426</v>
      </c>
      <c r="G18" s="68">
        <f t="shared" si="5"/>
        <v>8.0874252821939215E-3</v>
      </c>
      <c r="H18" s="15"/>
    </row>
    <row r="19" spans="1:8">
      <c r="A19" s="13"/>
      <c r="B19" s="30">
        <f t="shared" si="4"/>
        <v>36</v>
      </c>
      <c r="C19" s="66">
        <f t="shared" si="0"/>
        <v>0.94807054955086534</v>
      </c>
      <c r="D19" s="67">
        <f t="shared" si="1"/>
        <v>2.4986609373005564E-2</v>
      </c>
      <c r="E19" s="51">
        <f t="shared" si="2"/>
        <v>-1.0751858369217464</v>
      </c>
      <c r="F19" s="76">
        <f t="shared" si="3"/>
        <v>-1.5948010791924094</v>
      </c>
      <c r="G19" s="68">
        <f t="shared" si="5"/>
        <v>1.2476398388482952E-2</v>
      </c>
      <c r="H19" s="15"/>
    </row>
    <row r="20" spans="1:8">
      <c r="A20" s="13"/>
      <c r="B20" s="30">
        <f t="shared" si="4"/>
        <v>39</v>
      </c>
      <c r="C20" s="66">
        <f t="shared" si="0"/>
        <v>0.94218504711850604</v>
      </c>
      <c r="D20" s="67">
        <f t="shared" si="1"/>
        <v>2.5900162323641673E-2</v>
      </c>
      <c r="E20" s="51">
        <f t="shared" si="2"/>
        <v>-0.94580778423755207</v>
      </c>
      <c r="F20" s="76">
        <f t="shared" si="3"/>
        <v>-1.4866404755571505</v>
      </c>
      <c r="G20" s="68">
        <f t="shared" si="5"/>
        <v>1.7850544089157303E-2</v>
      </c>
      <c r="H20" s="15"/>
    </row>
    <row r="21" spans="1:8">
      <c r="A21" s="13"/>
      <c r="B21" s="30">
        <f t="shared" si="4"/>
        <v>42</v>
      </c>
      <c r="C21" s="66">
        <f t="shared" si="0"/>
        <v>0.93612360876301726</v>
      </c>
      <c r="D21" s="67">
        <f t="shared" si="1"/>
        <v>2.6778057234272623E-2</v>
      </c>
      <c r="E21" s="51">
        <f t="shared" si="2"/>
        <v>-0.83196680851298765</v>
      </c>
      <c r="F21" s="76">
        <f t="shared" si="3"/>
        <v>-1.3932154165290789</v>
      </c>
      <c r="G21" s="68">
        <f t="shared" si="5"/>
        <v>2.4111667118995591E-2</v>
      </c>
      <c r="H21" s="15"/>
    </row>
    <row r="22" spans="1:8">
      <c r="A22" s="13"/>
      <c r="B22" s="30">
        <f t="shared" si="4"/>
        <v>45</v>
      </c>
      <c r="C22" s="66">
        <f t="shared" si="0"/>
        <v>0.92989839068108826</v>
      </c>
      <c r="D22" s="67">
        <f t="shared" si="1"/>
        <v>2.762148488785332E-2</v>
      </c>
      <c r="E22" s="51">
        <f t="shared" si="2"/>
        <v>-0.73101114326744898</v>
      </c>
      <c r="F22" s="76">
        <f t="shared" si="3"/>
        <v>-1.3119586451985614</v>
      </c>
      <c r="G22" s="68">
        <f t="shared" si="5"/>
        <v>3.1138027128269203E-2</v>
      </c>
      <c r="H22" s="15"/>
    </row>
    <row r="23" spans="1:8">
      <c r="A23" s="13"/>
      <c r="B23" s="30">
        <f t="shared" si="4"/>
        <v>48</v>
      </c>
      <c r="C23" s="66">
        <f t="shared" si="0"/>
        <v>0.92352113441661277</v>
      </c>
      <c r="D23" s="67">
        <f t="shared" si="1"/>
        <v>2.8431599893626647E-2</v>
      </c>
      <c r="E23" s="51">
        <f t="shared" si="2"/>
        <v>-0.64086967751871549</v>
      </c>
      <c r="F23" s="76">
        <f t="shared" si="3"/>
        <v>-1.2408696775187154</v>
      </c>
      <c r="G23" s="68">
        <f t="shared" si="5"/>
        <v>3.879940775146485E-2</v>
      </c>
      <c r="H23" s="15"/>
    </row>
    <row r="24" spans="1:8">
      <c r="A24" s="13"/>
      <c r="B24" s="30">
        <f t="shared" si="4"/>
        <v>51</v>
      </c>
      <c r="C24" s="66">
        <f t="shared" si="0"/>
        <v>0.91700316762583134</v>
      </c>
      <c r="D24" s="67">
        <f t="shared" si="1"/>
        <v>2.9209521690245488E-2</v>
      </c>
      <c r="E24" s="51">
        <f t="shared" si="2"/>
        <v>-0.55989876801326099</v>
      </c>
      <c r="F24" s="76">
        <f t="shared" si="3"/>
        <v>-1.1783646118559101</v>
      </c>
      <c r="G24" s="68">
        <f t="shared" si="5"/>
        <v>4.6967032793981581E-2</v>
      </c>
      <c r="H24" s="15"/>
    </row>
    <row r="25" spans="1:8">
      <c r="A25" s="13"/>
      <c r="B25" s="30">
        <f t="shared" si="4"/>
        <v>54</v>
      </c>
      <c r="C25" s="66">
        <f t="shared" si="0"/>
        <v>0.9103554061305309</v>
      </c>
      <c r="D25" s="67">
        <f t="shared" si="1"/>
        <v>2.9956335524961908E-2</v>
      </c>
      <c r="E25" s="51">
        <f t="shared" si="2"/>
        <v>-0.48677571251213309</v>
      </c>
      <c r="F25" s="76">
        <f t="shared" si="3"/>
        <v>-1.1231718155800259</v>
      </c>
      <c r="G25" s="68">
        <f t="shared" si="5"/>
        <v>5.5519527755218137E-2</v>
      </c>
      <c r="H25" s="15"/>
    </row>
    <row r="26" spans="1:8">
      <c r="A26" s="13"/>
      <c r="B26" s="30">
        <f t="shared" si="4"/>
        <v>57</v>
      </c>
      <c r="C26" s="66">
        <f t="shared" si="0"/>
        <v>0.90358835712987295</v>
      </c>
      <c r="D26" s="67">
        <f t="shared" si="1"/>
        <v>3.0673093409204988E-2</v>
      </c>
      <c r="E26" s="51">
        <f t="shared" si="2"/>
        <v>-0.42042294758761944</v>
      </c>
      <c r="F26" s="76">
        <f t="shared" si="3"/>
        <v>-1.0742577891187204</v>
      </c>
      <c r="G26" s="68">
        <f t="shared" si="5"/>
        <v>6.4346106159739389E-2</v>
      </c>
      <c r="H26" s="15"/>
    </row>
    <row r="27" spans="1:8">
      <c r="A27" s="13"/>
      <c r="B27" s="30">
        <f t="shared" si="4"/>
        <v>60</v>
      </c>
      <c r="C27" s="66">
        <f t="shared" si="0"/>
        <v>0.89671212344894402</v>
      </c>
      <c r="D27" s="67">
        <f t="shared" si="1"/>
        <v>3.13608150509328E-2</v>
      </c>
      <c r="E27" s="51">
        <f t="shared" si="2"/>
        <v>-0.35995301062526069</v>
      </c>
      <c r="F27" s="76">
        <f t="shared" si="3"/>
        <v>-1.0307734038751977</v>
      </c>
      <c r="G27" s="68">
        <f t="shared" si="5"/>
        <v>7.3347925291385105E-2</v>
      </c>
      <c r="H27" s="15"/>
    </row>
    <row r="28" spans="1:8">
      <c r="A28" s="13"/>
      <c r="B28" s="30">
        <f t="shared" si="4"/>
        <v>63</v>
      </c>
      <c r="C28" s="66">
        <f t="shared" si="0"/>
        <v>0.88973640870953885</v>
      </c>
      <c r="D28" s="67">
        <f t="shared" si="1"/>
        <v>3.2020488764147537E-2</v>
      </c>
      <c r="E28" s="51">
        <f t="shared" si="2"/>
        <v>-0.30462785934580666</v>
      </c>
      <c r="F28" s="76">
        <f t="shared" si="3"/>
        <v>-0.99201421358918251</v>
      </c>
      <c r="G28" s="68">
        <f t="shared" si="5"/>
        <v>8.2438297479410963E-2</v>
      </c>
      <c r="H28" s="15"/>
    </row>
    <row r="29" spans="1:8">
      <c r="A29" s="13"/>
      <c r="B29" s="30">
        <f t="shared" si="4"/>
        <v>66</v>
      </c>
      <c r="C29" s="66">
        <f t="shared" si="0"/>
        <v>0.88267052331596796</v>
      </c>
      <c r="D29" s="67">
        <f t="shared" si="1"/>
        <v>3.2653072355944168E-2</v>
      </c>
      <c r="E29" s="51">
        <f t="shared" si="2"/>
        <v>-0.25382832219958085</v>
      </c>
      <c r="F29" s="76">
        <f t="shared" si="3"/>
        <v>-0.95739068617309531</v>
      </c>
      <c r="G29" s="68">
        <f t="shared" si="5"/>
        <v>9.1542227239435184E-2</v>
      </c>
      <c r="H29" s="15"/>
    </row>
    <row r="30" spans="1:8">
      <c r="A30" s="13"/>
      <c r="B30" s="30">
        <f t="shared" si="4"/>
        <v>69</v>
      </c>
      <c r="C30" s="66">
        <f t="shared" si="0"/>
        <v>0.87552339115578515</v>
      </c>
      <c r="D30" s="67">
        <f t="shared" si="1"/>
        <v>3.3259493991479872E-2</v>
      </c>
      <c r="E30" s="51">
        <f t="shared" si="2"/>
        <v>-0.20703082775243087</v>
      </c>
      <c r="F30" s="76">
        <f t="shared" si="3"/>
        <v>-0.92640555624933874</v>
      </c>
      <c r="G30" s="68">
        <f t="shared" si="5"/>
        <v>0.1005955836831304</v>
      </c>
      <c r="H30" s="15"/>
    </row>
    <row r="31" spans="1:8">
      <c r="A31" s="13"/>
      <c r="B31" s="30">
        <f t="shared" si="4"/>
        <v>72</v>
      </c>
      <c r="C31" s="66">
        <f t="shared" si="0"/>
        <v>0.86830355692222638</v>
      </c>
      <c r="D31" s="67">
        <f t="shared" si="1"/>
        <v>3.3840653037277235E-2</v>
      </c>
      <c r="E31" s="51">
        <f t="shared" si="2"/>
        <v>-0.16378944967219516</v>
      </c>
      <c r="F31" s="76">
        <f t="shared" si="3"/>
        <v>-0.89863637250714845</v>
      </c>
      <c r="G31" s="68">
        <f t="shared" si="5"/>
        <v>0.10954410483526515</v>
      </c>
      <c r="H31" s="15"/>
    </row>
    <row r="32" spans="1:8">
      <c r="A32" s="13"/>
      <c r="B32" s="30">
        <f t="shared" si="4"/>
        <v>75</v>
      </c>
      <c r="C32" s="66">
        <f t="shared" si="0"/>
        <v>0.86101919397181736</v>
      </c>
      <c r="D32" s="67">
        <f t="shared" si="1"/>
        <v>3.439742088323694E-2</v>
      </c>
      <c r="E32" s="51">
        <f t="shared" si="2"/>
        <v>-0.12372189091202146</v>
      </c>
      <c r="F32" s="76">
        <f t="shared" si="3"/>
        <v>-0.87372189091202146</v>
      </c>
      <c r="G32" s="68">
        <f t="shared" si="5"/>
        <v>0.1183423544477315</v>
      </c>
      <c r="H32" s="15"/>
    </row>
    <row r="33" spans="1:8">
      <c r="A33" s="13"/>
      <c r="B33" s="30">
        <f t="shared" si="4"/>
        <v>78</v>
      </c>
      <c r="C33" s="66">
        <f t="shared" si="0"/>
        <v>0.85367811263702165</v>
      </c>
      <c r="D33" s="67">
        <f t="shared" si="1"/>
        <v>3.493064174377114E-2</v>
      </c>
      <c r="E33" s="51">
        <f t="shared" si="2"/>
        <v>-8.6498426244405902E-2</v>
      </c>
      <c r="F33" s="76">
        <f t="shared" si="3"/>
        <v>-0.85135135328332345</v>
      </c>
      <c r="G33" s="68">
        <f t="shared" si="5"/>
        <v>0.12695270202608405</v>
      </c>
      <c r="H33" s="15"/>
    </row>
    <row r="34" spans="1:8">
      <c r="A34" s="13"/>
      <c r="B34" s="30">
        <f t="shared" si="4"/>
        <v>81</v>
      </c>
      <c r="C34" s="66">
        <f t="shared" si="0"/>
        <v>0.84628776891995217</v>
      </c>
      <c r="D34" s="67">
        <f t="shared" si="1"/>
        <v>3.5441133438448347E-2</v>
      </c>
      <c r="E34" s="51">
        <f t="shared" si="2"/>
        <v>-5.1833093692691956E-2</v>
      </c>
      <c r="F34" s="76">
        <f t="shared" si="3"/>
        <v>-0.83125595709868672</v>
      </c>
      <c r="G34" s="68">
        <f t="shared" si="5"/>
        <v>0.13534436483052309</v>
      </c>
      <c r="H34" s="15"/>
    </row>
    <row r="35" spans="1:8">
      <c r="A35" s="13"/>
      <c r="B35" s="30">
        <f t="shared" si="4"/>
        <v>84</v>
      </c>
      <c r="C35" s="66">
        <f t="shared" si="0"/>
        <v>0.83885527349904565</v>
      </c>
      <c r="D35" s="67">
        <f t="shared" si="1"/>
        <v>3.5929688152565475E-2</v>
      </c>
      <c r="E35" s="51">
        <f t="shared" si="2"/>
        <v>-1.9476614677649884E-2</v>
      </c>
      <c r="F35" s="76">
        <f t="shared" si="3"/>
        <v>-0.81320200799702702</v>
      </c>
      <c r="G35" s="68">
        <f t="shared" si="5"/>
        <v>0.14349253060810546</v>
      </c>
      <c r="H35" s="15"/>
    </row>
    <row r="36" spans="1:8">
      <c r="A36" s="13"/>
      <c r="B36" s="30">
        <f t="shared" si="4"/>
        <v>87</v>
      </c>
      <c r="C36" s="66">
        <f t="shared" si="0"/>
        <v>0.83138740098619424</v>
      </c>
      <c r="D36" s="67">
        <f t="shared" si="1"/>
        <v>3.6397073178023653E-2</v>
      </c>
      <c r="E36" s="51">
        <f t="shared" si="2"/>
        <v>1.0789343312226973E-2</v>
      </c>
      <c r="F36" s="76">
        <f t="shared" si="3"/>
        <v>-0.79698537775794853</v>
      </c>
      <c r="G36" s="68">
        <f t="shared" si="5"/>
        <v>0.15137756762365182</v>
      </c>
      <c r="H36" s="15"/>
    </row>
    <row r="37" spans="1:8">
      <c r="A37" s="13"/>
      <c r="B37" s="30">
        <f t="shared" si="4"/>
        <v>90</v>
      </c>
      <c r="C37" s="66">
        <f t="shared" si="0"/>
        <v>0.82389059937714038</v>
      </c>
      <c r="D37" s="67">
        <f t="shared" si="1"/>
        <v>3.6844031634938545E-2</v>
      </c>
      <c r="E37" s="51">
        <f t="shared" si="2"/>
        <v>3.9156851554516148E-2</v>
      </c>
      <c r="F37" s="76">
        <f t="shared" si="3"/>
        <v>-0.78242698470323302</v>
      </c>
      <c r="G37" s="68">
        <f t="shared" si="5"/>
        <v>0.15898432139729485</v>
      </c>
      <c r="H37" s="15"/>
    </row>
    <row r="38" spans="1:8">
      <c r="A38" s="13"/>
      <c r="B38" s="30">
        <f t="shared" si="4"/>
        <v>93</v>
      </c>
      <c r="C38" s="66">
        <f t="shared" si="0"/>
        <v>0.81637099964296733</v>
      </c>
      <c r="D38" s="67">
        <f t="shared" si="1"/>
        <v>3.7271283174350245E-2</v>
      </c>
      <c r="E38" s="51">
        <f t="shared" si="2"/>
        <v>6.579557255848123E-2</v>
      </c>
      <c r="F38" s="76">
        <f t="shared" si="3"/>
        <v>-0.76936908186602193</v>
      </c>
      <c r="G38" s="68">
        <f t="shared" si="5"/>
        <v>0.16630149358574847</v>
      </c>
      <c r="H38" s="15"/>
    </row>
    <row r="39" spans="1:8">
      <c r="A39" s="13"/>
      <c r="B39" s="30">
        <f t="shared" si="4"/>
        <v>96</v>
      </c>
      <c r="C39" s="66">
        <f t="shared" si="0"/>
        <v>0.80883442541526362</v>
      </c>
      <c r="D39" s="67">
        <f t="shared" si="1"/>
        <v>3.7679524662454611E-2</v>
      </c>
      <c r="E39" s="51">
        <f t="shared" si="2"/>
        <v>9.0855948889543514E-2</v>
      </c>
      <c r="F39" s="76">
        <f t="shared" si="3"/>
        <v>-0.75767218853431351</v>
      </c>
      <c r="G39" s="68">
        <f t="shared" si="5"/>
        <v>0.17332109645723404</v>
      </c>
      <c r="H39" s="15"/>
    </row>
    <row r="40" spans="1:8">
      <c r="A40" s="13"/>
      <c r="B40" s="30">
        <f t="shared" si="4"/>
        <v>99</v>
      </c>
      <c r="C40" s="66">
        <f t="shared" si="0"/>
        <v>0.80128640272200036</v>
      </c>
      <c r="D40" s="67">
        <f t="shared" si="1"/>
        <v>3.8069430846741525E-2</v>
      </c>
      <c r="E40" s="51">
        <f t="shared" si="2"/>
        <v>0.11447185886457006</v>
      </c>
      <c r="F40" s="76">
        <f t="shared" si="3"/>
        <v>-0.74721253811613431</v>
      </c>
      <c r="G40" s="68">
        <f t="shared" si="5"/>
        <v>0.18003797563246973</v>
      </c>
      <c r="H40" s="15"/>
    </row>
    <row r="41" spans="1:8">
      <c r="A41" s="13"/>
      <c r="B41" s="30">
        <f t="shared" si="4"/>
        <v>102</v>
      </c>
      <c r="C41" s="66">
        <f t="shared" si="0"/>
        <v>0.79373216973535676</v>
      </c>
      <c r="D41" s="67">
        <f t="shared" si="1"/>
        <v>3.8441655004427311E-2</v>
      </c>
      <c r="E41" s="51">
        <f t="shared" si="2"/>
        <v>0.13676284093324015</v>
      </c>
      <c r="F41" s="76">
        <f t="shared" si="3"/>
        <v>-0.737879943293555</v>
      </c>
      <c r="G41" s="68">
        <f t="shared" si="5"/>
        <v>0.18644939369807129</v>
      </c>
      <c r="H41" s="15"/>
    </row>
    <row r="42" spans="1:8">
      <c r="A42" s="13"/>
      <c r="B42" s="30">
        <f t="shared" si="4"/>
        <v>105</v>
      </c>
      <c r="C42" s="66">
        <f t="shared" si="0"/>
        <v>0.78617668649664973</v>
      </c>
      <c r="D42" s="67">
        <f t="shared" si="1"/>
        <v>3.8796829573568559E-2</v>
      </c>
      <c r="E42" s="51">
        <f t="shared" si="2"/>
        <v>0.1578359668071268</v>
      </c>
      <c r="F42" s="76">
        <f t="shared" si="3"/>
        <v>-0.72957600065781558</v>
      </c>
      <c r="G42" s="68">
        <f t="shared" si="5"/>
        <v>0.19255466763240678</v>
      </c>
      <c r="H42" s="15"/>
    </row>
    <row r="43" spans="1:8">
      <c r="A43" s="13"/>
      <c r="B43" s="30">
        <f t="shared" si="4"/>
        <v>108</v>
      </c>
      <c r="C43" s="66">
        <f t="shared" si="0"/>
        <v>0.77862464458719227</v>
      </c>
      <c r="D43" s="67">
        <f t="shared" si="1"/>
        <v>3.9135566767259711E-2</v>
      </c>
      <c r="E43" s="51">
        <f t="shared" si="2"/>
        <v>0.17778742676263393</v>
      </c>
      <c r="F43" s="76">
        <f t="shared" si="3"/>
        <v>-0.72221257323736598</v>
      </c>
      <c r="G43" s="68">
        <f t="shared" si="5"/>
        <v>0.19835485352225427</v>
      </c>
      <c r="H43" s="15"/>
    </row>
    <row r="44" spans="1:8">
      <c r="A44" s="13"/>
      <c r="B44" s="30">
        <f t="shared" si="4"/>
        <v>111</v>
      </c>
      <c r="C44" s="66">
        <f t="shared" si="0"/>
        <v>0.77108047671731694</v>
      </c>
      <c r="D44" s="67">
        <f t="shared" si="1"/>
        <v>3.9458459171261673E-2</v>
      </c>
      <c r="E44" s="51">
        <f t="shared" si="2"/>
        <v>0.19670387771492326</v>
      </c>
      <c r="F44" s="76">
        <f t="shared" si="3"/>
        <v>-0.71571050182980955</v>
      </c>
      <c r="G44" s="68">
        <f t="shared" si="5"/>
        <v>0.20385247267296869</v>
      </c>
      <c r="H44" s="15"/>
    </row>
    <row r="45" spans="1:8">
      <c r="A45" s="13"/>
      <c r="B45" s="30">
        <f t="shared" si="4"/>
        <v>114</v>
      </c>
      <c r="C45" s="66">
        <f t="shared" si="0"/>
        <v>0.76354836620898181</v>
      </c>
      <c r="D45" s="67">
        <f t="shared" si="1"/>
        <v>3.9766080325473574E-2</v>
      </c>
      <c r="E45" s="51">
        <f t="shared" si="2"/>
        <v>0.21466359469439836</v>
      </c>
      <c r="F45" s="76">
        <f t="shared" si="3"/>
        <v>-0.70999850575094803</v>
      </c>
      <c r="G45" s="68">
        <f t="shared" si="5"/>
        <v>0.20905127385401401</v>
      </c>
      <c r="H45" s="15"/>
    </row>
    <row r="46" spans="1:8">
      <c r="A46" s="13"/>
      <c r="B46" s="30">
        <f t="shared" si="4"/>
        <v>117</v>
      </c>
      <c r="C46" s="66">
        <f t="shared" si="0"/>
        <v>0.7560322563503129</v>
      </c>
      <c r="D46" s="67">
        <f t="shared" si="1"/>
        <v>4.0058985289593174E-2</v>
      </c>
      <c r="E46" s="51">
        <f t="shared" si="2"/>
        <v>0.23173745855362701</v>
      </c>
      <c r="F46" s="76">
        <f t="shared" si="3"/>
        <v>-0.70501224120613271</v>
      </c>
      <c r="G46" s="68">
        <f t="shared" si="5"/>
        <v>0.2139560270379374</v>
      </c>
      <c r="H46" s="15"/>
    </row>
    <row r="47" spans="1:8">
      <c r="A47" s="13"/>
      <c r="B47" s="35">
        <f t="shared" si="4"/>
        <v>120</v>
      </c>
      <c r="C47" s="69">
        <f t="shared" si="0"/>
        <v>0.74853585960316882</v>
      </c>
      <c r="D47" s="22"/>
      <c r="E47" s="70"/>
      <c r="F47" s="70"/>
      <c r="G47" s="42">
        <f t="shared" si="5"/>
        <v>0.2185723445606641</v>
      </c>
      <c r="H47" s="15"/>
    </row>
    <row r="48" spans="1:8" ht="15.75">
      <c r="A48" s="13"/>
      <c r="B48" s="71"/>
      <c r="C48" s="72"/>
      <c r="D48" s="16"/>
      <c r="E48" s="51"/>
      <c r="F48" s="14" t="s">
        <v>56</v>
      </c>
      <c r="G48" s="58">
        <f>SUM(G8:G47)</f>
        <v>3.5422282637687719</v>
      </c>
      <c r="H48" s="15"/>
    </row>
    <row r="49" spans="1:8" ht="15.75" thickBot="1">
      <c r="A49" s="19"/>
      <c r="B49" s="20"/>
      <c r="C49" s="75"/>
      <c r="D49" s="20"/>
      <c r="E49" s="55"/>
      <c r="F49" s="55"/>
      <c r="G49" s="55"/>
      <c r="H49" s="21"/>
    </row>
  </sheetData>
  <customSheetViews>
    <customSheetView guid="{68815E05-D758-4219-8229-C815838A39D9}" scale="85">
      <selection activeCell="M48" sqref="M48"/>
      <pageMargins left="0.75" right="0.75" top="1" bottom="1" header="0.5" footer="0.5"/>
      <pageSetup paperSize="9" orientation="portrait" horizontalDpi="96" verticalDpi="96" r:id="rId1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96" verticalDpi="96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I48" sqref="I48"/>
    </sheetView>
  </sheetViews>
  <sheetFormatPr defaultRowHeight="15"/>
  <cols>
    <col min="1" max="1" width="5.75" style="1" customWidth="1"/>
    <col min="2" max="2" width="9" style="1" customWidth="1"/>
    <col min="3" max="3" width="11.875" style="2" customWidth="1"/>
    <col min="4" max="4" width="10.625" style="1" customWidth="1"/>
    <col min="5" max="5" width="5.75" style="1" customWidth="1"/>
    <col min="6" max="16384" width="9" style="1"/>
  </cols>
  <sheetData>
    <row r="1" spans="1:5">
      <c r="A1" s="10"/>
      <c r="B1" s="48"/>
      <c r="C1" s="11"/>
      <c r="D1" s="48"/>
      <c r="E1" s="12"/>
    </row>
    <row r="2" spans="1:5" ht="15.75">
      <c r="A2" s="13"/>
      <c r="B2" s="17" t="s">
        <v>30</v>
      </c>
      <c r="C2" s="77" t="s">
        <v>57</v>
      </c>
      <c r="D2" s="78" t="s">
        <v>12</v>
      </c>
      <c r="E2" s="15"/>
    </row>
    <row r="3" spans="1:5">
      <c r="A3" s="13"/>
      <c r="B3" s="51">
        <v>6</v>
      </c>
      <c r="C3" s="79">
        <f>B3/12</f>
        <v>0.5</v>
      </c>
      <c r="D3" s="80">
        <f>EXP(-(0.04-0.03*EXP(-B3/120))*B3/12)</f>
        <v>0.99428483541358992</v>
      </c>
      <c r="E3" s="15"/>
    </row>
    <row r="4" spans="1:5">
      <c r="A4" s="13"/>
      <c r="B4" s="51">
        <f>B3+6</f>
        <v>12</v>
      </c>
      <c r="C4" s="79">
        <f t="shared" ref="C4:C22" si="0">B4/12</f>
        <v>1</v>
      </c>
      <c r="D4" s="80">
        <f t="shared" ref="D4:D22" si="1">EXP(-(0.04-0.03*EXP(-B4/120))*B4/12)</f>
        <v>0.9872273935729915</v>
      </c>
      <c r="E4" s="15"/>
    </row>
    <row r="5" spans="1:5">
      <c r="A5" s="13"/>
      <c r="B5" s="51">
        <f t="shared" ref="B5:B22" si="2">B4+6</f>
        <v>18</v>
      </c>
      <c r="C5" s="79">
        <f t="shared" si="0"/>
        <v>1.5</v>
      </c>
      <c r="D5" s="80">
        <f t="shared" si="1"/>
        <v>0.97895643095706719</v>
      </c>
      <c r="E5" s="15"/>
    </row>
    <row r="6" spans="1:5">
      <c r="A6" s="13"/>
      <c r="B6" s="51">
        <f t="shared" si="2"/>
        <v>24</v>
      </c>
      <c r="C6" s="79">
        <f t="shared" si="0"/>
        <v>2</v>
      </c>
      <c r="D6" s="80">
        <f t="shared" si="1"/>
        <v>0.96959564539245091</v>
      </c>
      <c r="E6" s="15"/>
    </row>
    <row r="7" spans="1:5">
      <c r="A7" s="13"/>
      <c r="B7" s="51">
        <f t="shared" si="2"/>
        <v>30</v>
      </c>
      <c r="C7" s="79">
        <f t="shared" si="0"/>
        <v>2.5</v>
      </c>
      <c r="D7" s="80">
        <f t="shared" si="1"/>
        <v>0.95926305412439827</v>
      </c>
      <c r="E7" s="15"/>
    </row>
    <row r="8" spans="1:5">
      <c r="A8" s="13"/>
      <c r="B8" s="51">
        <f t="shared" si="2"/>
        <v>36</v>
      </c>
      <c r="C8" s="79">
        <f t="shared" si="0"/>
        <v>3</v>
      </c>
      <c r="D8" s="80">
        <f t="shared" si="1"/>
        <v>0.94807054955086534</v>
      </c>
      <c r="E8" s="15"/>
    </row>
    <row r="9" spans="1:5">
      <c r="A9" s="13"/>
      <c r="B9" s="51">
        <f t="shared" si="2"/>
        <v>42</v>
      </c>
      <c r="C9" s="79">
        <f t="shared" si="0"/>
        <v>3.5</v>
      </c>
      <c r="D9" s="80">
        <f t="shared" si="1"/>
        <v>0.93612360876301726</v>
      </c>
      <c r="E9" s="15"/>
    </row>
    <row r="10" spans="1:5">
      <c r="A10" s="13"/>
      <c r="B10" s="51">
        <f t="shared" si="2"/>
        <v>48</v>
      </c>
      <c r="C10" s="79">
        <f t="shared" si="0"/>
        <v>4</v>
      </c>
      <c r="D10" s="80">
        <f t="shared" si="1"/>
        <v>0.92352113441661277</v>
      </c>
      <c r="E10" s="15"/>
    </row>
    <row r="11" spans="1:5">
      <c r="A11" s="13"/>
      <c r="B11" s="51">
        <f t="shared" si="2"/>
        <v>54</v>
      </c>
      <c r="C11" s="79">
        <f t="shared" si="0"/>
        <v>4.5</v>
      </c>
      <c r="D11" s="80">
        <f t="shared" si="1"/>
        <v>0.9103554061305309</v>
      </c>
      <c r="E11" s="15"/>
    </row>
    <row r="12" spans="1:5">
      <c r="A12" s="13"/>
      <c r="B12" s="51">
        <f t="shared" si="2"/>
        <v>60</v>
      </c>
      <c r="C12" s="81">
        <f t="shared" si="0"/>
        <v>5</v>
      </c>
      <c r="D12" s="82">
        <f t="shared" si="1"/>
        <v>0.89671212344894402</v>
      </c>
      <c r="E12" s="15"/>
    </row>
    <row r="13" spans="1:5">
      <c r="A13" s="13"/>
      <c r="B13" s="51">
        <f t="shared" si="2"/>
        <v>66</v>
      </c>
      <c r="C13" s="79">
        <f t="shared" si="0"/>
        <v>5.5</v>
      </c>
      <c r="D13" s="80">
        <f t="shared" si="1"/>
        <v>0.88267052331596796</v>
      </c>
      <c r="E13" s="15"/>
    </row>
    <row r="14" spans="1:5">
      <c r="A14" s="13"/>
      <c r="B14" s="51">
        <f t="shared" si="2"/>
        <v>72</v>
      </c>
      <c r="C14" s="79">
        <f t="shared" si="0"/>
        <v>6</v>
      </c>
      <c r="D14" s="80">
        <f t="shared" si="1"/>
        <v>0.86830355692222638</v>
      </c>
      <c r="E14" s="15"/>
    </row>
    <row r="15" spans="1:5">
      <c r="A15" s="13"/>
      <c r="B15" s="51">
        <f t="shared" si="2"/>
        <v>78</v>
      </c>
      <c r="C15" s="79">
        <f t="shared" si="0"/>
        <v>6.5</v>
      </c>
      <c r="D15" s="80">
        <f t="shared" si="1"/>
        <v>0.85367811263702165</v>
      </c>
      <c r="E15" s="15"/>
    </row>
    <row r="16" spans="1:5">
      <c r="A16" s="13"/>
      <c r="B16" s="51">
        <f t="shared" si="2"/>
        <v>84</v>
      </c>
      <c r="C16" s="79">
        <f t="shared" si="0"/>
        <v>7</v>
      </c>
      <c r="D16" s="80">
        <f t="shared" si="1"/>
        <v>0.83885527349904565</v>
      </c>
      <c r="E16" s="15"/>
    </row>
    <row r="17" spans="1:5">
      <c r="A17" s="13"/>
      <c r="B17" s="51">
        <f t="shared" si="2"/>
        <v>90</v>
      </c>
      <c r="C17" s="79">
        <f t="shared" si="0"/>
        <v>7.5</v>
      </c>
      <c r="D17" s="80">
        <f t="shared" si="1"/>
        <v>0.82389059937714038</v>
      </c>
      <c r="E17" s="15"/>
    </row>
    <row r="18" spans="1:5">
      <c r="A18" s="13"/>
      <c r="B18" s="51">
        <f t="shared" si="2"/>
        <v>96</v>
      </c>
      <c r="C18" s="79">
        <f t="shared" si="0"/>
        <v>8</v>
      </c>
      <c r="D18" s="80">
        <f t="shared" si="1"/>
        <v>0.80883442541526362</v>
      </c>
      <c r="E18" s="15"/>
    </row>
    <row r="19" spans="1:5">
      <c r="A19" s="13"/>
      <c r="B19" s="51">
        <f t="shared" si="2"/>
        <v>102</v>
      </c>
      <c r="C19" s="79">
        <f t="shared" si="0"/>
        <v>8.5</v>
      </c>
      <c r="D19" s="80">
        <f t="shared" si="1"/>
        <v>0.79373216973535676</v>
      </c>
      <c r="E19" s="15"/>
    </row>
    <row r="20" spans="1:5">
      <c r="A20" s="13"/>
      <c r="B20" s="51">
        <f t="shared" si="2"/>
        <v>108</v>
      </c>
      <c r="C20" s="79">
        <f t="shared" si="0"/>
        <v>9</v>
      </c>
      <c r="D20" s="80">
        <f t="shared" si="1"/>
        <v>0.77862464458719227</v>
      </c>
      <c r="E20" s="15"/>
    </row>
    <row r="21" spans="1:5">
      <c r="A21" s="13"/>
      <c r="B21" s="51">
        <f t="shared" si="2"/>
        <v>114</v>
      </c>
      <c r="C21" s="79">
        <f t="shared" si="0"/>
        <v>9.5</v>
      </c>
      <c r="D21" s="80">
        <f t="shared" si="1"/>
        <v>0.76354836620898181</v>
      </c>
      <c r="E21" s="15"/>
    </row>
    <row r="22" spans="1:5">
      <c r="A22" s="13"/>
      <c r="B22" s="51">
        <f t="shared" si="2"/>
        <v>120</v>
      </c>
      <c r="C22" s="81">
        <f t="shared" si="0"/>
        <v>10</v>
      </c>
      <c r="D22" s="82">
        <f t="shared" si="1"/>
        <v>0.74853585960316882</v>
      </c>
      <c r="E22" s="15"/>
    </row>
    <row r="23" spans="1:5" ht="15.75">
      <c r="A23" s="13"/>
      <c r="B23" s="16"/>
      <c r="C23" s="14" t="s">
        <v>14</v>
      </c>
      <c r="D23" s="83">
        <f>0.5*SUM(D13:D22)</f>
        <v>4.0803367656506833</v>
      </c>
      <c r="E23" s="15"/>
    </row>
    <row r="24" spans="1:5" ht="15.75">
      <c r="A24" s="13"/>
      <c r="B24" s="16"/>
      <c r="C24" s="14" t="s">
        <v>15</v>
      </c>
      <c r="D24" s="9">
        <f>(D12-D22)/annuity_prc</f>
        <v>3.6314714288575599E-2</v>
      </c>
      <c r="E24" s="15"/>
    </row>
    <row r="25" spans="1:5" ht="15.75">
      <c r="A25" s="13"/>
      <c r="B25" s="16"/>
      <c r="C25" s="14" t="s">
        <v>27</v>
      </c>
      <c r="D25" s="84">
        <v>0.03</v>
      </c>
      <c r="E25" s="15"/>
    </row>
    <row r="26" spans="1:5" ht="15.75">
      <c r="A26" s="13"/>
      <c r="B26" s="16"/>
      <c r="C26" s="14" t="s">
        <v>26</v>
      </c>
      <c r="D26" s="84">
        <v>0.4</v>
      </c>
      <c r="E26" s="15"/>
    </row>
    <row r="27" spans="1:5" ht="18.75">
      <c r="A27" s="13"/>
      <c r="B27" s="16"/>
      <c r="C27" s="14" t="s">
        <v>0</v>
      </c>
      <c r="D27" s="85">
        <f>(LN(swap_rate/fixed_leg_rate)+swap_rate_vol^2*swptn_exp/2)/(swap_rate_vol*SQRT(swptn_exp))</f>
        <v>0.66078674231406875</v>
      </c>
      <c r="E27" s="15"/>
    </row>
    <row r="28" spans="1:5" ht="18.75">
      <c r="A28" s="13"/>
      <c r="B28" s="16"/>
      <c r="C28" s="14" t="s">
        <v>1</v>
      </c>
      <c r="D28" s="85">
        <f>D27-swap_rate_vol*SQRT(swptn_exp)</f>
        <v>-0.23364044868584721</v>
      </c>
      <c r="E28" s="15"/>
    </row>
    <row r="29" spans="1:5" ht="15.75">
      <c r="A29" s="13"/>
      <c r="B29" s="16"/>
      <c r="C29" s="14" t="s">
        <v>16</v>
      </c>
      <c r="D29" s="86">
        <f>100*annuity_prc*(fixed_leg_rate*NORMSDIST(-D28)-D24*NORMSDIST(-D27))</f>
        <v>3.4819550924066625</v>
      </c>
      <c r="E29" s="15"/>
    </row>
    <row r="30" spans="1:5" ht="15.75" thickBot="1">
      <c r="A30" s="19"/>
      <c r="B30" s="55"/>
      <c r="C30" s="20"/>
      <c r="D30" s="55"/>
      <c r="E30" s="21"/>
    </row>
  </sheetData>
  <customSheetViews>
    <customSheetView guid="{68815E05-D758-4219-8229-C815838A39D9}">
      <selection activeCell="I48" sqref="I48"/>
      <pageMargins left="0.75" right="0.75" top="1" bottom="1" header="0.5" footer="0.5"/>
      <pageSetup paperSize="9" orientation="portrait" horizontalDpi="96" verticalDpi="96" r:id="rId1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96" verticalDpi="96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L36" sqref="L36"/>
    </sheetView>
  </sheetViews>
  <sheetFormatPr defaultRowHeight="15"/>
  <cols>
    <col min="1" max="1" width="5.25" style="1" customWidth="1"/>
    <col min="2" max="2" width="10.125" style="1" customWidth="1"/>
    <col min="3" max="3" width="10.125" style="2" customWidth="1"/>
    <col min="4" max="4" width="9.625" style="2" customWidth="1"/>
    <col min="5" max="5" width="13.625" style="2" bestFit="1" customWidth="1"/>
    <col min="6" max="6" width="10" style="1" customWidth="1"/>
    <col min="7" max="7" width="13.375" style="1" customWidth="1"/>
    <col min="8" max="16384" width="9" style="1"/>
  </cols>
  <sheetData>
    <row r="1" spans="1:8">
      <c r="A1" s="10"/>
      <c r="B1" s="48"/>
      <c r="C1" s="11"/>
      <c r="D1" s="11"/>
      <c r="E1" s="11"/>
      <c r="F1" s="48"/>
      <c r="G1" s="48"/>
      <c r="H1" s="12"/>
    </row>
    <row r="2" spans="1:8">
      <c r="A2" s="13"/>
      <c r="B2" s="51"/>
      <c r="C2" s="17" t="s">
        <v>61</v>
      </c>
      <c r="D2" s="101">
        <v>100</v>
      </c>
      <c r="E2" s="16"/>
      <c r="F2" s="51"/>
      <c r="G2" s="51"/>
      <c r="H2" s="15"/>
    </row>
    <row r="3" spans="1:8">
      <c r="A3" s="13"/>
      <c r="B3" s="51"/>
      <c r="C3" s="17" t="s">
        <v>28</v>
      </c>
      <c r="D3" s="87">
        <v>0.03</v>
      </c>
      <c r="E3" s="16"/>
      <c r="F3" s="51"/>
      <c r="G3" s="51"/>
      <c r="H3" s="15"/>
    </row>
    <row r="4" spans="1:8">
      <c r="A4" s="13"/>
      <c r="B4" s="51"/>
      <c r="C4" s="17" t="s">
        <v>58</v>
      </c>
      <c r="D4" s="87">
        <v>0.3</v>
      </c>
      <c r="E4" s="16"/>
      <c r="F4" s="51"/>
      <c r="G4" s="51"/>
      <c r="H4" s="15"/>
    </row>
    <row r="5" spans="1:8" ht="15.75" customHeight="1">
      <c r="A5" s="13"/>
      <c r="B5" s="51"/>
      <c r="C5" s="16"/>
      <c r="D5" s="16"/>
      <c r="E5" s="16"/>
      <c r="F5" s="51"/>
      <c r="G5" s="51"/>
      <c r="H5" s="15"/>
    </row>
    <row r="6" spans="1:8" ht="20.25" customHeight="1">
      <c r="A6" s="13"/>
      <c r="B6" s="51"/>
      <c r="C6" s="16"/>
      <c r="D6" s="88"/>
      <c r="E6" s="89" t="s">
        <v>17</v>
      </c>
      <c r="F6" s="51"/>
      <c r="G6" s="90" t="s">
        <v>18</v>
      </c>
      <c r="H6" s="15"/>
    </row>
    <row r="7" spans="1:8" ht="19.5" customHeight="1">
      <c r="A7" s="13"/>
      <c r="B7" s="17" t="s">
        <v>30</v>
      </c>
      <c r="C7" s="27" t="s">
        <v>3</v>
      </c>
      <c r="D7" s="29" t="s">
        <v>4</v>
      </c>
      <c r="E7" s="6" t="s">
        <v>7</v>
      </c>
      <c r="F7" s="27" t="s">
        <v>36</v>
      </c>
      <c r="G7" s="29" t="s">
        <v>37</v>
      </c>
      <c r="H7" s="15"/>
    </row>
    <row r="8" spans="1:8">
      <c r="A8" s="13"/>
      <c r="B8" s="51">
        <v>60</v>
      </c>
      <c r="C8" s="79">
        <f>B8/12</f>
        <v>5</v>
      </c>
      <c r="D8" s="91">
        <f>EXP(-(0.04-0.03*EXP(-B8/120))*B8/12)</f>
        <v>0.89671212344894402</v>
      </c>
      <c r="E8" s="92">
        <f>notional*fx_leg_rate</f>
        <v>3</v>
      </c>
      <c r="F8" s="93">
        <f>(D8/D9-1)</f>
        <v>3.2717321379419628E-2</v>
      </c>
      <c r="G8" s="40">
        <f>notional*zero_bond_price*(forward_rate+fwrd_rate_vol^2*forward_rate^2*time/(1+forward_rate))</f>
        <v>2.9756272218143369</v>
      </c>
      <c r="H8" s="15"/>
    </row>
    <row r="9" spans="1:8">
      <c r="A9" s="13"/>
      <c r="B9" s="51">
        <f>B8+12</f>
        <v>72</v>
      </c>
      <c r="C9" s="79">
        <f t="shared" ref="C9:C13" si="0">B9/12</f>
        <v>6</v>
      </c>
      <c r="D9" s="91">
        <f t="shared" ref="D9:D13" si="1">EXP(-(0.04-0.03*EXP(-B9/120))*B9/12)</f>
        <v>0.86830355692222638</v>
      </c>
      <c r="E9" s="92">
        <f>notional*fx_leg_rate</f>
        <v>3</v>
      </c>
      <c r="F9" s="93">
        <f t="shared" ref="F9:F12" si="2">(D9/D10-1)</f>
        <v>3.5105320731126266E-2</v>
      </c>
      <c r="G9" s="40">
        <f>notional*zero_bond_price*(forward_rate+fwrd_rate_vol^2*forward_rate^2*time/(1+forward_rate))</f>
        <v>3.1040322232390518</v>
      </c>
      <c r="H9" s="15"/>
    </row>
    <row r="10" spans="1:8">
      <c r="A10" s="13"/>
      <c r="B10" s="51">
        <f t="shared" ref="B10:B13" si="3">B9+12</f>
        <v>84</v>
      </c>
      <c r="C10" s="79">
        <f t="shared" si="0"/>
        <v>7</v>
      </c>
      <c r="D10" s="91">
        <f t="shared" si="1"/>
        <v>0.83885527349904565</v>
      </c>
      <c r="E10" s="92">
        <f>notional*fx_leg_rate</f>
        <v>3</v>
      </c>
      <c r="F10" s="93">
        <f t="shared" si="2"/>
        <v>3.7116184895776394E-2</v>
      </c>
      <c r="G10" s="40">
        <f>notional*zero_bond_price*(forward_rate+fwrd_rate_vol^2*forward_rate^2*time/(1+forward_rate))</f>
        <v>3.1837090821357221</v>
      </c>
      <c r="H10" s="15"/>
    </row>
    <row r="11" spans="1:8">
      <c r="A11" s="13"/>
      <c r="B11" s="51">
        <f t="shared" si="3"/>
        <v>96</v>
      </c>
      <c r="C11" s="79">
        <f t="shared" si="0"/>
        <v>8</v>
      </c>
      <c r="D11" s="91">
        <f t="shared" si="1"/>
        <v>0.80883442541526362</v>
      </c>
      <c r="E11" s="92">
        <f>notional*fx_leg_rate</f>
        <v>3</v>
      </c>
      <c r="F11" s="93">
        <f t="shared" si="2"/>
        <v>3.8798901419422549E-2</v>
      </c>
      <c r="G11" s="40">
        <f>notional*zero_bond_price*(forward_rate+fwrd_rate_vol^2*forward_rate^2*time/(1+forward_rate))</f>
        <v>3.2225803678262603</v>
      </c>
      <c r="H11" s="15"/>
    </row>
    <row r="12" spans="1:8">
      <c r="A12" s="13"/>
      <c r="B12" s="51">
        <f t="shared" si="3"/>
        <v>108</v>
      </c>
      <c r="C12" s="79">
        <f t="shared" si="0"/>
        <v>9</v>
      </c>
      <c r="D12" s="91">
        <f t="shared" si="1"/>
        <v>0.77862464458719227</v>
      </c>
      <c r="E12" s="92">
        <f>notional*fx_leg_rate</f>
        <v>3</v>
      </c>
      <c r="F12" s="93">
        <f t="shared" si="2"/>
        <v>4.0196851758010466E-2</v>
      </c>
      <c r="G12" s="40">
        <f>notional*zero_bond_price*(forward_rate+fwrd_rate_vol^2*forward_rate^2*time/(1+forward_rate))</f>
        <v>3.2277933701565926</v>
      </c>
      <c r="H12" s="15"/>
    </row>
    <row r="13" spans="1:8">
      <c r="A13" s="13"/>
      <c r="B13" s="51">
        <f t="shared" si="3"/>
        <v>120</v>
      </c>
      <c r="C13" s="81">
        <f t="shared" si="0"/>
        <v>10</v>
      </c>
      <c r="D13" s="94">
        <f t="shared" si="1"/>
        <v>0.74853585960316882</v>
      </c>
      <c r="E13" s="92"/>
      <c r="F13" s="95"/>
      <c r="G13" s="96"/>
      <c r="H13" s="15"/>
    </row>
    <row r="14" spans="1:8" ht="15.75">
      <c r="A14" s="13"/>
      <c r="B14" s="51"/>
      <c r="C14" s="16"/>
      <c r="D14" s="14" t="s">
        <v>38</v>
      </c>
      <c r="E14" s="97">
        <f>SUMPRODUCT(E8:E13,D8:D13)</f>
        <v>12.573990071618017</v>
      </c>
      <c r="F14" s="14" t="s">
        <v>38</v>
      </c>
      <c r="G14" s="98">
        <f>SUM(G8:G13)</f>
        <v>15.713742265171966</v>
      </c>
      <c r="H14" s="15"/>
    </row>
    <row r="15" spans="1:8">
      <c r="A15" s="13"/>
      <c r="B15" s="51"/>
      <c r="C15" s="16"/>
      <c r="D15" s="16"/>
      <c r="E15" s="16"/>
      <c r="F15" s="51"/>
      <c r="G15" s="51"/>
      <c r="H15" s="15"/>
    </row>
    <row r="16" spans="1:8" ht="15.75">
      <c r="A16" s="13"/>
      <c r="B16" s="51"/>
      <c r="C16" s="16"/>
      <c r="D16" s="14" t="s">
        <v>59</v>
      </c>
      <c r="E16" s="100">
        <f>Fix_leg_price-float_leg_price</f>
        <v>-3.1397521935539494</v>
      </c>
      <c r="F16" s="51"/>
      <c r="G16" s="99"/>
      <c r="H16" s="15"/>
    </row>
    <row r="17" spans="1:8" ht="15.75">
      <c r="A17" s="13"/>
      <c r="B17" s="51"/>
      <c r="C17" s="16"/>
      <c r="D17" s="14" t="s">
        <v>60</v>
      </c>
      <c r="E17" s="100">
        <f>float_leg_price-Fix_leg_price</f>
        <v>3.1397521935539494</v>
      </c>
      <c r="F17" s="51"/>
      <c r="G17" s="51"/>
      <c r="H17" s="15"/>
    </row>
    <row r="18" spans="1:8" ht="15.75" thickBot="1">
      <c r="A18" s="19"/>
      <c r="B18" s="55"/>
      <c r="C18" s="20"/>
      <c r="D18" s="20"/>
      <c r="E18" s="20"/>
      <c r="F18" s="55"/>
      <c r="G18" s="55"/>
      <c r="H18" s="21"/>
    </row>
  </sheetData>
  <customSheetViews>
    <customSheetView guid="{68815E05-D758-4219-8229-C815838A39D9}">
      <selection activeCell="L36" sqref="L36"/>
      <pageMargins left="0.75" right="0.75" top="1" bottom="1" header="0.5" footer="0.5"/>
      <pageSetup paperSize="9" orientation="portrait" horizontalDpi="96" verticalDpi="96" r:id="rId1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96" verticalDpi="96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38" sqref="E38"/>
    </sheetView>
  </sheetViews>
  <sheetFormatPr defaultRowHeight="15"/>
  <cols>
    <col min="1" max="1" width="9" style="1" customWidth="1"/>
    <col min="2" max="2" width="9" style="2" customWidth="1"/>
    <col min="3" max="3" width="10.875" style="2" customWidth="1"/>
    <col min="4" max="16384" width="9" style="1"/>
  </cols>
  <sheetData>
    <row r="1" spans="1:4">
      <c r="A1" s="10"/>
      <c r="B1" s="11"/>
      <c r="C1" s="11"/>
      <c r="D1" s="12"/>
    </row>
    <row r="2" spans="1:4" ht="15.75">
      <c r="A2" s="13"/>
      <c r="B2" s="14" t="s">
        <v>39</v>
      </c>
      <c r="C2" s="5">
        <v>0.4</v>
      </c>
      <c r="D2" s="15"/>
    </row>
    <row r="3" spans="1:4" ht="18" customHeight="1">
      <c r="A3" s="13"/>
      <c r="B3" s="14" t="s">
        <v>40</v>
      </c>
      <c r="C3" s="5">
        <v>0.3</v>
      </c>
      <c r="D3" s="15"/>
    </row>
    <row r="4" spans="1:4" ht="18.75" customHeight="1">
      <c r="A4" s="13"/>
      <c r="B4" s="14" t="s">
        <v>29</v>
      </c>
      <c r="C4" s="5">
        <v>0.8</v>
      </c>
      <c r="D4" s="15"/>
    </row>
    <row r="5" spans="1:4">
      <c r="A5" s="13"/>
      <c r="B5" s="16"/>
      <c r="C5" s="16"/>
      <c r="D5" s="15"/>
    </row>
    <row r="6" spans="1:4" ht="15.75">
      <c r="A6" s="13"/>
      <c r="B6" s="17" t="s">
        <v>30</v>
      </c>
      <c r="C6" s="6" t="s">
        <v>5</v>
      </c>
      <c r="D6" s="15"/>
    </row>
    <row r="7" spans="1:4">
      <c r="A7" s="13"/>
      <c r="B7" s="17">
        <v>12</v>
      </c>
      <c r="C7" s="7">
        <f>EXP(-(0.04-0.03*EXP(-month/120))*month/12)</f>
        <v>0.9872273935729915</v>
      </c>
      <c r="D7" s="15"/>
    </row>
    <row r="8" spans="1:4">
      <c r="A8" s="13"/>
      <c r="B8" s="17">
        <v>15</v>
      </c>
      <c r="C8" s="7">
        <f>EXP(-(0.04-0.03*EXP(-month/120))*month/12)</f>
        <v>0.98323574447007034</v>
      </c>
      <c r="D8" s="15"/>
    </row>
    <row r="9" spans="1:4">
      <c r="A9" s="13"/>
      <c r="B9" s="17">
        <v>18</v>
      </c>
      <c r="C9" s="8">
        <f>EXP(-(0.04-0.03*EXP(-month/120))*month/12)</f>
        <v>0.97895643095706719</v>
      </c>
      <c r="D9" s="15"/>
    </row>
    <row r="10" spans="1:4" ht="18.75" customHeight="1">
      <c r="A10" s="13"/>
      <c r="B10" s="14" t="s">
        <v>41</v>
      </c>
      <c r="C10" s="9">
        <f>(C7/C9-1)/0.5</f>
        <v>1.6897509131919897E-2</v>
      </c>
      <c r="D10" s="15"/>
    </row>
    <row r="11" spans="1:4" ht="21" customHeight="1">
      <c r="A11" s="13"/>
      <c r="B11" s="14" t="s">
        <v>42</v>
      </c>
      <c r="C11" s="9">
        <f>(C8/C9-1)/0.25</f>
        <v>1.7485205174328833E-2</v>
      </c>
      <c r="D11" s="15"/>
    </row>
    <row r="12" spans="1:4" ht="21.75" customHeight="1">
      <c r="A12" s="13"/>
      <c r="B12" s="14" t="s">
        <v>43</v>
      </c>
      <c r="C12" s="9">
        <f>C10*EXP(((fwrd_rt_corr*rate_3M_vol*rate_6M_vol*C11*0.25)/(1+0.25*C11))*1.25)</f>
        <v>1.6906336552067244E-2</v>
      </c>
      <c r="D12" s="15"/>
    </row>
    <row r="13" spans="1:4" ht="17.25" customHeight="1">
      <c r="A13" s="13"/>
      <c r="B13" s="14" t="s">
        <v>9</v>
      </c>
      <c r="C13" s="4">
        <f>C8*100*C12*0.5</f>
        <v>0.83114572030166989</v>
      </c>
      <c r="D13" s="18"/>
    </row>
    <row r="14" spans="1:4" ht="15.75" thickBot="1">
      <c r="A14" s="19"/>
      <c r="B14" s="20"/>
      <c r="C14" s="20"/>
      <c r="D14" s="21"/>
    </row>
  </sheetData>
  <customSheetViews>
    <customSheetView guid="{68815E05-D758-4219-8229-C815838A39D9}">
      <selection activeCell="E38" sqref="E38"/>
      <pageMargins left="0.75" right="0.75" top="1" bottom="1" header="0.5" footer="0.5"/>
      <pageSetup orientation="portrait" verticalDpi="0" r:id="rId1"/>
      <headerFooter alignWithMargins="0"/>
    </customSheetView>
  </customSheetViews>
  <phoneticPr fontId="2" type="noConversion"/>
  <pageMargins left="0.75" right="0.75" top="1" bottom="1" header="0.5" footer="0.5"/>
  <pageSetup orientation="portrait" vertic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size="41" baseType="lpstr">
      <vt:lpstr>HW4 Assignment</vt:lpstr>
      <vt:lpstr>Problem 1</vt:lpstr>
      <vt:lpstr>Problem 2</vt:lpstr>
      <vt:lpstr>Problem 3</vt:lpstr>
      <vt:lpstr>Problem 4</vt:lpstr>
      <vt:lpstr>Problem 5</vt:lpstr>
      <vt:lpstr>al</vt:lpstr>
      <vt:lpstr>annuity_prc</vt:lpstr>
      <vt:lpstr>bond_coupon</vt:lpstr>
      <vt:lpstr>bond_maturity</vt:lpstr>
      <vt:lpstr>bond_price</vt:lpstr>
      <vt:lpstr>bond_principal</vt:lpstr>
      <vt:lpstr>bond_yield_volat</vt:lpstr>
      <vt:lpstr>call_price</vt:lpstr>
      <vt:lpstr>call_strike</vt:lpstr>
      <vt:lpstr>call_time</vt:lpstr>
      <vt:lpstr>cap_principal</vt:lpstr>
      <vt:lpstr>cap_rate</vt:lpstr>
      <vt:lpstr>cap_vol</vt:lpstr>
      <vt:lpstr>duration</vt:lpstr>
      <vt:lpstr>Fix_leg_price</vt:lpstr>
      <vt:lpstr>fixed_leg_rate</vt:lpstr>
      <vt:lpstr>float_leg_price</vt:lpstr>
      <vt:lpstr>forward_rate</vt:lpstr>
      <vt:lpstr>fwrd_price</vt:lpstr>
      <vt:lpstr>fwrd_rate_vol</vt:lpstr>
      <vt:lpstr>fwrd_rt_corr</vt:lpstr>
      <vt:lpstr>fwrd_yield</vt:lpstr>
      <vt:lpstr>fx_leg_rate</vt:lpstr>
      <vt:lpstr>month</vt:lpstr>
      <vt:lpstr>N</vt:lpstr>
      <vt:lpstr>notional</vt:lpstr>
      <vt:lpstr>rate_3M_vol</vt:lpstr>
      <vt:lpstr>rate_6M_vol</vt:lpstr>
      <vt:lpstr>swap_rate</vt:lpstr>
      <vt:lpstr>swap_rate_vol</vt:lpstr>
      <vt:lpstr>swptn_exp</vt:lpstr>
      <vt:lpstr>time</vt:lpstr>
      <vt:lpstr>volat</vt:lpstr>
      <vt:lpstr>yc_rate</vt:lpstr>
      <vt:lpstr>zero_bond_price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SYSTEM</dc:creator>
  <cp:lastModifiedBy>Andrei</cp:lastModifiedBy>
  <dcterms:created xsi:type="dcterms:W3CDTF">2007-03-11T20:16:35Z</dcterms:created>
  <dcterms:modified xsi:type="dcterms:W3CDTF">2016-03-12T01:22:48Z</dcterms:modified>
</cp:coreProperties>
</file>