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revisionsPassword="DE1F" lockRevision="1"/>
  <bookViews>
    <workbookView xWindow="0" yWindow="0" windowWidth="24870" windowHeight="12540" activeTab="4"/>
  </bookViews>
  <sheets>
    <sheet name="Grade" sheetId="1" r:id="rId1"/>
    <sheet name="Problem 1" sheetId="2" r:id="rId2"/>
    <sheet name="Problem 2" sheetId="3" r:id="rId3"/>
    <sheet name="Problem 3" sheetId="4" r:id="rId4"/>
    <sheet name="Problem 4" sheetId="5" r:id="rId5"/>
  </sheets>
  <definedNames>
    <definedName name="A_exer_matur">'Problem 4'!$G$35:$G$44</definedName>
    <definedName name="al">'Problem 1'!$A$1</definedName>
    <definedName name="B">'Problem 2'!$B$4</definedName>
    <definedName name="B_exer_matur">'Problem 4'!$F$35:$F$44</definedName>
    <definedName name="cap_strike">'Problem 3'!$G$2</definedName>
    <definedName name="coupon">'Problem 4'!$C$6</definedName>
    <definedName name="delta_t">'Problem 2'!$B$1</definedName>
    <definedName name="exer_time">'Problem 4'!$E$6</definedName>
    <definedName name="floor_mat1">'Problem 1'!$D$2</definedName>
    <definedName name="floor_mat2">'Problem 1'!$E$2</definedName>
    <definedName name="floor_mat3">'Problem 1'!$F$2</definedName>
    <definedName name="floor_price1">'Problem 1'!$F$51</definedName>
    <definedName name="floor_price2">'Problem 1'!$I$51</definedName>
    <definedName name="floor_price3">'Problem 1'!$L$51</definedName>
    <definedName name="floor_strike1">'Problem 1'!$D$3</definedName>
    <definedName name="floor_strike2">'Problem 1'!$E$3</definedName>
    <definedName name="floor_strike3">'Problem 1'!$F$3</definedName>
    <definedName name="floor_vol1">'Problem 1'!$D$4</definedName>
    <definedName name="floor_vol2">'Problem 1'!$E$4</definedName>
    <definedName name="floor_vol3">'Problem 1'!$F$4</definedName>
    <definedName name="mean_rev">'Problem 2'!$B$2</definedName>
    <definedName name="P_exer_matur">'Problem 4'!$E$34:$E$44</definedName>
    <definedName name="P_star">'Problem 4'!$H$35:$H$44</definedName>
    <definedName name="Principal">'Problem 4'!$B$6</definedName>
    <definedName name="r_star">'Problem 4'!$H$32</definedName>
    <definedName name="sigma">'Problem 2'!$B$3</definedName>
    <definedName name="solver_adj" localSheetId="2" hidden="1">'Problem 2'!$B$2:$B$3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'Problem 2'!$E$3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  <definedName name="Strike">'Problem 4'!$F$6</definedName>
    <definedName name="t">'Problem 1'!$A$10:$A$50</definedName>
    <definedName name="t_exer">'Problem 4'!$A$34:$A$44</definedName>
    <definedName name="t_matur">'Problem 4'!$B$34:$B$44</definedName>
    <definedName name="variance">'Problem 4'!$J$35:$J$44</definedName>
    <definedName name="Z_4B0C3F6F_F662_4DAE_ADBE_0ABF48CD31B6_.wvu.Rows" localSheetId="4" hidden="1">'Problem 4'!$2:$2</definedName>
    <definedName name="Z_5DD8D364_752E_485B_91C5_5F41496F91AB_.wvu.Rows" localSheetId="4" hidden="1">'Problem 4'!$2:$2</definedName>
  </definedNames>
  <calcPr calcId="145621" iterate="1" iterateCount="1000" iterateDelta="9.9999999999999995E-8" concurrentCalc="0"/>
  <customWorkbookViews>
    <customWorkbookView name="Andrei - Personal View" guid="{4B0C3F6F-F662-4DAE-ADBE-0ABF48CD31B6}" mergeInterval="0" personalView="1" maximized="1" windowWidth="1095" windowHeight="1035" activeSheetId="5" showComments="commIndAndComment"/>
    <customWorkbookView name="Yutian Nie - Personal View" guid="{5DD8D364-752E-485B-91C5-5F41496F91AB}" mergeInterval="0" personalView="1" xWindow="-2560" windowWidth="1280" windowHeight="1400" activeSheetId="5"/>
  </customWorkbookViews>
</workbook>
</file>

<file path=xl/calcChain.xml><?xml version="1.0" encoding="utf-8"?>
<calcChain xmlns="http://schemas.openxmlformats.org/spreadsheetml/2006/main">
  <c r="B35" i="5" l="1"/>
  <c r="B36" i="5"/>
  <c r="B37" i="5"/>
  <c r="B38" i="5"/>
  <c r="B39" i="5"/>
  <c r="B40" i="5"/>
  <c r="B41" i="5"/>
  <c r="B42" i="5"/>
  <c r="B43" i="5"/>
  <c r="B44" i="5"/>
  <c r="D44" i="5"/>
  <c r="A44" i="5"/>
  <c r="C44" i="5"/>
  <c r="E44" i="5"/>
  <c r="F44" i="5"/>
  <c r="G44" i="5"/>
  <c r="D43" i="5"/>
  <c r="A43" i="5"/>
  <c r="C43" i="5"/>
  <c r="E43" i="5"/>
  <c r="F43" i="5"/>
  <c r="G43" i="5"/>
  <c r="D42" i="5"/>
  <c r="A42" i="5"/>
  <c r="C42" i="5"/>
  <c r="E42" i="5"/>
  <c r="F42" i="5"/>
  <c r="G42" i="5"/>
  <c r="D41" i="5"/>
  <c r="A41" i="5"/>
  <c r="C41" i="5"/>
  <c r="E41" i="5"/>
  <c r="F41" i="5"/>
  <c r="G41" i="5"/>
  <c r="D40" i="5"/>
  <c r="A40" i="5"/>
  <c r="C40" i="5"/>
  <c r="E40" i="5"/>
  <c r="F40" i="5"/>
  <c r="G40" i="5"/>
  <c r="D39" i="5"/>
  <c r="A39" i="5"/>
  <c r="C39" i="5"/>
  <c r="E39" i="5"/>
  <c r="F39" i="5"/>
  <c r="G39" i="5"/>
  <c r="D38" i="5"/>
  <c r="A38" i="5"/>
  <c r="C38" i="5"/>
  <c r="E38" i="5"/>
  <c r="F38" i="5"/>
  <c r="G38" i="5"/>
  <c r="D37" i="5"/>
  <c r="A37" i="5"/>
  <c r="C37" i="5"/>
  <c r="E37" i="5"/>
  <c r="F37" i="5"/>
  <c r="G37" i="5"/>
  <c r="D36" i="5"/>
  <c r="A36" i="5"/>
  <c r="C36" i="5"/>
  <c r="E36" i="5"/>
  <c r="F36" i="5"/>
  <c r="G36" i="5"/>
  <c r="D35" i="5"/>
  <c r="A35" i="5"/>
  <c r="C35" i="5"/>
  <c r="E35" i="5"/>
  <c r="F35" i="5"/>
  <c r="G35" i="5"/>
  <c r="D11" i="3"/>
  <c r="G8" i="4"/>
  <c r="B6" i="1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C10" i="5"/>
  <c r="B11" i="5"/>
  <c r="B12" i="5"/>
  <c r="D34" i="5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B4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K4" i="4"/>
  <c r="A11" i="2"/>
  <c r="B11" i="2"/>
  <c r="B10" i="2"/>
  <c r="C10" i="2"/>
  <c r="F11" i="2"/>
  <c r="A12" i="2"/>
  <c r="B12" i="2"/>
  <c r="C11" i="2"/>
  <c r="E12" i="2"/>
  <c r="D12" i="2"/>
  <c r="F12" i="2"/>
  <c r="A13" i="2"/>
  <c r="B13" i="2"/>
  <c r="C12" i="2"/>
  <c r="E13" i="2"/>
  <c r="D13" i="2"/>
  <c r="F13" i="2"/>
  <c r="A14" i="2"/>
  <c r="B14" i="2"/>
  <c r="C13" i="2"/>
  <c r="E14" i="2"/>
  <c r="D14" i="2"/>
  <c r="F14" i="2"/>
  <c r="A15" i="2"/>
  <c r="B15" i="2"/>
  <c r="C14" i="2"/>
  <c r="E15" i="2"/>
  <c r="D15" i="2"/>
  <c r="F15" i="2"/>
  <c r="A16" i="2"/>
  <c r="B16" i="2"/>
  <c r="C15" i="2"/>
  <c r="E16" i="2"/>
  <c r="D16" i="2"/>
  <c r="F16" i="2"/>
  <c r="A17" i="2"/>
  <c r="B17" i="2"/>
  <c r="C16" i="2"/>
  <c r="E17" i="2"/>
  <c r="D17" i="2"/>
  <c r="F17" i="2"/>
  <c r="A18" i="2"/>
  <c r="B18" i="2"/>
  <c r="C17" i="2"/>
  <c r="E18" i="2"/>
  <c r="D18" i="2"/>
  <c r="F18" i="2"/>
  <c r="F51" i="2"/>
  <c r="I11" i="2"/>
  <c r="H12" i="2"/>
  <c r="G12" i="2"/>
  <c r="I12" i="2"/>
  <c r="H13" i="2"/>
  <c r="G13" i="2"/>
  <c r="I13" i="2"/>
  <c r="H14" i="2"/>
  <c r="G14" i="2"/>
  <c r="I14" i="2"/>
  <c r="H15" i="2"/>
  <c r="G15" i="2"/>
  <c r="I15" i="2"/>
  <c r="H16" i="2"/>
  <c r="G16" i="2"/>
  <c r="I16" i="2"/>
  <c r="H17" i="2"/>
  <c r="G17" i="2"/>
  <c r="I17" i="2"/>
  <c r="H18" i="2"/>
  <c r="G18" i="2"/>
  <c r="I18" i="2"/>
  <c r="A19" i="2"/>
  <c r="B19" i="2"/>
  <c r="C18" i="2"/>
  <c r="H19" i="2"/>
  <c r="G19" i="2"/>
  <c r="I19" i="2"/>
  <c r="A20" i="2"/>
  <c r="B20" i="2"/>
  <c r="C19" i="2"/>
  <c r="H20" i="2"/>
  <c r="G20" i="2"/>
  <c r="I20" i="2"/>
  <c r="A21" i="2"/>
  <c r="B21" i="2"/>
  <c r="C20" i="2"/>
  <c r="H21" i="2"/>
  <c r="G21" i="2"/>
  <c r="I21" i="2"/>
  <c r="A22" i="2"/>
  <c r="B22" i="2"/>
  <c r="C21" i="2"/>
  <c r="H22" i="2"/>
  <c r="G22" i="2"/>
  <c r="I22" i="2"/>
  <c r="A23" i="2"/>
  <c r="B23" i="2"/>
  <c r="C22" i="2"/>
  <c r="H23" i="2"/>
  <c r="G23" i="2"/>
  <c r="I23" i="2"/>
  <c r="A24" i="2"/>
  <c r="B24" i="2"/>
  <c r="C23" i="2"/>
  <c r="H24" i="2"/>
  <c r="G24" i="2"/>
  <c r="I24" i="2"/>
  <c r="A25" i="2"/>
  <c r="B25" i="2"/>
  <c r="C24" i="2"/>
  <c r="H25" i="2"/>
  <c r="G25" i="2"/>
  <c r="I25" i="2"/>
  <c r="A26" i="2"/>
  <c r="B26" i="2"/>
  <c r="C25" i="2"/>
  <c r="H26" i="2"/>
  <c r="G26" i="2"/>
  <c r="I26" i="2"/>
  <c r="A27" i="2"/>
  <c r="B27" i="2"/>
  <c r="C26" i="2"/>
  <c r="H27" i="2"/>
  <c r="G27" i="2"/>
  <c r="I27" i="2"/>
  <c r="A28" i="2"/>
  <c r="B28" i="2"/>
  <c r="C27" i="2"/>
  <c r="H28" i="2"/>
  <c r="G28" i="2"/>
  <c r="I28" i="2"/>
  <c r="A29" i="2"/>
  <c r="B29" i="2"/>
  <c r="C28" i="2"/>
  <c r="H29" i="2"/>
  <c r="G29" i="2"/>
  <c r="I29" i="2"/>
  <c r="A30" i="2"/>
  <c r="B30" i="2"/>
  <c r="C29" i="2"/>
  <c r="H30" i="2"/>
  <c r="G30" i="2"/>
  <c r="I30" i="2"/>
  <c r="I51" i="2"/>
  <c r="L11" i="2"/>
  <c r="K12" i="2"/>
  <c r="J12" i="2"/>
  <c r="L12" i="2"/>
  <c r="K13" i="2"/>
  <c r="J13" i="2"/>
  <c r="L13" i="2"/>
  <c r="K14" i="2"/>
  <c r="J14" i="2"/>
  <c r="L14" i="2"/>
  <c r="K15" i="2"/>
  <c r="J15" i="2"/>
  <c r="L15" i="2"/>
  <c r="K16" i="2"/>
  <c r="J16" i="2"/>
  <c r="L16" i="2"/>
  <c r="K17" i="2"/>
  <c r="J17" i="2"/>
  <c r="L17" i="2"/>
  <c r="K18" i="2"/>
  <c r="J18" i="2"/>
  <c r="L18" i="2"/>
  <c r="K19" i="2"/>
  <c r="J19" i="2"/>
  <c r="L19" i="2"/>
  <c r="K20" i="2"/>
  <c r="J20" i="2"/>
  <c r="L20" i="2"/>
  <c r="K21" i="2"/>
  <c r="J21" i="2"/>
  <c r="L21" i="2"/>
  <c r="K22" i="2"/>
  <c r="J22" i="2"/>
  <c r="L22" i="2"/>
  <c r="K23" i="2"/>
  <c r="J23" i="2"/>
  <c r="L23" i="2"/>
  <c r="K24" i="2"/>
  <c r="J24" i="2"/>
  <c r="L24" i="2"/>
  <c r="K25" i="2"/>
  <c r="J25" i="2"/>
  <c r="L25" i="2"/>
  <c r="K26" i="2"/>
  <c r="J26" i="2"/>
  <c r="L26" i="2"/>
  <c r="K27" i="2"/>
  <c r="J27" i="2"/>
  <c r="L27" i="2"/>
  <c r="K28" i="2"/>
  <c r="J28" i="2"/>
  <c r="L28" i="2"/>
  <c r="K29" i="2"/>
  <c r="J29" i="2"/>
  <c r="L29" i="2"/>
  <c r="K30" i="2"/>
  <c r="J30" i="2"/>
  <c r="L30" i="2"/>
  <c r="A31" i="2"/>
  <c r="B31" i="2"/>
  <c r="C30" i="2"/>
  <c r="K31" i="2"/>
  <c r="J31" i="2"/>
  <c r="L31" i="2"/>
  <c r="A32" i="2"/>
  <c r="B32" i="2"/>
  <c r="C31" i="2"/>
  <c r="K32" i="2"/>
  <c r="J32" i="2"/>
  <c r="L32" i="2"/>
  <c r="A33" i="2"/>
  <c r="B33" i="2"/>
  <c r="C32" i="2"/>
  <c r="K33" i="2"/>
  <c r="J33" i="2"/>
  <c r="L33" i="2"/>
  <c r="A34" i="2"/>
  <c r="B34" i="2"/>
  <c r="C33" i="2"/>
  <c r="K34" i="2"/>
  <c r="J34" i="2"/>
  <c r="L34" i="2"/>
  <c r="A35" i="2"/>
  <c r="B35" i="2"/>
  <c r="C34" i="2"/>
  <c r="K35" i="2"/>
  <c r="J35" i="2"/>
  <c r="L35" i="2"/>
  <c r="A36" i="2"/>
  <c r="B36" i="2"/>
  <c r="C35" i="2"/>
  <c r="K36" i="2"/>
  <c r="J36" i="2"/>
  <c r="L36" i="2"/>
  <c r="A37" i="2"/>
  <c r="B37" i="2"/>
  <c r="C36" i="2"/>
  <c r="K37" i="2"/>
  <c r="J37" i="2"/>
  <c r="L37" i="2"/>
  <c r="A38" i="2"/>
  <c r="B38" i="2"/>
  <c r="C37" i="2"/>
  <c r="K38" i="2"/>
  <c r="J38" i="2"/>
  <c r="L38" i="2"/>
  <c r="A39" i="2"/>
  <c r="B39" i="2"/>
  <c r="C38" i="2"/>
  <c r="K39" i="2"/>
  <c r="J39" i="2"/>
  <c r="L39" i="2"/>
  <c r="A40" i="2"/>
  <c r="B40" i="2"/>
  <c r="C39" i="2"/>
  <c r="K40" i="2"/>
  <c r="J40" i="2"/>
  <c r="L40" i="2"/>
  <c r="A41" i="2"/>
  <c r="B41" i="2"/>
  <c r="C40" i="2"/>
  <c r="K41" i="2"/>
  <c r="J41" i="2"/>
  <c r="L41" i="2"/>
  <c r="A42" i="2"/>
  <c r="B42" i="2"/>
  <c r="C41" i="2"/>
  <c r="K42" i="2"/>
  <c r="J42" i="2"/>
  <c r="L42" i="2"/>
  <c r="A43" i="2"/>
  <c r="B43" i="2"/>
  <c r="C42" i="2"/>
  <c r="K43" i="2"/>
  <c r="J43" i="2"/>
  <c r="L43" i="2"/>
  <c r="A44" i="2"/>
  <c r="B44" i="2"/>
  <c r="C43" i="2"/>
  <c r="K44" i="2"/>
  <c r="J44" i="2"/>
  <c r="L44" i="2"/>
  <c r="A45" i="2"/>
  <c r="B45" i="2"/>
  <c r="C44" i="2"/>
  <c r="K45" i="2"/>
  <c r="J45" i="2"/>
  <c r="L45" i="2"/>
  <c r="A46" i="2"/>
  <c r="B46" i="2"/>
  <c r="C45" i="2"/>
  <c r="K46" i="2"/>
  <c r="J46" i="2"/>
  <c r="L46" i="2"/>
  <c r="A47" i="2"/>
  <c r="B47" i="2"/>
  <c r="C46" i="2"/>
  <c r="K47" i="2"/>
  <c r="J47" i="2"/>
  <c r="L47" i="2"/>
  <c r="A48" i="2"/>
  <c r="B48" i="2"/>
  <c r="C47" i="2"/>
  <c r="K48" i="2"/>
  <c r="J48" i="2"/>
  <c r="L48" i="2"/>
  <c r="A49" i="2"/>
  <c r="B49" i="2"/>
  <c r="C48" i="2"/>
  <c r="K49" i="2"/>
  <c r="J49" i="2"/>
  <c r="L49" i="2"/>
  <c r="A50" i="2"/>
  <c r="B50" i="2"/>
  <c r="C49" i="2"/>
  <c r="K50" i="2"/>
  <c r="J50" i="2"/>
  <c r="L50" i="2"/>
  <c r="L51" i="2"/>
  <c r="A10" i="3"/>
  <c r="B10" i="3"/>
  <c r="G10" i="3"/>
  <c r="J10" i="3"/>
  <c r="M10" i="3"/>
  <c r="B7" i="4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9" i="3"/>
  <c r="L8" i="2"/>
  <c r="I8" i="2"/>
  <c r="F8" i="2"/>
  <c r="L7" i="2"/>
  <c r="I7" i="2"/>
  <c r="F7" i="2"/>
  <c r="L6" i="2"/>
  <c r="I6" i="2"/>
  <c r="F6" i="2"/>
  <c r="B4" i="3"/>
  <c r="D49" i="3"/>
  <c r="B13" i="5"/>
  <c r="C12" i="5"/>
  <c r="C11" i="5"/>
  <c r="C8" i="4"/>
  <c r="D9" i="4"/>
  <c r="D18" i="3"/>
  <c r="D19" i="3"/>
  <c r="D20" i="3"/>
  <c r="D21" i="3"/>
  <c r="D22" i="3"/>
  <c r="D23" i="3"/>
  <c r="D34" i="3"/>
  <c r="D35" i="3"/>
  <c r="D36" i="3"/>
  <c r="D37" i="3"/>
  <c r="D38" i="3"/>
  <c r="D24" i="3"/>
  <c r="D40" i="3"/>
  <c r="D41" i="3"/>
  <c r="D39" i="3"/>
  <c r="D25" i="3"/>
  <c r="D26" i="3"/>
  <c r="D42" i="3"/>
  <c r="D27" i="3"/>
  <c r="D43" i="3"/>
  <c r="D12" i="3"/>
  <c r="D28" i="3"/>
  <c r="D44" i="3"/>
  <c r="D13" i="3"/>
  <c r="D29" i="3"/>
  <c r="D45" i="3"/>
  <c r="D14" i="3"/>
  <c r="D30" i="3"/>
  <c r="D46" i="3"/>
  <c r="D15" i="3"/>
  <c r="D31" i="3"/>
  <c r="D47" i="3"/>
  <c r="D16" i="3"/>
  <c r="D32" i="3"/>
  <c r="D48" i="3"/>
  <c r="D17" i="3"/>
  <c r="D33" i="3"/>
  <c r="B14" i="5"/>
  <c r="C13" i="5"/>
  <c r="C9" i="4"/>
  <c r="F9" i="4"/>
  <c r="E9" i="4"/>
  <c r="D10" i="4"/>
  <c r="B15" i="5"/>
  <c r="C14" i="5"/>
  <c r="G9" i="4"/>
  <c r="C10" i="4"/>
  <c r="E10" i="4"/>
  <c r="F10" i="4"/>
  <c r="G10" i="4"/>
  <c r="D11" i="4"/>
  <c r="B16" i="5"/>
  <c r="C15" i="5"/>
  <c r="C11" i="4"/>
  <c r="F11" i="4"/>
  <c r="E11" i="4"/>
  <c r="D12" i="4"/>
  <c r="A34" i="5"/>
  <c r="C34" i="5"/>
  <c r="B17" i="5"/>
  <c r="C16" i="5"/>
  <c r="C12" i="4"/>
  <c r="F12" i="4"/>
  <c r="E12" i="4"/>
  <c r="G11" i="4"/>
  <c r="D13" i="4"/>
  <c r="E34" i="5"/>
  <c r="B18" i="5"/>
  <c r="C17" i="5"/>
  <c r="C13" i="4"/>
  <c r="F13" i="4"/>
  <c r="E13" i="4"/>
  <c r="G12" i="4"/>
  <c r="D14" i="4"/>
  <c r="C11" i="3"/>
  <c r="C13" i="3"/>
  <c r="C15" i="3"/>
  <c r="C17" i="3"/>
  <c r="C19" i="3"/>
  <c r="C21" i="3"/>
  <c r="C23" i="3"/>
  <c r="C25" i="3"/>
  <c r="C27" i="3"/>
  <c r="C29" i="3"/>
  <c r="C31" i="3"/>
  <c r="C33" i="3"/>
  <c r="C35" i="3"/>
  <c r="C37" i="3"/>
  <c r="C39" i="3"/>
  <c r="C41" i="3"/>
  <c r="C43" i="3"/>
  <c r="C45" i="3"/>
  <c r="C47" i="3"/>
  <c r="B19" i="5"/>
  <c r="C18" i="5"/>
  <c r="J35" i="5"/>
  <c r="C14" i="4"/>
  <c r="F14" i="4"/>
  <c r="E14" i="4"/>
  <c r="G13" i="4"/>
  <c r="D15" i="4"/>
  <c r="K47" i="3"/>
  <c r="L47" i="3"/>
  <c r="K43" i="3"/>
  <c r="L43" i="3"/>
  <c r="K39" i="3"/>
  <c r="L39" i="3"/>
  <c r="K35" i="3"/>
  <c r="L35" i="3"/>
  <c r="K31" i="3"/>
  <c r="L31" i="3"/>
  <c r="K27" i="3"/>
  <c r="H27" i="3"/>
  <c r="L27" i="3"/>
  <c r="I27" i="3"/>
  <c r="K23" i="3"/>
  <c r="H23" i="3"/>
  <c r="L23" i="3"/>
  <c r="I23" i="3"/>
  <c r="K19" i="3"/>
  <c r="H19" i="3"/>
  <c r="L19" i="3"/>
  <c r="I19" i="3"/>
  <c r="K15" i="3"/>
  <c r="H15" i="3"/>
  <c r="L15" i="3"/>
  <c r="I15" i="3"/>
  <c r="L11" i="3"/>
  <c r="I11" i="3"/>
  <c r="K11" i="3"/>
  <c r="H11" i="3"/>
  <c r="K45" i="3"/>
  <c r="L45" i="3"/>
  <c r="K41" i="3"/>
  <c r="L41" i="3"/>
  <c r="K37" i="3"/>
  <c r="L37" i="3"/>
  <c r="K33" i="3"/>
  <c r="L33" i="3"/>
  <c r="K29" i="3"/>
  <c r="H29" i="3"/>
  <c r="L29" i="3"/>
  <c r="I29" i="3"/>
  <c r="K25" i="3"/>
  <c r="H25" i="3"/>
  <c r="L25" i="3"/>
  <c r="I25" i="3"/>
  <c r="K21" i="3"/>
  <c r="H21" i="3"/>
  <c r="L21" i="3"/>
  <c r="I21" i="3"/>
  <c r="K17" i="3"/>
  <c r="H17" i="3"/>
  <c r="L17" i="3"/>
  <c r="I17" i="3"/>
  <c r="K13" i="3"/>
  <c r="H13" i="3"/>
  <c r="L13" i="3"/>
  <c r="I13" i="3"/>
  <c r="C26" i="3"/>
  <c r="K26" i="3"/>
  <c r="E17" i="3"/>
  <c r="F17" i="3"/>
  <c r="E13" i="3"/>
  <c r="F13" i="3"/>
  <c r="C46" i="3"/>
  <c r="K46" i="3"/>
  <c r="C42" i="3"/>
  <c r="L42" i="3"/>
  <c r="C38" i="3"/>
  <c r="K38" i="3"/>
  <c r="C34" i="3"/>
  <c r="K34" i="3"/>
  <c r="C30" i="3"/>
  <c r="K30" i="3"/>
  <c r="H26" i="3"/>
  <c r="C22" i="3"/>
  <c r="K22" i="3"/>
  <c r="C18" i="3"/>
  <c r="I18" i="3"/>
  <c r="C14" i="3"/>
  <c r="K14" i="3"/>
  <c r="C10" i="3"/>
  <c r="E15" i="3"/>
  <c r="F15" i="3"/>
  <c r="F11" i="3"/>
  <c r="E11" i="3"/>
  <c r="C48" i="3"/>
  <c r="K48" i="3"/>
  <c r="C44" i="3"/>
  <c r="K44" i="3"/>
  <c r="C40" i="3"/>
  <c r="K40" i="3"/>
  <c r="C36" i="3"/>
  <c r="K36" i="3"/>
  <c r="C32" i="3"/>
  <c r="K32" i="3"/>
  <c r="C28" i="3"/>
  <c r="H28" i="3"/>
  <c r="C24" i="3"/>
  <c r="H24" i="3"/>
  <c r="C20" i="3"/>
  <c r="I20" i="3"/>
  <c r="C16" i="3"/>
  <c r="K16" i="3"/>
  <c r="C12" i="3"/>
  <c r="K12" i="3"/>
  <c r="C49" i="3"/>
  <c r="B20" i="5"/>
  <c r="C19" i="5"/>
  <c r="H35" i="5"/>
  <c r="K35" i="5"/>
  <c r="L35" i="5"/>
  <c r="M35" i="5"/>
  <c r="J36" i="5"/>
  <c r="G14" i="4"/>
  <c r="M17" i="3"/>
  <c r="M19" i="3"/>
  <c r="C15" i="4"/>
  <c r="F15" i="4"/>
  <c r="E15" i="4"/>
  <c r="D16" i="4"/>
  <c r="G11" i="3"/>
  <c r="M11" i="3"/>
  <c r="J17" i="3"/>
  <c r="J19" i="3"/>
  <c r="J11" i="3"/>
  <c r="M33" i="3"/>
  <c r="M39" i="3"/>
  <c r="M47" i="3"/>
  <c r="M35" i="3"/>
  <c r="M43" i="3"/>
  <c r="J23" i="3"/>
  <c r="M45" i="3"/>
  <c r="J27" i="3"/>
  <c r="M25" i="3"/>
  <c r="J13" i="3"/>
  <c r="J29" i="3"/>
  <c r="J15" i="3"/>
  <c r="M37" i="3"/>
  <c r="J21" i="3"/>
  <c r="M23" i="3"/>
  <c r="G15" i="3"/>
  <c r="M13" i="3"/>
  <c r="M29" i="3"/>
  <c r="M15" i="3"/>
  <c r="M21" i="3"/>
  <c r="G13" i="3"/>
  <c r="G17" i="3"/>
  <c r="M27" i="3"/>
  <c r="M41" i="3"/>
  <c r="J25" i="3"/>
  <c r="M31" i="3"/>
  <c r="H20" i="3"/>
  <c r="J20" i="3"/>
  <c r="L26" i="3"/>
  <c r="M26" i="3"/>
  <c r="K20" i="3"/>
  <c r="L36" i="3"/>
  <c r="M36" i="3"/>
  <c r="K42" i="3"/>
  <c r="M42" i="3"/>
  <c r="L46" i="3"/>
  <c r="M46" i="3"/>
  <c r="I22" i="3"/>
  <c r="L30" i="3"/>
  <c r="M30" i="3"/>
  <c r="I26" i="3"/>
  <c r="J26" i="3"/>
  <c r="L38" i="3"/>
  <c r="M38" i="3"/>
  <c r="L20" i="3"/>
  <c r="I14" i="3"/>
  <c r="H16" i="3"/>
  <c r="L14" i="3"/>
  <c r="M14" i="3"/>
  <c r="L18" i="3"/>
  <c r="L22" i="3"/>
  <c r="M22" i="3"/>
  <c r="K24" i="3"/>
  <c r="K28" i="3"/>
  <c r="H14" i="3"/>
  <c r="H18" i="3"/>
  <c r="J18" i="3"/>
  <c r="H22" i="3"/>
  <c r="L34" i="3"/>
  <c r="M34" i="3"/>
  <c r="I12" i="3"/>
  <c r="I16" i="3"/>
  <c r="I24" i="3"/>
  <c r="J24" i="3"/>
  <c r="I28" i="3"/>
  <c r="J28" i="3"/>
  <c r="L32" i="3"/>
  <c r="M32" i="3"/>
  <c r="L40" i="3"/>
  <c r="M40" i="3"/>
  <c r="L48" i="3"/>
  <c r="M48" i="3"/>
  <c r="K49" i="3"/>
  <c r="L49" i="3"/>
  <c r="K18" i="3"/>
  <c r="L12" i="3"/>
  <c r="M12" i="3"/>
  <c r="L16" i="3"/>
  <c r="M16" i="3"/>
  <c r="L24" i="3"/>
  <c r="L28" i="3"/>
  <c r="H12" i="3"/>
  <c r="L44" i="3"/>
  <c r="M44" i="3"/>
  <c r="E16" i="3"/>
  <c r="F16" i="3"/>
  <c r="E12" i="3"/>
  <c r="F12" i="3"/>
  <c r="E14" i="3"/>
  <c r="F14" i="3"/>
  <c r="B21" i="5"/>
  <c r="C20" i="5"/>
  <c r="J37" i="5"/>
  <c r="H36" i="5"/>
  <c r="K36" i="5"/>
  <c r="L36" i="5"/>
  <c r="M36" i="5"/>
  <c r="G15" i="4"/>
  <c r="C16" i="4"/>
  <c r="E16" i="4"/>
  <c r="F16" i="4"/>
  <c r="D17" i="4"/>
  <c r="M18" i="3"/>
  <c r="G14" i="3"/>
  <c r="J16" i="3"/>
  <c r="M49" i="3"/>
  <c r="J14" i="3"/>
  <c r="M28" i="3"/>
  <c r="M24" i="3"/>
  <c r="G16" i="3"/>
  <c r="J22" i="3"/>
  <c r="G12" i="3"/>
  <c r="J12" i="3"/>
  <c r="M20" i="3"/>
  <c r="B22" i="5"/>
  <c r="C21" i="5"/>
  <c r="J38" i="5"/>
  <c r="H37" i="5"/>
  <c r="K37" i="5"/>
  <c r="L37" i="5"/>
  <c r="M37" i="5"/>
  <c r="G16" i="4"/>
  <c r="G7" i="3"/>
  <c r="M7" i="3"/>
  <c r="J4" i="4"/>
  <c r="J7" i="3"/>
  <c r="C17" i="4"/>
  <c r="F17" i="4"/>
  <c r="E17" i="4"/>
  <c r="D18" i="4"/>
  <c r="B23" i="5"/>
  <c r="C22" i="5"/>
  <c r="J39" i="5"/>
  <c r="H38" i="5"/>
  <c r="K38" i="5"/>
  <c r="L38" i="5"/>
  <c r="M38" i="5"/>
  <c r="C18" i="4"/>
  <c r="E18" i="4"/>
  <c r="F18" i="4"/>
  <c r="G17" i="4"/>
  <c r="D19" i="4"/>
  <c r="E3" i="3"/>
  <c r="B24" i="5"/>
  <c r="C23" i="5"/>
  <c r="H39" i="5"/>
  <c r="K39" i="5"/>
  <c r="L39" i="5"/>
  <c r="M39" i="5"/>
  <c r="J40" i="5"/>
  <c r="G18" i="4"/>
  <c r="C19" i="4"/>
  <c r="F19" i="4"/>
  <c r="E19" i="4"/>
  <c r="D20" i="4"/>
  <c r="B25" i="5"/>
  <c r="C24" i="5"/>
  <c r="H40" i="5"/>
  <c r="K40" i="5"/>
  <c r="L40" i="5"/>
  <c r="M40" i="5"/>
  <c r="J41" i="5"/>
  <c r="C20" i="4"/>
  <c r="F20" i="4"/>
  <c r="E20" i="4"/>
  <c r="G19" i="4"/>
  <c r="D21" i="4"/>
  <c r="B26" i="5"/>
  <c r="C25" i="5"/>
  <c r="J42" i="5"/>
  <c r="H41" i="5"/>
  <c r="K41" i="5"/>
  <c r="L41" i="5"/>
  <c r="M41" i="5"/>
  <c r="G20" i="4"/>
  <c r="C21" i="4"/>
  <c r="E21" i="4"/>
  <c r="F21" i="4"/>
  <c r="D22" i="4"/>
  <c r="B27" i="5"/>
  <c r="C26" i="5"/>
  <c r="J43" i="5"/>
  <c r="H42" i="5"/>
  <c r="K42" i="5"/>
  <c r="L42" i="5"/>
  <c r="M42" i="5"/>
  <c r="G21" i="4"/>
  <c r="C22" i="4"/>
  <c r="E22" i="4"/>
  <c r="F22" i="4"/>
  <c r="D23" i="4"/>
  <c r="B28" i="5"/>
  <c r="C27" i="5"/>
  <c r="J44" i="5"/>
  <c r="H43" i="5"/>
  <c r="K43" i="5"/>
  <c r="L43" i="5"/>
  <c r="M43" i="5"/>
  <c r="G22" i="4"/>
  <c r="C23" i="4"/>
  <c r="F23" i="4"/>
  <c r="E23" i="4"/>
  <c r="D24" i="4"/>
  <c r="B29" i="5"/>
  <c r="C29" i="5"/>
  <c r="C28" i="5"/>
  <c r="H44" i="5"/>
  <c r="K44" i="5"/>
  <c r="L44" i="5"/>
  <c r="M44" i="5"/>
  <c r="G23" i="4"/>
  <c r="C24" i="4"/>
  <c r="F24" i="4"/>
  <c r="E24" i="4"/>
  <c r="D25" i="4"/>
  <c r="D30" i="5"/>
  <c r="C25" i="4"/>
  <c r="F25" i="4"/>
  <c r="E25" i="4"/>
  <c r="G24" i="4"/>
  <c r="D26" i="4"/>
  <c r="I42" i="5"/>
  <c r="I38" i="5"/>
  <c r="I43" i="5"/>
  <c r="I39" i="5"/>
  <c r="I40" i="5"/>
  <c r="I36" i="5"/>
  <c r="I41" i="5"/>
  <c r="I37" i="5"/>
  <c r="I44" i="5"/>
  <c r="I35" i="5"/>
  <c r="G25" i="4"/>
  <c r="C26" i="4"/>
  <c r="E26" i="4"/>
  <c r="F26" i="4"/>
  <c r="G26" i="4"/>
  <c r="D27" i="4"/>
  <c r="I45" i="5"/>
  <c r="I46" i="5"/>
  <c r="M45" i="5"/>
  <c r="I22" i="5"/>
  <c r="C27" i="4"/>
  <c r="E27" i="4"/>
  <c r="F27" i="4"/>
  <c r="D28" i="4"/>
  <c r="G27" i="4"/>
  <c r="C28" i="4"/>
  <c r="F28" i="4"/>
  <c r="E28" i="4"/>
  <c r="D29" i="4"/>
  <c r="G28" i="4"/>
  <c r="C29" i="4"/>
  <c r="E29" i="4"/>
  <c r="F29" i="4"/>
  <c r="G29" i="4"/>
  <c r="D30" i="4"/>
  <c r="C30" i="4"/>
  <c r="E30" i="4"/>
  <c r="F30" i="4"/>
  <c r="G30" i="4"/>
  <c r="D31" i="4"/>
  <c r="C31" i="4"/>
  <c r="F31" i="4"/>
  <c r="E31" i="4"/>
  <c r="D32" i="4"/>
  <c r="G31" i="4"/>
  <c r="C32" i="4"/>
  <c r="E32" i="4"/>
  <c r="F32" i="4"/>
  <c r="D33" i="4"/>
  <c r="G32" i="4"/>
  <c r="C33" i="4"/>
  <c r="F33" i="4"/>
  <c r="E33" i="4"/>
  <c r="D34" i="4"/>
  <c r="G33" i="4"/>
  <c r="C34" i="4"/>
  <c r="E34" i="4"/>
  <c r="F34" i="4"/>
  <c r="G34" i="4"/>
  <c r="D35" i="4"/>
  <c r="C35" i="4"/>
  <c r="F35" i="4"/>
  <c r="E35" i="4"/>
  <c r="D36" i="4"/>
  <c r="G35" i="4"/>
  <c r="C36" i="4"/>
  <c r="F36" i="4"/>
  <c r="E36" i="4"/>
  <c r="D37" i="4"/>
  <c r="G36" i="4"/>
  <c r="C37" i="4"/>
  <c r="E37" i="4"/>
  <c r="F37" i="4"/>
  <c r="G37" i="4"/>
  <c r="D38" i="4"/>
  <c r="C38" i="4"/>
  <c r="F38" i="4"/>
  <c r="E38" i="4"/>
  <c r="D39" i="4"/>
  <c r="G38" i="4"/>
  <c r="C39" i="4"/>
  <c r="F39" i="4"/>
  <c r="E39" i="4"/>
  <c r="D40" i="4"/>
  <c r="G39" i="4"/>
  <c r="C40" i="4"/>
  <c r="F40" i="4"/>
  <c r="E40" i="4"/>
  <c r="D41" i="4"/>
  <c r="G40" i="4"/>
  <c r="C41" i="4"/>
  <c r="F41" i="4"/>
  <c r="E41" i="4"/>
  <c r="D42" i="4"/>
  <c r="C42" i="4"/>
  <c r="E42" i="4"/>
  <c r="F42" i="4"/>
  <c r="G42" i="4"/>
  <c r="G41" i="4"/>
  <c r="D43" i="4"/>
  <c r="C43" i="4"/>
  <c r="F43" i="4"/>
  <c r="E43" i="4"/>
  <c r="D44" i="4"/>
  <c r="G43" i="4"/>
  <c r="C44" i="4"/>
  <c r="E44" i="4"/>
  <c r="F44" i="4"/>
  <c r="G44" i="4"/>
  <c r="D45" i="4"/>
  <c r="C45" i="4"/>
  <c r="F45" i="4"/>
  <c r="E45" i="4"/>
  <c r="D46" i="4"/>
  <c r="G45" i="4"/>
  <c r="C46" i="4"/>
  <c r="F46" i="4"/>
  <c r="E46" i="4"/>
  <c r="D47" i="4"/>
  <c r="G46" i="4"/>
  <c r="C47" i="4"/>
  <c r="F47" i="4"/>
  <c r="E47" i="4"/>
  <c r="G47" i="4"/>
  <c r="G5" i="4"/>
  <c r="I4" i="4"/>
  <c r="L4" i="4"/>
</calcChain>
</file>

<file path=xl/sharedStrings.xml><?xml version="1.0" encoding="utf-8"?>
<sst xmlns="http://schemas.openxmlformats.org/spreadsheetml/2006/main" count="100" uniqueCount="64">
  <si>
    <t>d1</t>
  </si>
  <si>
    <t>d2</t>
  </si>
  <si>
    <r>
      <t>σ</t>
    </r>
    <r>
      <rPr>
        <b/>
        <vertAlign val="subscript"/>
        <sz val="10"/>
        <rFont val="Arial"/>
        <family val="2"/>
      </rPr>
      <t>p</t>
    </r>
  </si>
  <si>
    <r>
      <t>d</t>
    </r>
    <r>
      <rPr>
        <b/>
        <vertAlign val="subscript"/>
        <sz val="10"/>
        <rFont val="Arial"/>
        <family val="2"/>
      </rPr>
      <t>1</t>
    </r>
  </si>
  <si>
    <r>
      <t>d</t>
    </r>
    <r>
      <rPr>
        <b/>
        <vertAlign val="subscript"/>
        <sz val="10"/>
        <rFont val="Arial"/>
        <family val="2"/>
      </rPr>
      <t>2</t>
    </r>
  </si>
  <si>
    <t>P(0,T)</t>
  </si>
  <si>
    <t>Maturity</t>
  </si>
  <si>
    <t>r*</t>
  </si>
  <si>
    <t>Cash Flows</t>
  </si>
  <si>
    <t>Variance</t>
  </si>
  <si>
    <t xml:space="preserve">T  </t>
  </si>
  <si>
    <t>t</t>
  </si>
  <si>
    <r>
      <t>t</t>
    </r>
    <r>
      <rPr>
        <b/>
        <vertAlign val="subscript"/>
        <sz val="10"/>
        <rFont val="Arial"/>
        <family val="2"/>
      </rPr>
      <t>i</t>
    </r>
  </si>
  <si>
    <r>
      <t>P(0,t</t>
    </r>
    <r>
      <rPr>
        <b/>
        <vertAlign val="subscript"/>
        <sz val="10"/>
        <rFont val="Arial"/>
        <family val="2"/>
      </rPr>
      <t>i</t>
    </r>
    <r>
      <rPr>
        <b/>
        <sz val="10"/>
        <rFont val="Arial"/>
        <family val="2"/>
      </rPr>
      <t>)</t>
    </r>
  </si>
  <si>
    <r>
      <t>P(0,t</t>
    </r>
    <r>
      <rPr>
        <b/>
        <vertAlign val="subscript"/>
        <sz val="10"/>
        <rFont val="Arial"/>
        <family val="2"/>
      </rPr>
      <t>i-1</t>
    </r>
    <r>
      <rPr>
        <b/>
        <sz val="10"/>
        <rFont val="Arial"/>
        <family val="2"/>
      </rPr>
      <t>,t</t>
    </r>
    <r>
      <rPr>
        <b/>
        <vertAlign val="subscript"/>
        <sz val="10"/>
        <rFont val="Arial"/>
        <family val="2"/>
      </rPr>
      <t>i</t>
    </r>
    <r>
      <rPr>
        <b/>
        <sz val="10"/>
        <rFont val="Arial"/>
        <family val="2"/>
      </rPr>
      <t>)</t>
    </r>
  </si>
  <si>
    <t>Forward 3M Libor(ti)</t>
  </si>
  <si>
    <t>Caplets</t>
  </si>
  <si>
    <t>Strike</t>
  </si>
  <si>
    <t>Black Vol</t>
  </si>
  <si>
    <t>Cap Price</t>
  </si>
  <si>
    <t>delta_t</t>
  </si>
  <si>
    <t>mean_rev</t>
  </si>
  <si>
    <t>sigma</t>
  </si>
  <si>
    <t>B(delta_t)</t>
  </si>
  <si>
    <t>P(0,t)</t>
  </si>
  <si>
    <t>P(0,t,T)</t>
  </si>
  <si>
    <t>B(t,T)</t>
  </si>
  <si>
    <t>P(t,T;r*)</t>
  </si>
  <si>
    <t>P(t,T) Call</t>
  </si>
  <si>
    <t>A(t,T)</t>
  </si>
  <si>
    <t>Floor Maturity (yrs)</t>
  </si>
  <si>
    <t>Floor Strike (%)</t>
  </si>
  <si>
    <t>Floor Black Vol (%)</t>
  </si>
  <si>
    <t>Market Volatility Data</t>
  </si>
  <si>
    <t>Floor Black Model Pricing</t>
  </si>
  <si>
    <t>Floor 1</t>
  </si>
  <si>
    <t>Floor 2</t>
  </si>
  <si>
    <t>Floor 3</t>
  </si>
  <si>
    <t>Floorlets</t>
  </si>
  <si>
    <t>Floor Price</t>
  </si>
  <si>
    <t>HW Price of Floor 1</t>
  </si>
  <si>
    <t>HW Price of Floor 2</t>
  </si>
  <si>
    <t>HW Price of Floor 3</t>
  </si>
  <si>
    <t>Quadratic Error</t>
  </si>
  <si>
    <t>HW Price of Cap</t>
  </si>
  <si>
    <t>Cap Maturity (yrs)</t>
  </si>
  <si>
    <t>Cap Strike (%)</t>
  </si>
  <si>
    <t>Swap Price</t>
  </si>
  <si>
    <t>Parity Error</t>
  </si>
  <si>
    <t>Price Validation Using Parity:  Cap - Floor = Swap</t>
  </si>
  <si>
    <t>Coupon</t>
  </si>
  <si>
    <t>Bond Call Option</t>
  </si>
  <si>
    <t>Callable Bond Price:</t>
  </si>
  <si>
    <t>Non-Callable Bond Price:</t>
  </si>
  <si>
    <t>Principal</t>
  </si>
  <si>
    <t>Maturity Time</t>
  </si>
  <si>
    <t>Exercise Time</t>
  </si>
  <si>
    <t>Callable Fixed Rate Bond</t>
  </si>
  <si>
    <t>Non-Callable Bond Pricing</t>
  </si>
  <si>
    <t>Call option pricing using Jamshidian decomposition</t>
  </si>
  <si>
    <t>Forward Bond Price(t;r*)</t>
  </si>
  <si>
    <t>Problem</t>
  </si>
  <si>
    <t>Points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</si>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</sst>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.00000_);_(* \(#,##0.00000\);_(* &quot;-&quot;??_);_(@_)"/>
    <numFmt numFmtId="166" formatCode="_(* #,##0.000000_);_(* \(#,##0.000000\);_(* &quot;-&quot;??_);_(@_)"/>
    <numFmt numFmtId="167" formatCode="_(* #,##0.0000000_);_(* \(#,##0.0000000\);_(* &quot;-&quot;??_);_(@_)"/>
    <numFmt numFmtId="168" formatCode="0.0000%"/>
    <numFmt numFmtId="169" formatCode="0.000000"/>
    <numFmt numFmtId="170" formatCode="0.0000"/>
    <numFmt numFmtId="171" formatCode="0.0000000"/>
    <numFmt numFmtId="172" formatCode="0.0%"/>
    <numFmt numFmtId="173" formatCode="#,##0.000000"/>
    <numFmt numFmtId="174" formatCode="_(&quot;$&quot;* #,##0.0000_);_(&quot;$&quot;* \(#,##0.0000\);_(&quot;$&quot;* &quot;-&quot;??_);_(@_)"/>
    <numFmt numFmtId="175" formatCode="_(&quot;$&quot;* #,##0.000000_);_(&quot;$&quot;* \(#,##0.000000\);_(&quot;$&quot;* &quot;-&quot;??_);_(@_)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1"/>
      <color rgb="FF006100"/>
      <name val="Calibri"/>
      <family val="2"/>
      <scheme val="minor"/>
    </font>
    <font>
      <b/>
      <sz val="12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4" borderId="0" applyNumberFormat="0" applyBorder="0" applyAlignment="0" applyProtection="0"/>
  </cellStyleXfs>
  <cellXfs count="174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/>
    <xf numFmtId="0" fontId="0" fillId="0" borderId="5" xfId="0" applyFill="1" applyBorder="1"/>
    <xf numFmtId="0" fontId="0" fillId="0" borderId="0" xfId="0" applyFill="1" applyBorder="1"/>
    <xf numFmtId="0" fontId="0" fillId="0" borderId="6" xfId="0" applyFill="1" applyBorder="1"/>
    <xf numFmtId="2" fontId="0" fillId="0" borderId="5" xfId="0" applyNumberFormat="1" applyFill="1" applyBorder="1"/>
    <xf numFmtId="168" fontId="0" fillId="0" borderId="0" xfId="3" applyNumberFormat="1" applyFont="1" applyFill="1" applyBorder="1"/>
    <xf numFmtId="169" fontId="0" fillId="0" borderId="0" xfId="0" applyNumberFormat="1" applyFill="1" applyBorder="1"/>
    <xf numFmtId="2" fontId="0" fillId="0" borderId="7" xfId="0" applyNumberFormat="1" applyFill="1" applyBorder="1"/>
    <xf numFmtId="2" fontId="0" fillId="0" borderId="0" xfId="0" applyNumberFormat="1" applyFill="1" applyBorder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171" fontId="0" fillId="0" borderId="5" xfId="0" applyNumberFormat="1" applyBorder="1"/>
    <xf numFmtId="171" fontId="0" fillId="0" borderId="0" xfId="0" applyNumberFormat="1" applyBorder="1"/>
    <xf numFmtId="171" fontId="0" fillId="0" borderId="7" xfId="0" applyNumberFormat="1" applyBorder="1"/>
    <xf numFmtId="171" fontId="0" fillId="0" borderId="8" xfId="0" applyNumberFormat="1" applyBorder="1"/>
    <xf numFmtId="0" fontId="0" fillId="0" borderId="4" xfId="0" applyBorder="1"/>
    <xf numFmtId="0" fontId="3" fillId="0" borderId="0" xfId="0" applyFont="1" applyAlignment="1">
      <alignment horizontal="right"/>
    </xf>
    <xf numFmtId="0" fontId="0" fillId="0" borderId="8" xfId="0" applyBorder="1"/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68" fontId="0" fillId="0" borderId="6" xfId="3" applyNumberFormat="1" applyFont="1" applyFill="1" applyBorder="1"/>
    <xf numFmtId="0" fontId="0" fillId="3" borderId="0" xfId="0" applyFill="1" applyBorder="1"/>
    <xf numFmtId="166" fontId="0" fillId="0" borderId="0" xfId="1" applyNumberFormat="1" applyFont="1" applyFill="1" applyBorder="1"/>
    <xf numFmtId="0" fontId="3" fillId="0" borderId="3" xfId="0" applyFont="1" applyFill="1" applyBorder="1" applyAlignment="1">
      <alignment horizontal="center" vertical="center"/>
    </xf>
    <xf numFmtId="166" fontId="0" fillId="0" borderId="8" xfId="1" applyNumberFormat="1" applyFont="1" applyFill="1" applyBorder="1"/>
    <xf numFmtId="169" fontId="0" fillId="0" borderId="0" xfId="1" applyNumberFormat="1" applyFont="1" applyFill="1" applyBorder="1"/>
    <xf numFmtId="168" fontId="0" fillId="0" borderId="5" xfId="3" applyNumberFormat="1" applyFont="1" applyFill="1" applyBorder="1"/>
    <xf numFmtId="166" fontId="0" fillId="0" borderId="5" xfId="1" applyNumberFormat="1" applyFont="1" applyFill="1" applyBorder="1"/>
    <xf numFmtId="169" fontId="0" fillId="0" borderId="5" xfId="1" applyNumberFormat="1" applyFont="1" applyFill="1" applyBorder="1"/>
    <xf numFmtId="166" fontId="0" fillId="0" borderId="7" xfId="1" applyNumberFormat="1" applyFont="1" applyFill="1" applyBorder="1"/>
    <xf numFmtId="169" fontId="0" fillId="0" borderId="6" xfId="0" applyNumberFormat="1" applyFill="1" applyBorder="1"/>
    <xf numFmtId="169" fontId="0" fillId="0" borderId="0" xfId="0" applyNumberFormat="1" applyBorder="1"/>
    <xf numFmtId="169" fontId="0" fillId="0" borderId="7" xfId="1" applyNumberFormat="1" applyFont="1" applyFill="1" applyBorder="1"/>
    <xf numFmtId="169" fontId="0" fillId="0" borderId="8" xfId="0" applyNumberFormat="1" applyBorder="1"/>
    <xf numFmtId="0" fontId="3" fillId="0" borderId="1" xfId="0" applyFont="1" applyBorder="1"/>
    <xf numFmtId="0" fontId="3" fillId="0" borderId="3" xfId="0" applyFont="1" applyBorder="1"/>
    <xf numFmtId="0" fontId="3" fillId="0" borderId="5" xfId="0" applyFont="1" applyBorder="1"/>
    <xf numFmtId="0" fontId="3" fillId="0" borderId="7" xfId="0" applyFont="1" applyBorder="1"/>
    <xf numFmtId="170" fontId="3" fillId="0" borderId="4" xfId="0" applyNumberFormat="1" applyFont="1" applyBorder="1"/>
    <xf numFmtId="0" fontId="0" fillId="0" borderId="0" xfId="0" applyFill="1" applyBorder="1" applyAlignment="1">
      <alignment horizontal="center" vertical="center"/>
    </xf>
    <xf numFmtId="0" fontId="3" fillId="3" borderId="1" xfId="0" applyFont="1" applyFill="1" applyBorder="1" applyAlignment="1"/>
    <xf numFmtId="0" fontId="3" fillId="3" borderId="2" xfId="0" applyFont="1" applyFill="1" applyBorder="1" applyAlignment="1"/>
    <xf numFmtId="0" fontId="3" fillId="3" borderId="2" xfId="0" applyFont="1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6" xfId="0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74" fontId="6" fillId="3" borderId="11" xfId="2" applyNumberFormat="1" applyFont="1" applyFill="1" applyBorder="1"/>
    <xf numFmtId="0" fontId="3" fillId="3" borderId="0" xfId="0" applyFont="1" applyFill="1" applyBorder="1" applyAlignment="1">
      <alignment horizontal="right"/>
    </xf>
    <xf numFmtId="0" fontId="0" fillId="3" borderId="4" xfId="0" applyFill="1" applyBorder="1"/>
    <xf numFmtId="0" fontId="0" fillId="3" borderId="8" xfId="0" applyFill="1" applyBorder="1" applyAlignment="1">
      <alignment horizontal="center"/>
    </xf>
    <xf numFmtId="169" fontId="0" fillId="0" borderId="8" xfId="0" applyNumberFormat="1" applyFill="1" applyBorder="1"/>
    <xf numFmtId="0" fontId="3" fillId="3" borderId="3" xfId="0" applyFont="1" applyFill="1" applyBorder="1" applyAlignment="1">
      <alignment horizontal="right"/>
    </xf>
    <xf numFmtId="169" fontId="8" fillId="2" borderId="11" xfId="0" applyNumberFormat="1" applyFont="1" applyFill="1" applyBorder="1" applyAlignment="1">
      <alignment horizontal="right"/>
    </xf>
    <xf numFmtId="174" fontId="8" fillId="2" borderId="11" xfId="2" applyNumberFormat="1" applyFont="1" applyFill="1" applyBorder="1"/>
    <xf numFmtId="173" fontId="9" fillId="4" borderId="11" xfId="4" applyNumberFormat="1" applyBorder="1"/>
    <xf numFmtId="174" fontId="8" fillId="2" borderId="9" xfId="2" applyNumberFormat="1" applyFont="1" applyFill="1" applyBorder="1" applyAlignment="1"/>
    <xf numFmtId="174" fontId="0" fillId="0" borderId="6" xfId="2" applyNumberFormat="1" applyFont="1" applyFill="1" applyBorder="1"/>
    <xf numFmtId="174" fontId="0" fillId="0" borderId="6" xfId="2" applyNumberFormat="1" applyFont="1" applyBorder="1"/>
    <xf numFmtId="174" fontId="0" fillId="0" borderId="4" xfId="2" applyNumberFormat="1" applyFont="1" applyBorder="1"/>
    <xf numFmtId="169" fontId="0" fillId="0" borderId="4" xfId="0" applyNumberFormat="1" applyFill="1" applyBorder="1"/>
    <xf numFmtId="174" fontId="0" fillId="0" borderId="0" xfId="2" applyNumberFormat="1" applyFont="1" applyBorder="1"/>
    <xf numFmtId="0" fontId="3" fillId="0" borderId="0" xfId="0" applyFont="1" applyFill="1" applyBorder="1" applyAlignment="1">
      <alignment horizontal="center"/>
    </xf>
    <xf numFmtId="169" fontId="0" fillId="0" borderId="8" xfId="1" applyNumberFormat="1" applyFont="1" applyFill="1" applyBorder="1"/>
    <xf numFmtId="174" fontId="0" fillId="0" borderId="4" xfId="2" applyNumberFormat="1" applyFont="1" applyFill="1" applyBorder="1"/>
    <xf numFmtId="174" fontId="0" fillId="3" borderId="0" xfId="0" applyNumberFormat="1" applyFill="1" applyBorder="1"/>
    <xf numFmtId="0" fontId="3" fillId="0" borderId="11" xfId="0" applyFont="1" applyBorder="1" applyAlignment="1">
      <alignment horizontal="right"/>
    </xf>
    <xf numFmtId="10" fontId="0" fillId="0" borderId="0" xfId="3" applyNumberFormat="1" applyFont="1"/>
    <xf numFmtId="0" fontId="3" fillId="0" borderId="11" xfId="0" applyFont="1" applyBorder="1" applyAlignment="1">
      <alignment horizontal="center"/>
    </xf>
    <xf numFmtId="172" fontId="3" fillId="3" borderId="11" xfId="0" applyNumberFormat="1" applyFont="1" applyFill="1" applyBorder="1" applyAlignment="1">
      <alignment horizontal="center"/>
    </xf>
    <xf numFmtId="10" fontId="3" fillId="3" borderId="6" xfId="3" applyNumberFormat="1" applyFont="1" applyFill="1" applyBorder="1"/>
    <xf numFmtId="10" fontId="3" fillId="3" borderId="4" xfId="3" applyNumberFormat="1" applyFont="1" applyFill="1" applyBorder="1"/>
    <xf numFmtId="0" fontId="3" fillId="3" borderId="2" xfId="0" applyFont="1" applyFill="1" applyBorder="1" applyAlignment="1">
      <alignment horizontal="right"/>
    </xf>
    <xf numFmtId="0" fontId="3" fillId="3" borderId="8" xfId="0" applyFont="1" applyFill="1" applyBorder="1" applyAlignment="1">
      <alignment horizontal="right"/>
    </xf>
    <xf numFmtId="0" fontId="3" fillId="0" borderId="5" xfId="0" applyFont="1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44" fontId="0" fillId="0" borderId="0" xfId="0" applyNumberFormat="1"/>
    <xf numFmtId="174" fontId="0" fillId="0" borderId="0" xfId="0" applyNumberFormat="1"/>
    <xf numFmtId="0" fontId="0" fillId="0" borderId="1" xfId="0" applyBorder="1"/>
    <xf numFmtId="0" fontId="3" fillId="0" borderId="2" xfId="0" applyFont="1" applyBorder="1" applyAlignment="1">
      <alignment horizontal="right"/>
    </xf>
    <xf numFmtId="9" fontId="3" fillId="0" borderId="3" xfId="0" applyNumberFormat="1" applyFont="1" applyBorder="1" applyAlignment="1">
      <alignment horizontal="center"/>
    </xf>
    <xf numFmtId="0" fontId="0" fillId="0" borderId="7" xfId="0" applyBorder="1"/>
    <xf numFmtId="0" fontId="3" fillId="0" borderId="8" xfId="0" applyFont="1" applyBorder="1" applyAlignment="1">
      <alignment horizontal="right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75" fontId="8" fillId="2" borderId="4" xfId="0" applyNumberFormat="1" applyFont="1" applyFill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175" fontId="0" fillId="0" borderId="8" xfId="2" applyNumberFormat="1" applyFont="1" applyBorder="1" applyAlignment="1">
      <alignment horizontal="center"/>
    </xf>
    <xf numFmtId="0" fontId="1" fillId="3" borderId="0" xfId="0" applyFont="1" applyFill="1" applyBorder="1" applyAlignment="1">
      <alignment horizontal="right"/>
    </xf>
    <xf numFmtId="0" fontId="3" fillId="3" borderId="5" xfId="0" applyFont="1" applyFill="1" applyBorder="1" applyAlignment="1"/>
    <xf numFmtId="0" fontId="3" fillId="3" borderId="0" xfId="0" applyFont="1" applyFill="1" applyBorder="1" applyAlignment="1"/>
    <xf numFmtId="0" fontId="3" fillId="3" borderId="0" xfId="0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44" fontId="0" fillId="3" borderId="7" xfId="2" applyFont="1" applyFill="1" applyBorder="1" applyAlignment="1">
      <alignment horizontal="center"/>
    </xf>
    <xf numFmtId="44" fontId="0" fillId="3" borderId="4" xfId="2" applyFont="1" applyFill="1" applyBorder="1"/>
    <xf numFmtId="0" fontId="1" fillId="3" borderId="5" xfId="0" applyFont="1" applyFill="1" applyBorder="1" applyAlignment="1">
      <alignment horizontal="center"/>
    </xf>
    <xf numFmtId="164" fontId="1" fillId="3" borderId="5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174" fontId="1" fillId="3" borderId="6" xfId="2" applyNumberFormat="1" applyFont="1" applyFill="1" applyBorder="1" applyAlignment="1">
      <alignment horizontal="center"/>
    </xf>
    <xf numFmtId="164" fontId="1" fillId="3" borderId="7" xfId="0" applyNumberFormat="1" applyFont="1" applyFill="1" applyBorder="1" applyAlignment="1">
      <alignment horizontal="center"/>
    </xf>
    <xf numFmtId="174" fontId="1" fillId="3" borderId="4" xfId="2" applyNumberFormat="1" applyFont="1" applyFill="1" applyBorder="1" applyAlignment="1">
      <alignment horizontal="center"/>
    </xf>
    <xf numFmtId="174" fontId="3" fillId="2" borderId="11" xfId="2" applyNumberFormat="1" applyFont="1" applyFill="1" applyBorder="1"/>
    <xf numFmtId="0" fontId="7" fillId="3" borderId="2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169" fontId="0" fillId="3" borderId="5" xfId="0" applyNumberFormat="1" applyFill="1" applyBorder="1" applyAlignment="1">
      <alignment horizontal="center" vertical="center"/>
    </xf>
    <xf numFmtId="169" fontId="0" fillId="3" borderId="0" xfId="0" applyNumberForma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69" fontId="0" fillId="3" borderId="6" xfId="0" applyNumberFormat="1" applyFill="1" applyBorder="1" applyAlignment="1">
      <alignment horizontal="center" vertical="center"/>
    </xf>
    <xf numFmtId="174" fontId="6" fillId="3" borderId="12" xfId="2" applyNumberFormat="1" applyFont="1" applyFill="1" applyBorder="1" applyAlignment="1">
      <alignment horizontal="center" vertical="center"/>
    </xf>
    <xf numFmtId="167" fontId="6" fillId="3" borderId="5" xfId="1" applyNumberFormat="1" applyFont="1" applyFill="1" applyBorder="1" applyAlignment="1">
      <alignment horizontal="center" vertical="center"/>
    </xf>
    <xf numFmtId="170" fontId="0" fillId="3" borderId="0" xfId="0" applyNumberFormat="1" applyFill="1" applyBorder="1" applyAlignment="1">
      <alignment horizontal="center" vertical="center"/>
    </xf>
    <xf numFmtId="170" fontId="0" fillId="3" borderId="6" xfId="0" applyNumberFormat="1" applyFill="1" applyBorder="1" applyAlignment="1">
      <alignment horizontal="center" vertical="center"/>
    </xf>
    <xf numFmtId="165" fontId="0" fillId="3" borderId="6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4" fontId="0" fillId="3" borderId="8" xfId="0" applyNumberFormat="1" applyFill="1" applyBorder="1" applyAlignment="1">
      <alignment horizontal="center" vertical="center"/>
    </xf>
    <xf numFmtId="169" fontId="0" fillId="3" borderId="7" xfId="0" applyNumberFormat="1" applyFill="1" applyBorder="1" applyAlignment="1">
      <alignment horizontal="center" vertical="center"/>
    </xf>
    <xf numFmtId="169" fontId="0" fillId="3" borderId="8" xfId="0" applyNumberFormat="1" applyFill="1" applyBorder="1" applyAlignment="1">
      <alignment horizontal="center" vertical="center"/>
    </xf>
    <xf numFmtId="169" fontId="0" fillId="3" borderId="4" xfId="0" applyNumberFormat="1" applyFill="1" applyBorder="1" applyAlignment="1">
      <alignment horizontal="center" vertical="center"/>
    </xf>
    <xf numFmtId="174" fontId="6" fillId="3" borderId="10" xfId="2" applyNumberFormat="1" applyFont="1" applyFill="1" applyBorder="1" applyAlignment="1">
      <alignment horizontal="center" vertical="center"/>
    </xf>
    <xf numFmtId="167" fontId="6" fillId="3" borderId="7" xfId="1" applyNumberFormat="1" applyFont="1" applyFill="1" applyBorder="1" applyAlignment="1">
      <alignment horizontal="center" vertical="center"/>
    </xf>
    <xf numFmtId="170" fontId="0" fillId="3" borderId="8" xfId="0" applyNumberFormat="1" applyFill="1" applyBorder="1" applyAlignment="1">
      <alignment horizontal="center" vertical="center"/>
    </xf>
    <xf numFmtId="170" fontId="0" fillId="3" borderId="4" xfId="0" applyNumberFormat="1" applyFill="1" applyBorder="1" applyAlignment="1">
      <alignment horizontal="center" vertical="center"/>
    </xf>
    <xf numFmtId="165" fontId="0" fillId="3" borderId="4" xfId="0" applyNumberFormat="1" applyFill="1" applyBorder="1" applyAlignment="1">
      <alignment horizontal="center" vertical="center"/>
    </xf>
    <xf numFmtId="168" fontId="0" fillId="3" borderId="10" xfId="0" applyNumberFormat="1" applyFill="1" applyBorder="1" applyAlignment="1">
      <alignment horizontal="center" vertical="center"/>
    </xf>
    <xf numFmtId="169" fontId="1" fillId="3" borderId="0" xfId="0" applyNumberFormat="1" applyFont="1" applyFill="1" applyBorder="1" applyAlignment="1"/>
    <xf numFmtId="169" fontId="1" fillId="3" borderId="8" xfId="0" applyNumberFormat="1" applyFont="1" applyFill="1" applyBorder="1" applyAlignment="1"/>
    <xf numFmtId="0" fontId="8" fillId="2" borderId="11" xfId="0" applyFont="1" applyFill="1" applyBorder="1"/>
    <xf numFmtId="10" fontId="0" fillId="3" borderId="8" xfId="0" applyNumberForma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0" fillId="3" borderId="0" xfId="0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174" fontId="10" fillId="2" borderId="13" xfId="2" applyNumberFormat="1" applyFont="1" applyFill="1" applyBorder="1" applyAlignment="1">
      <alignment horizontal="center" vertical="center"/>
    </xf>
    <xf numFmtId="174" fontId="10" fillId="2" borderId="14" xfId="2" applyNumberFormat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right" vertical="center"/>
    </xf>
  </cellXfs>
  <cellStyles count="5">
    <cellStyle name="Comma" xfId="1" builtinId="3"/>
    <cellStyle name="Currency" xfId="2" builtinId="4"/>
    <cellStyle name="Good" xfId="4" builtinId="26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19050</xdr:rowOff>
        </xdr:from>
        <xdr:to>
          <xdr:col>14</xdr:col>
          <xdr:colOff>0</xdr:colOff>
          <xdr:row>2</xdr:row>
          <xdr:rowOff>9525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C6D71576-3E2B-4056-BCA9-49C678C4CD0B}" protected="1">
  <header guid="{C6D71576-3E2B-4056-BCA9-49C678C4CD0B}" dateTime="2016-03-30T08:28:19" maxSheetId="6" userName="Andrei" r:id="rId1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7" Type="http://schemas.openxmlformats.org/officeDocument/2006/relationships/image" Target="../media/image1.emf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Microsoft_Word_97_-_2003_Document1.doc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20" sqref="E20"/>
    </sheetView>
  </sheetViews>
  <sheetFormatPr defaultRowHeight="12.75" x14ac:dyDescent="0.2"/>
  <sheetData>
    <row r="1" spans="1:2" x14ac:dyDescent="0.2">
      <c r="A1" t="s">
        <v>61</v>
      </c>
      <c r="B1" t="s">
        <v>62</v>
      </c>
    </row>
    <row r="2" spans="1:2" x14ac:dyDescent="0.2">
      <c r="A2">
        <v>1</v>
      </c>
    </row>
    <row r="3" spans="1:2" x14ac:dyDescent="0.2">
      <c r="A3">
        <v>2</v>
      </c>
    </row>
    <row r="4" spans="1:2" x14ac:dyDescent="0.2">
      <c r="A4">
        <v>3</v>
      </c>
    </row>
    <row r="5" spans="1:2" x14ac:dyDescent="0.2">
      <c r="A5">
        <v>4</v>
      </c>
    </row>
    <row r="6" spans="1:2" x14ac:dyDescent="0.2">
      <c r="A6" t="s">
        <v>63</v>
      </c>
      <c r="B6" s="146" t="e">
        <f>AVERAGE(B2:B5)</f>
        <v>#DIV/0!</v>
      </c>
    </row>
  </sheetData>
  <customSheetViews>
    <customSheetView guid="{4B0C3F6F-F662-4DAE-ADBE-0ABF48CD31B6}">
      <selection activeCell="E20" sqref="E20"/>
      <pageMargins left="0.7" right="0.7" top="0.75" bottom="0.75" header="0.3" footer="0.3"/>
      <pageSetup orientation="portrait" verticalDpi="0" r:id="rId1"/>
    </customSheetView>
    <customSheetView guid="{5DD8D364-752E-485B-91C5-5F41496F91AB}">
      <selection sqref="A1:B6"/>
      <pageMargins left="0.7" right="0.7" top="0.75" bottom="0.75" header="0.3" footer="0.3"/>
      <pageSetup orientation="portrait" verticalDpi="0" r:id="rId2"/>
    </customSheetView>
  </customSheetViews>
  <pageMargins left="0.7" right="0.7" top="0.75" bottom="0.75" header="0.3" footer="0.3"/>
  <pageSetup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R23" sqref="R23"/>
    </sheetView>
  </sheetViews>
  <sheetFormatPr defaultRowHeight="12.75" x14ac:dyDescent="0.2"/>
  <cols>
    <col min="1" max="1" width="7.42578125" customWidth="1"/>
    <col min="2" max="2" width="11.28515625" customWidth="1"/>
    <col min="3" max="3" width="19" bestFit="1" customWidth="1"/>
    <col min="4" max="4" width="12.5703125" customWidth="1"/>
    <col min="5" max="5" width="10.5703125" customWidth="1"/>
    <col min="6" max="6" width="12.140625" customWidth="1"/>
    <col min="7" max="7" width="12" customWidth="1"/>
    <col min="8" max="8" width="11" customWidth="1"/>
    <col min="9" max="10" width="11.85546875" customWidth="1"/>
    <col min="11" max="11" width="11.5703125" customWidth="1"/>
    <col min="12" max="12" width="12.5703125" customWidth="1"/>
  </cols>
  <sheetData>
    <row r="1" spans="1:12" ht="15.75" customHeight="1" x14ac:dyDescent="0.2">
      <c r="D1" s="151" t="s">
        <v>33</v>
      </c>
      <c r="E1" s="151"/>
      <c r="F1" s="151"/>
    </row>
    <row r="2" spans="1:12" x14ac:dyDescent="0.2">
      <c r="C2" s="81" t="s">
        <v>30</v>
      </c>
      <c r="D2" s="83">
        <v>2</v>
      </c>
      <c r="E2" s="83">
        <v>5</v>
      </c>
      <c r="F2" s="83">
        <v>10</v>
      </c>
    </row>
    <row r="3" spans="1:12" x14ac:dyDescent="0.2">
      <c r="C3" s="81" t="s">
        <v>31</v>
      </c>
      <c r="D3" s="84">
        <v>0.03</v>
      </c>
      <c r="E3" s="84">
        <v>3.5000000000000003E-2</v>
      </c>
      <c r="F3" s="84">
        <v>0.04</v>
      </c>
    </row>
    <row r="4" spans="1:12" x14ac:dyDescent="0.2">
      <c r="C4" s="81" t="s">
        <v>32</v>
      </c>
      <c r="D4" s="84">
        <v>0.45</v>
      </c>
      <c r="E4" s="84">
        <v>0.4</v>
      </c>
      <c r="F4" s="84">
        <v>0.34</v>
      </c>
    </row>
    <row r="6" spans="1:12" ht="13.5" customHeight="1" x14ac:dyDescent="0.2">
      <c r="A6" s="152" t="s">
        <v>34</v>
      </c>
      <c r="B6" s="153"/>
      <c r="C6" s="153"/>
      <c r="D6" s="148" t="s">
        <v>35</v>
      </c>
      <c r="E6" s="87" t="s">
        <v>6</v>
      </c>
      <c r="F6" s="67">
        <f>floor_mat1</f>
        <v>2</v>
      </c>
      <c r="G6" s="148" t="s">
        <v>36</v>
      </c>
      <c r="H6" s="87" t="s">
        <v>6</v>
      </c>
      <c r="I6" s="67">
        <f>floor_mat2</f>
        <v>5</v>
      </c>
      <c r="J6" s="148" t="s">
        <v>37</v>
      </c>
      <c r="K6" s="87" t="s">
        <v>6</v>
      </c>
      <c r="L6" s="67">
        <f>floor_mat3</f>
        <v>10</v>
      </c>
    </row>
    <row r="7" spans="1:12" ht="15.75" customHeight="1" x14ac:dyDescent="0.2">
      <c r="A7" s="154"/>
      <c r="B7" s="155"/>
      <c r="C7" s="155"/>
      <c r="D7" s="149"/>
      <c r="E7" s="63" t="s">
        <v>17</v>
      </c>
      <c r="F7" s="85">
        <f>floor_strike1</f>
        <v>0.03</v>
      </c>
      <c r="G7" s="149"/>
      <c r="H7" s="63" t="s">
        <v>17</v>
      </c>
      <c r="I7" s="85">
        <f>floor_strike2</f>
        <v>3.5000000000000003E-2</v>
      </c>
      <c r="J7" s="149"/>
      <c r="K7" s="63" t="s">
        <v>17</v>
      </c>
      <c r="L7" s="85">
        <f>floor_strike3</f>
        <v>0.04</v>
      </c>
    </row>
    <row r="8" spans="1:12" ht="15" customHeight="1" x14ac:dyDescent="0.2">
      <c r="A8" s="156"/>
      <c r="B8" s="157"/>
      <c r="C8" s="157"/>
      <c r="D8" s="150"/>
      <c r="E8" s="88" t="s">
        <v>18</v>
      </c>
      <c r="F8" s="86">
        <f>floor_vol1</f>
        <v>0.45</v>
      </c>
      <c r="G8" s="150"/>
      <c r="H8" s="88" t="s">
        <v>18</v>
      </c>
      <c r="I8" s="86">
        <f>floor_vol2</f>
        <v>0.4</v>
      </c>
      <c r="J8" s="150"/>
      <c r="K8" s="88" t="s">
        <v>18</v>
      </c>
      <c r="L8" s="86">
        <f>floor_vol3</f>
        <v>0.34</v>
      </c>
    </row>
    <row r="9" spans="1:12" ht="14.25" x14ac:dyDescent="0.2">
      <c r="A9" s="24" t="s">
        <v>12</v>
      </c>
      <c r="B9" s="25" t="s">
        <v>13</v>
      </c>
      <c r="C9" s="13" t="s">
        <v>15</v>
      </c>
      <c r="D9" s="89" t="s">
        <v>0</v>
      </c>
      <c r="E9" s="77" t="s">
        <v>1</v>
      </c>
      <c r="F9" s="77" t="s">
        <v>38</v>
      </c>
      <c r="G9" s="89" t="s">
        <v>0</v>
      </c>
      <c r="H9" s="77" t="s">
        <v>1</v>
      </c>
      <c r="I9" s="77" t="s">
        <v>38</v>
      </c>
      <c r="J9" s="11" t="s">
        <v>0</v>
      </c>
      <c r="K9" s="12" t="s">
        <v>1</v>
      </c>
      <c r="L9" s="13" t="s">
        <v>38</v>
      </c>
    </row>
    <row r="10" spans="1:12" x14ac:dyDescent="0.2">
      <c r="A10" s="6">
        <v>0</v>
      </c>
      <c r="B10" s="4">
        <f t="shared" ref="B10:B50" si="0">EXP(-(0.03+0.02*SQRT(t/10))*t)</f>
        <v>1</v>
      </c>
      <c r="C10" s="26">
        <f t="shared" ref="C10:C49" si="1">(B10/B11-1)/0.25</f>
        <v>3.3300125424773341E-2</v>
      </c>
      <c r="D10" s="3"/>
      <c r="E10" s="4"/>
      <c r="F10" s="4"/>
      <c r="G10" s="3"/>
      <c r="H10" s="4"/>
      <c r="I10" s="5"/>
      <c r="J10" s="3"/>
      <c r="K10" s="4"/>
      <c r="L10" s="5"/>
    </row>
    <row r="11" spans="1:12" x14ac:dyDescent="0.2">
      <c r="A11" s="6">
        <f>A10+0.25</f>
        <v>0.25</v>
      </c>
      <c r="B11" s="8">
        <f t="shared" si="0"/>
        <v>0.9917437025787248</v>
      </c>
      <c r="C11" s="26">
        <f t="shared" si="1"/>
        <v>3.5942516432183602E-2</v>
      </c>
      <c r="D11" s="14"/>
      <c r="E11" s="15"/>
      <c r="F11" s="76">
        <f>100*B11*MAX(floor_strike1-C10,0)*0.25</f>
        <v>0</v>
      </c>
      <c r="G11" s="14"/>
      <c r="H11" s="15"/>
      <c r="I11" s="73">
        <f>100*B11*MAX(floor_strike2-C10,0)*0.25</f>
        <v>4.214599762886817E-2</v>
      </c>
      <c r="J11" s="14"/>
      <c r="K11" s="15"/>
      <c r="L11" s="73">
        <f>100*B11*MAX(floor_strike3-C10,0)*0.25</f>
        <v>0.16611396045120871</v>
      </c>
    </row>
    <row r="12" spans="1:12" x14ac:dyDescent="0.2">
      <c r="A12" s="6">
        <f t="shared" ref="A12:A50" si="2">A11+0.25</f>
        <v>0.5</v>
      </c>
      <c r="B12" s="8">
        <f t="shared" si="0"/>
        <v>0.98291162328589055</v>
      </c>
      <c r="C12" s="26">
        <f t="shared" si="1"/>
        <v>3.7663618056365422E-2</v>
      </c>
      <c r="D12" s="17">
        <f t="shared" ref="D12:D18" si="3">LN(C11/floor_strike1)/(floor_vol1*SQRT(A11))+floor_vol1*SQRT(A11)/2</f>
        <v>0.9157156214760569</v>
      </c>
      <c r="E12" s="18">
        <f t="shared" ref="E12:E18" si="4">LN(C11/floor_strike1)/(floor_vol1*SQRT(A11))-floor_vol1*SQRT(A11)/2</f>
        <v>0.69071562147605681</v>
      </c>
      <c r="F12" s="76">
        <f t="shared" ref="F12:F18" si="5">B12*100*0.25*(floor_strike1*_xlfn.NORM.S.DIST(-E12, TRUE)-C11*_xlfn.NORM.S.DIST(-D12, TRUE))</f>
        <v>2.1619548112548442E-2</v>
      </c>
      <c r="G12" s="17">
        <f t="shared" ref="G12:G30" si="6">LN($C11/floor_strike2)/(floor_vol2*SQRT($A11))+floor_vol2*SQRT($A11)/2</f>
        <v>0.23286417502427156</v>
      </c>
      <c r="H12" s="18">
        <f t="shared" ref="H12:H30" si="7">LN($C11/floor_strike2)/(floor_vol2*SQRT($A11))-floor_vol2*SQRT($A11)/2</f>
        <v>3.2864175024271552E-2</v>
      </c>
      <c r="I12" s="73">
        <f t="shared" ref="I12:I30" si="8">$B12*100*0.25*(floor_strike2*_xlfn.NORM.S.DIST(-H12, TRUE)-$C11*_xlfn.NORM.S.DIST(-G12, TRUE))</f>
        <v>5.8459810046398435E-2</v>
      </c>
      <c r="J12" s="17">
        <f t="shared" ref="J12:J50" si="9">LN($C11/floor_strike3)/(floor_vol3*SQRT($A11))+floor_vol3*SQRT($A11)/2</f>
        <v>-0.54416798599804772</v>
      </c>
      <c r="K12" s="18">
        <f t="shared" ref="K12:K50" si="10">LN($C11/floor_strike3)/(floor_vol3*SQRT($A11))-floor_vol3*SQRT($A11)/2</f>
        <v>-0.71416798599804765</v>
      </c>
      <c r="L12" s="73">
        <f t="shared" ref="L12:L50" si="11">$B12*100*0.25*(floor_strike3*_xlfn.NORM.S.DIST(-K12, TRUE)-$C11*_xlfn.NORM.S.DIST(-J12, TRUE))</f>
        <v>0.1251254149775842</v>
      </c>
    </row>
    <row r="13" spans="1:12" x14ac:dyDescent="0.2">
      <c r="A13" s="6">
        <f t="shared" si="2"/>
        <v>0.75</v>
      </c>
      <c r="B13" s="8">
        <f t="shared" si="0"/>
        <v>0.97374295262272548</v>
      </c>
      <c r="C13" s="26">
        <f t="shared" si="1"/>
        <v>3.9055983665065241E-2</v>
      </c>
      <c r="D13" s="17">
        <f t="shared" si="3"/>
        <v>0.87405377628528458</v>
      </c>
      <c r="E13" s="18">
        <f t="shared" si="4"/>
        <v>0.55585572475133815</v>
      </c>
      <c r="F13" s="76">
        <f t="shared" si="5"/>
        <v>3.6009399620174035E-2</v>
      </c>
      <c r="G13" s="17">
        <f t="shared" si="6"/>
        <v>0.40074049541855605</v>
      </c>
      <c r="H13" s="18">
        <f t="shared" si="7"/>
        <v>0.11789778294393696</v>
      </c>
      <c r="I13" s="73">
        <f t="shared" si="8"/>
        <v>7.0348227459920393E-2</v>
      </c>
      <c r="J13" s="17">
        <f t="shared" si="9"/>
        <v>-0.13012787890319211</v>
      </c>
      <c r="K13" s="18">
        <f t="shared" si="10"/>
        <v>-0.3705441845066183</v>
      </c>
      <c r="L13" s="73">
        <f t="shared" si="11"/>
        <v>0.12169116840430329</v>
      </c>
    </row>
    <row r="14" spans="1:12" x14ac:dyDescent="0.2">
      <c r="A14" s="6">
        <f t="shared" si="2"/>
        <v>1</v>
      </c>
      <c r="B14" s="8">
        <f t="shared" si="0"/>
        <v>0.96432726514391609</v>
      </c>
      <c r="C14" s="26">
        <f t="shared" si="1"/>
        <v>4.0258360569770169E-2</v>
      </c>
      <c r="D14" s="17">
        <f t="shared" si="3"/>
        <v>0.87176353092806358</v>
      </c>
      <c r="E14" s="18">
        <f t="shared" si="4"/>
        <v>0.48205209922506614</v>
      </c>
      <c r="F14" s="76">
        <f t="shared" si="5"/>
        <v>4.7269503672249566E-2</v>
      </c>
      <c r="G14" s="17">
        <f t="shared" si="6"/>
        <v>0.48973169024786584</v>
      </c>
      <c r="H14" s="18">
        <f t="shared" si="7"/>
        <v>0.14332152873409038</v>
      </c>
      <c r="I14" s="73">
        <f t="shared" si="8"/>
        <v>7.9890774369149584E-2</v>
      </c>
      <c r="J14" s="17">
        <f t="shared" si="9"/>
        <v>6.6112179944306959E-2</v>
      </c>
      <c r="K14" s="18">
        <f t="shared" si="10"/>
        <v>-0.22833645734240221</v>
      </c>
      <c r="L14" s="73">
        <f t="shared" si="11"/>
        <v>0.12328113939129344</v>
      </c>
    </row>
    <row r="15" spans="1:12" x14ac:dyDescent="0.2">
      <c r="A15" s="6">
        <f t="shared" si="2"/>
        <v>1.25</v>
      </c>
      <c r="B15" s="8">
        <f t="shared" si="0"/>
        <v>0.95471841558956494</v>
      </c>
      <c r="C15" s="26">
        <f t="shared" si="1"/>
        <v>4.1332548774150268E-2</v>
      </c>
      <c r="D15" s="17">
        <f t="shared" si="3"/>
        <v>0.87860070367014731</v>
      </c>
      <c r="E15" s="18">
        <f t="shared" si="4"/>
        <v>0.42860070367014735</v>
      </c>
      <c r="F15" s="76">
        <f t="shared" si="5"/>
        <v>5.6848996388528576E-2</v>
      </c>
      <c r="G15" s="17">
        <f t="shared" si="6"/>
        <v>0.54992409206076975</v>
      </c>
      <c r="H15" s="18">
        <f t="shared" si="7"/>
        <v>0.14992409206076973</v>
      </c>
      <c r="I15" s="73">
        <f t="shared" si="8"/>
        <v>8.8114999335353009E-2</v>
      </c>
      <c r="J15" s="17">
        <f t="shared" si="9"/>
        <v>0.1889360123523097</v>
      </c>
      <c r="K15" s="18">
        <f t="shared" si="10"/>
        <v>-0.15106398764769033</v>
      </c>
      <c r="L15" s="73">
        <f t="shared" si="11"/>
        <v>0.12623320604341065</v>
      </c>
    </row>
    <row r="16" spans="1:12" x14ac:dyDescent="0.2">
      <c r="A16" s="6">
        <f t="shared" si="2"/>
        <v>1.5</v>
      </c>
      <c r="B16" s="8">
        <f t="shared" si="0"/>
        <v>0.94495407548597599</v>
      </c>
      <c r="C16" s="26">
        <f t="shared" si="1"/>
        <v>4.2312630734112844E-2</v>
      </c>
      <c r="D16" s="17">
        <f t="shared" si="3"/>
        <v>0.88849497982294534</v>
      </c>
      <c r="E16" s="18">
        <f t="shared" si="4"/>
        <v>0.38537968488549262</v>
      </c>
      <c r="F16" s="76">
        <f t="shared" si="5"/>
        <v>6.530769731188632E-2</v>
      </c>
      <c r="G16" s="17">
        <f t="shared" si="6"/>
        <v>0.59546989777692005</v>
      </c>
      <c r="H16" s="18">
        <f t="shared" si="7"/>
        <v>0.14825630227696207</v>
      </c>
      <c r="I16" s="73">
        <f t="shared" si="8"/>
        <v>9.5426199762745273E-2</v>
      </c>
      <c r="J16" s="17">
        <f t="shared" si="9"/>
        <v>0.27627498866194633</v>
      </c>
      <c r="K16" s="18">
        <f t="shared" si="10"/>
        <v>-0.10385656751301799</v>
      </c>
      <c r="L16" s="73">
        <f t="shared" si="11"/>
        <v>0.1296086771559318</v>
      </c>
    </row>
    <row r="17" spans="1:12" x14ac:dyDescent="0.2">
      <c r="A17" s="6">
        <f t="shared" si="2"/>
        <v>1.75</v>
      </c>
      <c r="B17" s="8">
        <f t="shared" si="0"/>
        <v>0.935062833390366</v>
      </c>
      <c r="C17" s="26">
        <f t="shared" si="1"/>
        <v>4.3219798886260818E-2</v>
      </c>
      <c r="D17" s="17">
        <f t="shared" si="3"/>
        <v>0.8995311237899617</v>
      </c>
      <c r="E17" s="18">
        <f t="shared" si="4"/>
        <v>0.34839593166374661</v>
      </c>
      <c r="F17" s="76">
        <f t="shared" si="5"/>
        <v>7.2930100933743025E-2</v>
      </c>
      <c r="G17" s="17">
        <f t="shared" si="6"/>
        <v>0.63224918540442598</v>
      </c>
      <c r="H17" s="18">
        <f t="shared" si="7"/>
        <v>0.14235123684779039</v>
      </c>
      <c r="I17" s="73">
        <f t="shared" si="8"/>
        <v>0.10203701531188729</v>
      </c>
      <c r="J17" s="17">
        <f t="shared" si="9"/>
        <v>0.34318356615422541</v>
      </c>
      <c r="K17" s="18">
        <f t="shared" si="10"/>
        <v>-7.3229690118914836E-2</v>
      </c>
      <c r="L17" s="73">
        <f t="shared" si="11"/>
        <v>0.13307176029265413</v>
      </c>
    </row>
    <row r="18" spans="1:12" x14ac:dyDescent="0.2">
      <c r="A18" s="6">
        <f t="shared" si="2"/>
        <v>2</v>
      </c>
      <c r="B18" s="8">
        <f t="shared" si="0"/>
        <v>0.92506752529054881</v>
      </c>
      <c r="C18" s="26">
        <f t="shared" si="1"/>
        <v>4.4068305143365905E-2</v>
      </c>
      <c r="D18" s="17">
        <f t="shared" si="3"/>
        <v>0.91095958495427154</v>
      </c>
      <c r="E18" s="18">
        <f t="shared" si="4"/>
        <v>0.31566553996473856</v>
      </c>
      <c r="F18" s="76">
        <f t="shared" si="5"/>
        <v>7.9884645688284628E-2</v>
      </c>
      <c r="G18" s="17">
        <f t="shared" si="6"/>
        <v>0.66323436154878301</v>
      </c>
      <c r="H18" s="18">
        <f t="shared" si="7"/>
        <v>0.13408409933586479</v>
      </c>
      <c r="I18" s="73">
        <f t="shared" si="8"/>
        <v>0.10807708144546152</v>
      </c>
      <c r="J18" s="17">
        <f t="shared" si="9"/>
        <v>0.39701664758724853</v>
      </c>
      <c r="K18" s="18">
        <f t="shared" si="10"/>
        <v>-5.2761075293731918E-2</v>
      </c>
      <c r="L18" s="73">
        <f t="shared" si="11"/>
        <v>0.13648072708686038</v>
      </c>
    </row>
    <row r="19" spans="1:12" x14ac:dyDescent="0.2">
      <c r="A19" s="6">
        <f t="shared" si="2"/>
        <v>2.25</v>
      </c>
      <c r="B19" s="8">
        <f t="shared" si="0"/>
        <v>0.91498704323467583</v>
      </c>
      <c r="C19" s="26">
        <f t="shared" si="1"/>
        <v>4.4868282395956527E-2</v>
      </c>
      <c r="D19" s="17"/>
      <c r="E19" s="18"/>
      <c r="F19" s="15"/>
      <c r="G19" s="17">
        <f t="shared" si="6"/>
        <v>0.69012341687016976</v>
      </c>
      <c r="H19" s="18">
        <f t="shared" si="7"/>
        <v>0.12443799192093163</v>
      </c>
      <c r="I19" s="73">
        <f t="shared" si="8"/>
        <v>0.11363327435078718</v>
      </c>
      <c r="J19" s="17">
        <f t="shared" si="9"/>
        <v>0.44186138952147624</v>
      </c>
      <c r="K19" s="18">
        <f t="shared" si="10"/>
        <v>-3.8971221685376117E-2</v>
      </c>
      <c r="L19" s="73">
        <f t="shared" si="11"/>
        <v>0.13977048257312541</v>
      </c>
    </row>
    <row r="20" spans="1:12" x14ac:dyDescent="0.2">
      <c r="A20" s="6">
        <f t="shared" si="2"/>
        <v>2.5</v>
      </c>
      <c r="B20" s="8">
        <f t="shared" si="0"/>
        <v>0.90483741803595952</v>
      </c>
      <c r="C20" s="26">
        <f t="shared" si="1"/>
        <v>4.5627241790390904E-2</v>
      </c>
      <c r="D20" s="17"/>
      <c r="E20" s="18"/>
      <c r="F20" s="15"/>
      <c r="G20" s="17">
        <f t="shared" si="6"/>
        <v>0.7139717970027426</v>
      </c>
      <c r="H20" s="18">
        <f t="shared" si="7"/>
        <v>0.11397179700274257</v>
      </c>
      <c r="I20" s="73">
        <f t="shared" si="8"/>
        <v>0.11876777740249356</v>
      </c>
      <c r="J20" s="17">
        <f t="shared" si="9"/>
        <v>0.48019938348455504</v>
      </c>
      <c r="K20" s="18">
        <f t="shared" si="10"/>
        <v>-2.9800616515444966E-2</v>
      </c>
      <c r="L20" s="73">
        <f t="shared" si="11"/>
        <v>0.14291035286068765</v>
      </c>
    </row>
    <row r="21" spans="1:12" x14ac:dyDescent="0.2">
      <c r="A21" s="6">
        <f t="shared" si="2"/>
        <v>2.75</v>
      </c>
      <c r="B21" s="8">
        <f t="shared" si="0"/>
        <v>0.89463251452254311</v>
      </c>
      <c r="C21" s="26">
        <f t="shared" si="1"/>
        <v>4.6350934913379938E-2</v>
      </c>
      <c r="D21" s="17"/>
      <c r="E21" s="18"/>
      <c r="F21" s="15"/>
      <c r="G21" s="17">
        <f t="shared" si="6"/>
        <v>0.73547761190780192</v>
      </c>
      <c r="H21" s="18">
        <f t="shared" si="7"/>
        <v>0.10302207987412587</v>
      </c>
      <c r="I21" s="73">
        <f t="shared" si="8"/>
        <v>0.1235273267677325</v>
      </c>
      <c r="J21" s="17">
        <f t="shared" si="9"/>
        <v>0.51363851402856375</v>
      </c>
      <c r="K21" s="18">
        <f t="shared" si="10"/>
        <v>-2.3948688200060797E-2</v>
      </c>
      <c r="L21" s="73">
        <f t="shared" si="11"/>
        <v>0.14588652194232624</v>
      </c>
    </row>
    <row r="22" spans="1:12" x14ac:dyDescent="0.2">
      <c r="A22" s="6">
        <f t="shared" si="2"/>
        <v>3</v>
      </c>
      <c r="B22" s="8">
        <f t="shared" si="0"/>
        <v>0.8843845023953113</v>
      </c>
      <c r="C22" s="26">
        <f t="shared" si="1"/>
        <v>4.7043882229509393E-2</v>
      </c>
      <c r="D22" s="17"/>
      <c r="E22" s="18"/>
      <c r="F22" s="15"/>
      <c r="G22" s="17">
        <f t="shared" si="6"/>
        <v>0.75512521420354628</v>
      </c>
      <c r="H22" s="18">
        <f t="shared" si="7"/>
        <v>9.1800256132466285E-2</v>
      </c>
      <c r="I22" s="73">
        <f t="shared" si="8"/>
        <v>0.12794840348019207</v>
      </c>
      <c r="J22" s="17">
        <f t="shared" si="9"/>
        <v>0.54327379718044555</v>
      </c>
      <c r="K22" s="18">
        <f t="shared" si="10"/>
        <v>-2.0552417179972471E-2</v>
      </c>
      <c r="L22" s="73">
        <f t="shared" si="11"/>
        <v>0.14869393174749557</v>
      </c>
    </row>
    <row r="23" spans="1:12" x14ac:dyDescent="0.2">
      <c r="A23" s="6">
        <f t="shared" si="2"/>
        <v>3.25</v>
      </c>
      <c r="B23" s="8">
        <f t="shared" si="0"/>
        <v>0.87410418876714069</v>
      </c>
      <c r="C23" s="26">
        <f t="shared" si="1"/>
        <v>4.770971335412888E-2</v>
      </c>
      <c r="D23" s="17"/>
      <c r="E23" s="18"/>
      <c r="F23" s="15"/>
      <c r="G23" s="17">
        <f t="shared" si="6"/>
        <v>0.77326364611194975</v>
      </c>
      <c r="H23" s="18">
        <f t="shared" si="7"/>
        <v>8.0443323084398832E-2</v>
      </c>
      <c r="I23" s="73">
        <f t="shared" si="8"/>
        <v>0.13206035938124699</v>
      </c>
      <c r="J23" s="17">
        <f t="shared" si="9"/>
        <v>0.56988101482269737</v>
      </c>
      <c r="K23" s="18">
        <f t="shared" si="10"/>
        <v>-1.9016259750720965E-2</v>
      </c>
      <c r="L23" s="73">
        <f t="shared" si="11"/>
        <v>0.15133225229463548</v>
      </c>
    </row>
    <row r="24" spans="1:12" x14ac:dyDescent="0.2">
      <c r="A24" s="6">
        <f t="shared" si="2"/>
        <v>3.5</v>
      </c>
      <c r="B24" s="8">
        <f t="shared" si="0"/>
        <v>0.86380126112632272</v>
      </c>
      <c r="C24" s="26">
        <f t="shared" si="1"/>
        <v>4.8351395131617458E-2</v>
      </c>
      <c r="D24" s="17"/>
      <c r="E24" s="18"/>
      <c r="F24" s="15"/>
      <c r="G24" s="17">
        <f t="shared" si="6"/>
        <v>0.79015233233561921</v>
      </c>
      <c r="H24" s="18">
        <f t="shared" si="7"/>
        <v>6.9042077242821298E-2</v>
      </c>
      <c r="I24" s="73">
        <f t="shared" si="8"/>
        <v>0.1358874040547754</v>
      </c>
      <c r="J24" s="17">
        <f t="shared" si="9"/>
        <v>0.59402771789866649</v>
      </c>
      <c r="K24" s="18">
        <f t="shared" si="10"/>
        <v>-1.8915998930211675E-2</v>
      </c>
      <c r="L24" s="73">
        <f t="shared" si="11"/>
        <v>0.15380375866789042</v>
      </c>
    </row>
    <row r="25" spans="1:12" x14ac:dyDescent="0.2">
      <c r="A25" s="6">
        <f t="shared" si="2"/>
        <v>3.75</v>
      </c>
      <c r="B25" s="8">
        <f t="shared" si="0"/>
        <v>0.85348446991542781</v>
      </c>
      <c r="C25" s="26">
        <f t="shared" si="1"/>
        <v>4.8971389686398581E-2</v>
      </c>
      <c r="D25" s="17"/>
      <c r="E25" s="18"/>
      <c r="F25" s="15"/>
      <c r="G25" s="17">
        <f t="shared" si="6"/>
        <v>0.80598910120385181</v>
      </c>
      <c r="H25" s="18">
        <f t="shared" si="7"/>
        <v>5.7657623849063533E-2</v>
      </c>
      <c r="I25" s="73">
        <f t="shared" si="8"/>
        <v>0.1394499239838245</v>
      </c>
      <c r="J25" s="17">
        <f t="shared" si="9"/>
        <v>0.61614032892382087</v>
      </c>
      <c r="K25" s="18">
        <f t="shared" si="10"/>
        <v>-1.9941426827749242E-2</v>
      </c>
      <c r="L25" s="73">
        <f t="shared" si="11"/>
        <v>0.15611216274435677</v>
      </c>
    </row>
    <row r="26" spans="1:12" x14ac:dyDescent="0.2">
      <c r="A26" s="6">
        <f t="shared" si="2"/>
        <v>4</v>
      </c>
      <c r="B26" s="8">
        <f t="shared" si="0"/>
        <v>0.84316176902552231</v>
      </c>
      <c r="C26" s="26">
        <f t="shared" si="1"/>
        <v>4.9571767067561723E-2</v>
      </c>
      <c r="D26" s="17"/>
      <c r="E26" s="18"/>
      <c r="F26" s="15"/>
      <c r="G26" s="17">
        <f t="shared" si="6"/>
        <v>0.82092811316402281</v>
      </c>
      <c r="H26" s="18">
        <f t="shared" si="7"/>
        <v>4.6331443922539406E-2</v>
      </c>
      <c r="I26" s="73">
        <f t="shared" si="8"/>
        <v>0.14276539023776094</v>
      </c>
      <c r="J26" s="17">
        <f t="shared" si="9"/>
        <v>0.63654651611358481</v>
      </c>
      <c r="K26" s="18">
        <f t="shared" si="10"/>
        <v>-2.1860652741676145E-2</v>
      </c>
      <c r="L26" s="73">
        <f t="shared" si="11"/>
        <v>0.15826194887980205</v>
      </c>
    </row>
    <row r="27" spans="1:12" x14ac:dyDescent="0.2">
      <c r="A27" s="6">
        <f t="shared" si="2"/>
        <v>4.25</v>
      </c>
      <c r="B27" s="8">
        <f t="shared" si="0"/>
        <v>0.8328404261234621</v>
      </c>
      <c r="C27" s="26">
        <f t="shared" si="1"/>
        <v>5.0154287485112192E-2</v>
      </c>
      <c r="D27" s="17"/>
      <c r="E27" s="18"/>
      <c r="F27" s="15"/>
      <c r="G27" s="17">
        <f t="shared" si="6"/>
        <v>0.83509174728884006</v>
      </c>
      <c r="H27" s="18">
        <f t="shared" si="7"/>
        <v>3.5091747288840014E-2</v>
      </c>
      <c r="I27" s="73">
        <f t="shared" si="8"/>
        <v>0.14584900199287004</v>
      </c>
      <c r="J27" s="17">
        <f t="shared" si="9"/>
        <v>0.65550294883316118</v>
      </c>
      <c r="K27" s="18">
        <f t="shared" si="10"/>
        <v>-2.4497051166838868E-2</v>
      </c>
      <c r="L27" s="73">
        <f t="shared" si="11"/>
        <v>0.16025798714052683</v>
      </c>
    </row>
    <row r="28" spans="1:12" x14ac:dyDescent="0.2">
      <c r="A28" s="6">
        <f t="shared" si="2"/>
        <v>4.5</v>
      </c>
      <c r="B28" s="8">
        <f t="shared" si="0"/>
        <v>0.82252711082826713</v>
      </c>
      <c r="C28" s="26">
        <f t="shared" si="1"/>
        <v>5.072046260924612E-2</v>
      </c>
      <c r="D28" s="17"/>
      <c r="E28" s="18"/>
      <c r="F28" s="15"/>
      <c r="G28" s="17">
        <f t="shared" si="6"/>
        <v>0.84857872441958482</v>
      </c>
      <c r="H28" s="18">
        <f t="shared" si="7"/>
        <v>2.3957599296052623E-2</v>
      </c>
      <c r="I28" s="73">
        <f t="shared" si="8"/>
        <v>0.14871415450100703</v>
      </c>
      <c r="J28" s="17">
        <f t="shared" si="9"/>
        <v>0.67321405229163744</v>
      </c>
      <c r="K28" s="18">
        <f t="shared" si="10"/>
        <v>-2.7713904063364936E-2</v>
      </c>
      <c r="L28" s="73">
        <f t="shared" si="11"/>
        <v>0.16210530472232312</v>
      </c>
    </row>
    <row r="29" spans="1:12" x14ac:dyDescent="0.2">
      <c r="A29" s="6">
        <f t="shared" si="2"/>
        <v>4.75</v>
      </c>
      <c r="B29" s="8">
        <f t="shared" si="0"/>
        <v>0.81222796627979743</v>
      </c>
      <c r="C29" s="26">
        <f t="shared" si="1"/>
        <v>5.1271602102445968E-2</v>
      </c>
      <c r="D29" s="17"/>
      <c r="E29" s="18"/>
      <c r="F29" s="15"/>
      <c r="G29" s="17">
        <f t="shared" si="6"/>
        <v>0.86146980542329377</v>
      </c>
      <c r="H29" s="18">
        <f t="shared" si="7"/>
        <v>1.2941667999436746E-2</v>
      </c>
      <c r="I29" s="73">
        <f t="shared" si="8"/>
        <v>0.15137278691133588</v>
      </c>
      <c r="J29" s="17">
        <f t="shared" si="9"/>
        <v>0.68984502468109199</v>
      </c>
      <c r="K29" s="18">
        <f t="shared" si="10"/>
        <v>-3.1403892129186484E-2</v>
      </c>
      <c r="L29" s="73">
        <f t="shared" si="11"/>
        <v>0.16380895004947688</v>
      </c>
    </row>
    <row r="30" spans="1:12" x14ac:dyDescent="0.2">
      <c r="A30" s="6">
        <f t="shared" si="2"/>
        <v>5</v>
      </c>
      <c r="B30" s="8">
        <f t="shared" si="0"/>
        <v>0.80194866802638853</v>
      </c>
      <c r="C30" s="26">
        <f t="shared" si="1"/>
        <v>5.1808849513695243E-2</v>
      </c>
      <c r="D30" s="17"/>
      <c r="E30" s="18"/>
      <c r="F30" s="15"/>
      <c r="G30" s="17">
        <f t="shared" si="6"/>
        <v>0.87383188051182725</v>
      </c>
      <c r="H30" s="18">
        <f t="shared" si="7"/>
        <v>2.0520918036923685E-3</v>
      </c>
      <c r="I30" s="73">
        <f t="shared" si="8"/>
        <v>0.15383564574942293</v>
      </c>
      <c r="J30" s="17">
        <f t="shared" si="9"/>
        <v>0.70553108548236321</v>
      </c>
      <c r="K30" s="18">
        <f t="shared" si="10"/>
        <v>-3.5481734919551422E-2</v>
      </c>
      <c r="L30" s="73">
        <f t="shared" si="11"/>
        <v>0.16537391237018451</v>
      </c>
    </row>
    <row r="31" spans="1:12" x14ac:dyDescent="0.2">
      <c r="A31" s="6">
        <f t="shared" si="2"/>
        <v>5.25</v>
      </c>
      <c r="B31" s="8">
        <f t="shared" si="0"/>
        <v>0.79169447307233143</v>
      </c>
      <c r="C31" s="26">
        <f t="shared" si="1"/>
        <v>5.2333210364880145E-2</v>
      </c>
      <c r="D31" s="17"/>
      <c r="E31" s="18"/>
      <c r="F31" s="15"/>
      <c r="G31" s="17"/>
      <c r="H31" s="18"/>
      <c r="I31" s="16"/>
      <c r="J31" s="17">
        <f t="shared" si="9"/>
        <v>0.72038418239164592</v>
      </c>
      <c r="K31" s="18">
        <f t="shared" si="10"/>
        <v>-3.9878929958282738E-2</v>
      </c>
      <c r="L31" s="73">
        <f t="shared" si="11"/>
        <v>0.16680507513556256</v>
      </c>
    </row>
    <row r="32" spans="1:12" x14ac:dyDescent="0.2">
      <c r="A32" s="6">
        <f t="shared" si="2"/>
        <v>5.5</v>
      </c>
      <c r="B32" s="8">
        <f t="shared" si="0"/>
        <v>0.7814702611792832</v>
      </c>
      <c r="C32" s="26">
        <f t="shared" si="1"/>
        <v>5.2845574410319784E-2</v>
      </c>
      <c r="D32" s="17"/>
      <c r="E32" s="18"/>
      <c r="F32" s="15"/>
      <c r="G32" s="17"/>
      <c r="H32" s="18"/>
      <c r="I32" s="16"/>
      <c r="J32" s="17">
        <f t="shared" si="9"/>
        <v>0.73449794451221051</v>
      </c>
      <c r="K32" s="18">
        <f t="shared" si="10"/>
        <v>-4.4539923630282363E-2</v>
      </c>
      <c r="L32" s="73">
        <f t="shared" si="11"/>
        <v>0.1681071901791128</v>
      </c>
    </row>
    <row r="33" spans="1:12" x14ac:dyDescent="0.2">
      <c r="A33" s="6">
        <f t="shared" si="2"/>
        <v>5.75</v>
      </c>
      <c r="B33" s="8">
        <f t="shared" si="0"/>
        <v>0.77128056999110839</v>
      </c>
      <c r="C33" s="26">
        <f t="shared" si="1"/>
        <v>5.3346733482401376E-2</v>
      </c>
      <c r="D33" s="17"/>
      <c r="E33" s="18"/>
      <c r="F33" s="15"/>
      <c r="G33" s="17"/>
      <c r="H33" s="18"/>
      <c r="I33" s="16"/>
      <c r="J33" s="17">
        <f t="shared" si="9"/>
        <v>0.74795140025524343</v>
      </c>
      <c r="K33" s="18">
        <f t="shared" si="10"/>
        <v>-4.9419278914739684E-2</v>
      </c>
      <c r="L33" s="73">
        <f t="shared" si="11"/>
        <v>0.16928486477863702</v>
      </c>
    </row>
    <row r="34" spans="1:12" x14ac:dyDescent="0.2">
      <c r="A34" s="6">
        <f t="shared" si="2"/>
        <v>6</v>
      </c>
      <c r="B34" s="8">
        <f t="shared" si="0"/>
        <v>0.76112962517615035</v>
      </c>
      <c r="C34" s="26">
        <f t="shared" si="1"/>
        <v>5.3837395948252542E-2</v>
      </c>
      <c r="D34" s="17"/>
      <c r="E34" s="18"/>
      <c r="F34" s="15"/>
      <c r="G34" s="17"/>
      <c r="H34" s="18"/>
      <c r="I34" s="16"/>
      <c r="J34" s="17">
        <f t="shared" si="9"/>
        <v>0.76081180901628542</v>
      </c>
      <c r="K34" s="18">
        <f t="shared" si="10"/>
        <v>-5.4479549946876871E-2</v>
      </c>
      <c r="L34" s="73">
        <f t="shared" si="11"/>
        <v>0.17034255669308379</v>
      </c>
    </row>
    <row r="35" spans="1:12" x14ac:dyDescent="0.2">
      <c r="A35" s="6">
        <f t="shared" si="2"/>
        <v>6.25</v>
      </c>
      <c r="B35" s="8">
        <f t="shared" si="0"/>
        <v>0.75102136650758378</v>
      </c>
      <c r="C35" s="26">
        <f t="shared" si="1"/>
        <v>5.4318198532492978E-2</v>
      </c>
      <c r="D35" s="17"/>
      <c r="E35" s="18"/>
      <c r="F35" s="15"/>
      <c r="G35" s="17"/>
      <c r="H35" s="18"/>
      <c r="I35" s="16"/>
      <c r="J35" s="17">
        <f t="shared" si="9"/>
        <v>0.77313684646709135</v>
      </c>
      <c r="K35" s="18">
        <f t="shared" si="10"/>
        <v>-5.9689666079189185E-2</v>
      </c>
      <c r="L35" s="73">
        <f t="shared" si="11"/>
        <v>0.17128457409443051</v>
      </c>
    </row>
    <row r="36" spans="1:12" x14ac:dyDescent="0.2">
      <c r="A36" s="6">
        <f t="shared" si="2"/>
        <v>6.5</v>
      </c>
      <c r="B36" s="8">
        <f t="shared" si="0"/>
        <v>0.74095947060043243</v>
      </c>
      <c r="C36" s="26">
        <f t="shared" si="1"/>
        <v>5.4789716069919336E-2</v>
      </c>
      <c r="D36" s="17"/>
      <c r="E36" s="18"/>
      <c r="F36" s="15"/>
      <c r="G36" s="17"/>
      <c r="H36" s="18"/>
      <c r="I36" s="16"/>
      <c r="J36" s="17">
        <f t="shared" si="9"/>
        <v>0.7849763112993875</v>
      </c>
      <c r="K36" s="18">
        <f t="shared" si="10"/>
        <v>-6.5023688700612592E-2</v>
      </c>
      <c r="L36" s="73">
        <f t="shared" si="11"/>
        <v>0.17211507844327137</v>
      </c>
    </row>
    <row r="37" spans="1:12" x14ac:dyDescent="0.2">
      <c r="A37" s="6">
        <f t="shared" si="2"/>
        <v>6.75</v>
      </c>
      <c r="B37" s="8">
        <f t="shared" si="0"/>
        <v>0.73094737087239425</v>
      </c>
      <c r="C37" s="26">
        <f t="shared" si="1"/>
        <v>5.5252469614660349E-2</v>
      </c>
      <c r="D37" s="17"/>
      <c r="E37" s="18"/>
      <c r="F37" s="15"/>
      <c r="G37" s="17"/>
      <c r="H37" s="18"/>
      <c r="I37" s="16"/>
      <c r="J37" s="17">
        <f t="shared" si="9"/>
        <v>0.79637347282992055</v>
      </c>
      <c r="K37" s="18">
        <f t="shared" si="10"/>
        <v>-7.0459844480852907E-2</v>
      </c>
      <c r="L37" s="73">
        <f t="shared" si="11"/>
        <v>0.17283808906546105</v>
      </c>
    </row>
    <row r="38" spans="1:12" x14ac:dyDescent="0.2">
      <c r="A38" s="6">
        <f t="shared" si="2"/>
        <v>7</v>
      </c>
      <c r="B38" s="8">
        <f t="shared" si="0"/>
        <v>0.72098827518065778</v>
      </c>
      <c r="C38" s="26">
        <f t="shared" si="1"/>
        <v>5.5706933232190003E-2</v>
      </c>
      <c r="D38" s="17"/>
      <c r="E38" s="18"/>
      <c r="F38" s="15"/>
      <c r="G38" s="17"/>
      <c r="H38" s="18"/>
      <c r="I38" s="16"/>
      <c r="J38" s="17">
        <f t="shared" si="9"/>
        <v>0.80736614571638787</v>
      </c>
      <c r="K38" s="18">
        <f t="shared" si="10"/>
        <v>-7.5979766143739635E-2</v>
      </c>
      <c r="L38" s="73">
        <f t="shared" si="11"/>
        <v>0.17345748863701824</v>
      </c>
    </row>
    <row r="39" spans="1:12" x14ac:dyDescent="0.2">
      <c r="A39" s="6">
        <f t="shared" si="2"/>
        <v>7.25</v>
      </c>
      <c r="B39" s="8">
        <f t="shared" si="0"/>
        <v>0.71108518149862188</v>
      </c>
      <c r="C39" s="26">
        <f t="shared" si="1"/>
        <v>5.6153539726638613E-2</v>
      </c>
      <c r="D39" s="17"/>
      <c r="E39" s="18"/>
      <c r="F39" s="15"/>
      <c r="G39" s="17"/>
      <c r="H39" s="18"/>
      <c r="I39" s="16"/>
      <c r="J39" s="17">
        <f t="shared" si="9"/>
        <v>0.81798755494756148</v>
      </c>
      <c r="K39" s="18">
        <f t="shared" si="10"/>
        <v>-8.1567890814399358E-2</v>
      </c>
      <c r="L39" s="73">
        <f t="shared" si="11"/>
        <v>0.17397702907348345</v>
      </c>
    </row>
    <row r="40" spans="1:12" x14ac:dyDescent="0.2">
      <c r="A40" s="6">
        <f t="shared" si="2"/>
        <v>7.5</v>
      </c>
      <c r="B40" s="8">
        <f t="shared" si="0"/>
        <v>0.7012408919279175</v>
      </c>
      <c r="C40" s="26">
        <f t="shared" si="1"/>
        <v>5.6592685500556961E-2</v>
      </c>
      <c r="D40" s="17"/>
      <c r="E40" s="18"/>
      <c r="F40" s="15"/>
      <c r="G40" s="17"/>
      <c r="H40" s="18"/>
      <c r="I40" s="16"/>
      <c r="J40" s="17">
        <f t="shared" si="9"/>
        <v>0.8282670379543271</v>
      </c>
      <c r="K40" s="18">
        <f t="shared" si="10"/>
        <v>-8.7210979258538657E-2</v>
      </c>
      <c r="L40" s="73">
        <f t="shared" si="11"/>
        <v>0.17440033750689415</v>
      </c>
    </row>
    <row r="41" spans="1:12" x14ac:dyDescent="0.2">
      <c r="A41" s="6">
        <f t="shared" si="2"/>
        <v>7.75</v>
      </c>
      <c r="B41" s="8">
        <f t="shared" si="0"/>
        <v>0.6914580252874355</v>
      </c>
      <c r="C41" s="26">
        <f t="shared" si="1"/>
        <v>5.7024734702569191E-2</v>
      </c>
      <c r="D41" s="17"/>
      <c r="E41" s="18"/>
      <c r="F41" s="15"/>
      <c r="G41" s="17"/>
      <c r="H41" s="18"/>
      <c r="I41" s="16"/>
      <c r="J41" s="17">
        <f t="shared" si="9"/>
        <v>0.83823061899450635</v>
      </c>
      <c r="K41" s="18">
        <f t="shared" si="10"/>
        <v>-9.2897728764276155E-2</v>
      </c>
      <c r="L41" s="73">
        <f t="shared" si="11"/>
        <v>0.17473092215526026</v>
      </c>
    </row>
    <row r="42" spans="1:12" x14ac:dyDescent="0.2">
      <c r="A42" s="6">
        <f t="shared" si="2"/>
        <v>8</v>
      </c>
      <c r="B42" s="8">
        <f t="shared" si="0"/>
        <v>0.6817390284785908</v>
      </c>
      <c r="C42" s="26">
        <f t="shared" si="1"/>
        <v>5.7450022786440513E-2</v>
      </c>
      <c r="D42" s="17"/>
      <c r="E42" s="18"/>
      <c r="F42" s="15"/>
      <c r="G42" s="17"/>
      <c r="H42" s="18"/>
      <c r="I42" s="16"/>
      <c r="J42" s="17">
        <f t="shared" si="9"/>
        <v>0.84790148247682384</v>
      </c>
      <c r="K42" s="18">
        <f t="shared" si="10"/>
        <v>-9.8618459204279918E-2</v>
      </c>
      <c r="L42" s="73">
        <f t="shared" si="11"/>
        <v>0.17497217796860409</v>
      </c>
    </row>
    <row r="43" spans="1:12" x14ac:dyDescent="0.2">
      <c r="A43" s="6">
        <f t="shared" si="2"/>
        <v>8.25</v>
      </c>
      <c r="B43" s="8">
        <f t="shared" si="0"/>
        <v>0.67208618679217524</v>
      </c>
      <c r="C43" s="26">
        <f t="shared" si="1"/>
        <v>5.7868859580549881E-2</v>
      </c>
      <c r="D43" s="17"/>
      <c r="E43" s="18"/>
      <c r="F43" s="15"/>
      <c r="G43" s="17"/>
      <c r="H43" s="18"/>
      <c r="I43" s="16"/>
      <c r="J43" s="17">
        <f t="shared" si="9"/>
        <v>0.8573003656535465</v>
      </c>
      <c r="K43" s="18">
        <f t="shared" si="10"/>
        <v>-0.10436485676015828</v>
      </c>
      <c r="L43" s="73">
        <f t="shared" si="11"/>
        <v>0.17512739198745528</v>
      </c>
    </row>
    <row r="44" spans="1:12" x14ac:dyDescent="0.2">
      <c r="A44" s="6">
        <f t="shared" si="2"/>
        <v>8.5</v>
      </c>
      <c r="B44" s="8">
        <f t="shared" si="0"/>
        <v>0.66250163329491807</v>
      </c>
      <c r="C44" s="26">
        <f t="shared" si="1"/>
        <v>5.8281531947657506E-2</v>
      </c>
      <c r="D44" s="17"/>
      <c r="E44" s="18"/>
      <c r="F44" s="15"/>
      <c r="G44" s="17"/>
      <c r="H44" s="18"/>
      <c r="I44" s="16"/>
      <c r="J44" s="17">
        <f t="shared" si="9"/>
        <v>0.86644588648111875</v>
      </c>
      <c r="K44" s="18">
        <f t="shared" si="10"/>
        <v>-0.11012976343034619</v>
      </c>
      <c r="L44" s="73">
        <f t="shared" si="11"/>
        <v>0.17519974838308991</v>
      </c>
    </row>
    <row r="45" spans="1:12" x14ac:dyDescent="0.2">
      <c r="A45" s="6">
        <f t="shared" si="2"/>
        <v>8.75</v>
      </c>
      <c r="B45" s="8">
        <f t="shared" si="0"/>
        <v>0.65298735741181479</v>
      </c>
      <c r="C45" s="26">
        <f t="shared" si="1"/>
        <v>5.8688306099887733E-2</v>
      </c>
      <c r="D45" s="17"/>
      <c r="E45" s="18"/>
      <c r="F45" s="15"/>
      <c r="G45" s="17"/>
      <c r="H45" s="18"/>
      <c r="I45" s="16"/>
      <c r="J45" s="17">
        <f t="shared" si="9"/>
        <v>0.87535481897341283</v>
      </c>
      <c r="K45" s="18">
        <f t="shared" si="10"/>
        <v>-0.11590700315028829</v>
      </c>
      <c r="L45" s="73">
        <f t="shared" si="11"/>
        <v>0.1751923331703053</v>
      </c>
    </row>
    <row r="46" spans="1:12" x14ac:dyDescent="0.2">
      <c r="A46" s="6">
        <f t="shared" si="2"/>
        <v>9</v>
      </c>
      <c r="B46" s="8">
        <f t="shared" si="0"/>
        <v>0.64354521280230015</v>
      </c>
      <c r="C46" s="26">
        <f t="shared" si="1"/>
        <v>5.9089429622036782E-2</v>
      </c>
      <c r="D46" s="17"/>
      <c r="E46" s="18"/>
      <c r="F46" s="15"/>
      <c r="G46" s="17"/>
      <c r="H46" s="18"/>
      <c r="I46" s="16"/>
      <c r="J46" s="17">
        <f t="shared" si="9"/>
        <v>0.88404232574004782</v>
      </c>
      <c r="K46" s="18">
        <f t="shared" si="10"/>
        <v>-0.12169123738688697</v>
      </c>
      <c r="L46" s="73">
        <f t="shared" si="11"/>
        <v>0.1751081385970166</v>
      </c>
    </row>
    <row r="47" spans="1:12" x14ac:dyDescent="0.2">
      <c r="A47" s="6">
        <f t="shared" si="2"/>
        <v>9.25</v>
      </c>
      <c r="B47" s="8">
        <f t="shared" si="0"/>
        <v>0.63417692461358166</v>
      </c>
      <c r="C47" s="26">
        <f t="shared" si="1"/>
        <v>5.9485133246905519E-2</v>
      </c>
      <c r="D47" s="17"/>
      <c r="E47" s="18"/>
      <c r="F47" s="15"/>
      <c r="G47" s="17"/>
      <c r="H47" s="18"/>
      <c r="I47" s="16"/>
      <c r="J47" s="17">
        <f t="shared" si="9"/>
        <v>0.89252215539059754</v>
      </c>
      <c r="K47" s="18">
        <f t="shared" si="10"/>
        <v>-0.12747784460940242</v>
      </c>
      <c r="L47" s="73">
        <f t="shared" si="11"/>
        <v>0.17495006722312595</v>
      </c>
    </row>
    <row r="48" spans="1:12" x14ac:dyDescent="0.2">
      <c r="A48" s="6">
        <f t="shared" si="2"/>
        <v>9.5</v>
      </c>
      <c r="B48" s="8">
        <f t="shared" si="0"/>
        <v>0.62488409618226315</v>
      </c>
      <c r="C48" s="26">
        <f t="shared" si="1"/>
        <v>5.9875632418822988E-2</v>
      </c>
      <c r="D48" s="17"/>
      <c r="E48" s="18"/>
      <c r="F48" s="15"/>
      <c r="G48" s="17"/>
      <c r="H48" s="18"/>
      <c r="I48" s="16"/>
      <c r="J48" s="17">
        <f t="shared" si="9"/>
        <v>0.90080681093476578</v>
      </c>
      <c r="K48" s="18">
        <f t="shared" si="10"/>
        <v>-0.13326281921593147</v>
      </c>
      <c r="L48" s="73">
        <f t="shared" si="11"/>
        <v>0.17472093570581729</v>
      </c>
    </row>
    <row r="49" spans="1:12" x14ac:dyDescent="0.2">
      <c r="A49" s="6">
        <f t="shared" si="2"/>
        <v>9.75</v>
      </c>
      <c r="B49" s="8">
        <f t="shared" si="0"/>
        <v>0.61566821524526849</v>
      </c>
      <c r="C49" s="26">
        <f t="shared" si="1"/>
        <v>6.0261128675436204E-2</v>
      </c>
      <c r="D49" s="17"/>
      <c r="E49" s="18"/>
      <c r="F49" s="15"/>
      <c r="G49" s="17"/>
      <c r="H49" s="18"/>
      <c r="I49" s="16"/>
      <c r="J49" s="17">
        <f t="shared" si="9"/>
        <v>0.90890769410395134</v>
      </c>
      <c r="K49" s="18">
        <f t="shared" si="10"/>
        <v>-0.13904268640077455</v>
      </c>
      <c r="L49" s="73">
        <f t="shared" si="11"/>
        <v>0.17442347831080526</v>
      </c>
    </row>
    <row r="50" spans="1:12" x14ac:dyDescent="0.2">
      <c r="A50" s="9">
        <f t="shared" si="2"/>
        <v>10</v>
      </c>
      <c r="B50" s="66">
        <f t="shared" si="0"/>
        <v>0.60653065971263342</v>
      </c>
      <c r="C50" s="21"/>
      <c r="D50" s="19"/>
      <c r="E50" s="20"/>
      <c r="F50" s="23"/>
      <c r="G50" s="19"/>
      <c r="H50" s="20"/>
      <c r="I50" s="21"/>
      <c r="J50" s="19">
        <f t="shared" si="9"/>
        <v>0.9168352295765565</v>
      </c>
      <c r="K50" s="20">
        <f t="shared" si="10"/>
        <v>-0.14481443015117135</v>
      </c>
      <c r="L50" s="74">
        <f t="shared" si="11"/>
        <v>0.17406035016998936</v>
      </c>
    </row>
    <row r="51" spans="1:12" x14ac:dyDescent="0.2">
      <c r="A51" s="10"/>
      <c r="E51" s="22" t="s">
        <v>39</v>
      </c>
      <c r="F51" s="69">
        <f>SUM(F11:F50)</f>
        <v>0.37986989172741459</v>
      </c>
      <c r="H51" s="22" t="s">
        <v>39</v>
      </c>
      <c r="I51" s="69">
        <f>SUM(I11:I50)</f>
        <v>2.2783115541732326</v>
      </c>
      <c r="K51" s="22" t="s">
        <v>39</v>
      </c>
      <c r="L51" s="69">
        <f>SUM(L11:L50)</f>
        <v>6.3710214470745008</v>
      </c>
    </row>
    <row r="52" spans="1:12" x14ac:dyDescent="0.2">
      <c r="A52" s="10"/>
    </row>
    <row r="53" spans="1:12" x14ac:dyDescent="0.2">
      <c r="A53" s="10"/>
    </row>
    <row r="54" spans="1:12" x14ac:dyDescent="0.2">
      <c r="A54" s="10"/>
    </row>
  </sheetData>
  <customSheetViews>
    <customSheetView guid="{4B0C3F6F-F662-4DAE-ADBE-0ABF48CD31B6}">
      <selection activeCell="R23" sqref="R23"/>
      <pageMargins left="0.7" right="0.7" top="0.75" bottom="0.75" header="0.3" footer="0.3"/>
    </customSheetView>
    <customSheetView guid="{5DD8D364-752E-485B-91C5-5F41496F91AB}">
      <selection activeCell="I11" sqref="I11"/>
      <pageMargins left="0.7" right="0.7" top="0.75" bottom="0.75" header="0.3" footer="0.3"/>
    </customSheetView>
  </customSheetViews>
  <mergeCells count="5">
    <mergeCell ref="G6:G8"/>
    <mergeCell ref="J6:J8"/>
    <mergeCell ref="D6:D8"/>
    <mergeCell ref="D1:F1"/>
    <mergeCell ref="A6:C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workbookViewId="0">
      <selection activeCell="H4" sqref="H4"/>
    </sheetView>
  </sheetViews>
  <sheetFormatPr defaultRowHeight="12.75" x14ac:dyDescent="0.2"/>
  <cols>
    <col min="1" max="1" width="10.85546875" customWidth="1"/>
    <col min="2" max="7" width="10.7109375" customWidth="1"/>
    <col min="8" max="8" width="9.85546875" customWidth="1"/>
    <col min="9" max="9" width="10.140625" customWidth="1"/>
    <col min="10" max="10" width="11.28515625" customWidth="1"/>
    <col min="11" max="11" width="10.42578125" customWidth="1"/>
    <col min="12" max="12" width="10.28515625" customWidth="1"/>
    <col min="13" max="13" width="12.7109375" customWidth="1"/>
  </cols>
  <sheetData>
    <row r="1" spans="1:16" x14ac:dyDescent="0.2">
      <c r="A1" s="40" t="s">
        <v>20</v>
      </c>
      <c r="B1" s="41">
        <v>0.25</v>
      </c>
    </row>
    <row r="2" spans="1:16" x14ac:dyDescent="0.2">
      <c r="A2" s="42" t="s">
        <v>21</v>
      </c>
      <c r="B2" s="68">
        <v>3.2943716770221954E-2</v>
      </c>
    </row>
    <row r="3" spans="1:16" ht="15" x14ac:dyDescent="0.25">
      <c r="A3" s="42" t="s">
        <v>22</v>
      </c>
      <c r="B3" s="68">
        <v>1.6392121419852905E-2</v>
      </c>
      <c r="C3" s="159" t="s">
        <v>43</v>
      </c>
      <c r="D3" s="160"/>
      <c r="E3" s="70">
        <f>(G7-floor_price1)^2+(J7-floor_price2)^2+(M7-floor_price3)^2</f>
        <v>9.1343819558999833E-4</v>
      </c>
    </row>
    <row r="4" spans="1:16" x14ac:dyDescent="0.2">
      <c r="A4" s="43" t="s">
        <v>23</v>
      </c>
      <c r="B4" s="44">
        <f>IF(mean_rev&gt;0.0000001, (1-EXP(-mean_rev*delta_t))/mean_rev, delta_t)</f>
        <v>0.24897332931332872</v>
      </c>
    </row>
    <row r="5" spans="1:16" x14ac:dyDescent="0.2">
      <c r="A5" s="4"/>
      <c r="B5" s="4"/>
      <c r="C5" s="4"/>
      <c r="D5" s="4"/>
      <c r="E5" s="4"/>
      <c r="F5" s="4"/>
      <c r="G5" s="4"/>
      <c r="H5" s="4"/>
    </row>
    <row r="6" spans="1:16" x14ac:dyDescent="0.2">
      <c r="A6" s="4"/>
      <c r="B6" s="4"/>
      <c r="C6" s="4"/>
      <c r="D6" s="4"/>
      <c r="E6" s="4"/>
      <c r="F6" s="4"/>
      <c r="G6" s="4"/>
      <c r="H6" s="4"/>
    </row>
    <row r="7" spans="1:16" x14ac:dyDescent="0.2">
      <c r="A7" s="4"/>
      <c r="B7" s="4"/>
      <c r="C7" s="4"/>
      <c r="D7" s="4"/>
      <c r="E7" s="158" t="s">
        <v>40</v>
      </c>
      <c r="F7" s="158"/>
      <c r="G7" s="71">
        <f>SUM(G10:G49)</f>
        <v>0.40794499803119277</v>
      </c>
      <c r="H7" s="158" t="s">
        <v>41</v>
      </c>
      <c r="I7" s="158"/>
      <c r="J7" s="71">
        <f>SUM(J10:J49)</f>
        <v>2.2672709545509928</v>
      </c>
      <c r="K7" s="158" t="s">
        <v>42</v>
      </c>
      <c r="L7" s="158"/>
      <c r="M7" s="71">
        <f>SUM(M10:M49)</f>
        <v>6.3728467584460073</v>
      </c>
    </row>
    <row r="8" spans="1:16" ht="14.25" x14ac:dyDescent="0.2">
      <c r="A8" s="24" t="s">
        <v>12</v>
      </c>
      <c r="B8" s="25" t="s">
        <v>13</v>
      </c>
      <c r="C8" s="25" t="s">
        <v>14</v>
      </c>
      <c r="D8" s="29" t="s">
        <v>2</v>
      </c>
      <c r="E8" s="24" t="s">
        <v>3</v>
      </c>
      <c r="F8" s="25" t="s">
        <v>4</v>
      </c>
      <c r="G8" s="29" t="s">
        <v>38</v>
      </c>
      <c r="H8" s="24" t="s">
        <v>3</v>
      </c>
      <c r="I8" s="25" t="s">
        <v>4</v>
      </c>
      <c r="J8" s="29" t="s">
        <v>38</v>
      </c>
      <c r="K8" s="24" t="s">
        <v>3</v>
      </c>
      <c r="L8" s="25" t="s">
        <v>4</v>
      </c>
      <c r="M8" s="29" t="s">
        <v>38</v>
      </c>
    </row>
    <row r="9" spans="1:16" x14ac:dyDescent="0.2">
      <c r="A9" s="6">
        <v>0</v>
      </c>
      <c r="B9" s="4">
        <f>EXP(-(0.03+0.02*SQRT(A9/10))*A9)</f>
        <v>1</v>
      </c>
      <c r="C9" s="7"/>
      <c r="D9" s="5"/>
      <c r="E9" s="32"/>
      <c r="F9" s="4"/>
      <c r="G9" s="5"/>
      <c r="H9" s="32"/>
      <c r="I9" s="4"/>
      <c r="J9" s="5"/>
      <c r="K9" s="32"/>
      <c r="L9" s="4"/>
      <c r="M9" s="5"/>
      <c r="P9" s="82"/>
    </row>
    <row r="10" spans="1:16" x14ac:dyDescent="0.2">
      <c r="A10" s="6">
        <f>A9+0.25</f>
        <v>0.25</v>
      </c>
      <c r="B10" s="8">
        <f t="shared" ref="B10:B49" si="0">EXP(-(0.03+0.02*SQRT(A10/10))*A10)</f>
        <v>0.9917437025787248</v>
      </c>
      <c r="C10" s="28">
        <f t="shared" ref="C10:C49" si="1">B10/B9</f>
        <v>0.9917437025787248</v>
      </c>
      <c r="D10" s="5"/>
      <c r="E10" s="33"/>
      <c r="F10" s="4"/>
      <c r="G10" s="72">
        <f>100*MAX((1+delta_t*floor_strike1)*B10-1,0)</f>
        <v>0</v>
      </c>
      <c r="H10" s="33"/>
      <c r="I10" s="4"/>
      <c r="J10" s="72">
        <f>100*MAX((1+delta_t*floor_strike2)*B10-1,0)</f>
        <v>4.2145997628861842E-2</v>
      </c>
      <c r="K10" s="33"/>
      <c r="L10" s="4"/>
      <c r="M10" s="72">
        <f>100*MAX((1+delta_t*floor_strike3)*B10-1,0)</f>
        <v>0.16611396045120852</v>
      </c>
      <c r="P10" s="82"/>
    </row>
    <row r="11" spans="1:16" x14ac:dyDescent="0.2">
      <c r="A11" s="6">
        <f t="shared" ref="A11:A49" si="2">A10+0.25</f>
        <v>0.5</v>
      </c>
      <c r="B11" s="8">
        <f t="shared" si="0"/>
        <v>0.98291162328589055</v>
      </c>
      <c r="C11" s="28">
        <f t="shared" si="1"/>
        <v>0.99109439337011251</v>
      </c>
      <c r="D11" s="36">
        <f>sigma*B*SQRT(IF(mean_rev&gt;0.0000001,(1-EXP(-2*mean_rev*A10))/(2*mean_rev),A10))</f>
        <v>2.0322261668403461E-3</v>
      </c>
      <c r="E11" s="34">
        <f t="shared" ref="E11:E17" si="3">LN($C11*(1+delta_t*floor_strike1))/$D11+$D11/2</f>
        <v>-0.72404281382112634</v>
      </c>
      <c r="F11" s="31">
        <f t="shared" ref="F11:F17" si="4">LN($C11*(1+delta_t*floor_strike1))/$D11-$D11/2</f>
        <v>-0.72607503998796674</v>
      </c>
      <c r="G11" s="72">
        <f t="shared" ref="G11:G17" si="5">100*($B11*(1+delta_t*floor_strike1)*_xlfn.NORM.S.DIST(E11,TRUE)-$B10*_xlfn.NORM.S.DIST(F11,TRUE))</f>
        <v>2.7573864995403263E-2</v>
      </c>
      <c r="H11" s="34">
        <f t="shared" ref="H11:H29" si="6">LN($C11*(1+delta_t*floor_strike2))/$D11+$D11/2</f>
        <v>-0.11391103638798349</v>
      </c>
      <c r="I11" s="31">
        <f t="shared" ref="I11:I29" si="7">LN($C11*(1+delta_t*floor_strike2))/$D11-$D11/2</f>
        <v>-0.11594326255482383</v>
      </c>
      <c r="J11" s="72">
        <f t="shared" ref="J11:J29" si="8">100*($B11*(1+delta_t*floor_strike2)*_xlfn.NORM.S.DIST(H11,TRUE)-$B10*_xlfn.NORM.S.DIST(I11,TRUE))</f>
        <v>6.9345547436611144E-2</v>
      </c>
      <c r="K11" s="34">
        <f t="shared" ref="K11:K49" si="9">LN($C11*(1+delta_t*floor_strike3))/$D11+$D11/2</f>
        <v>0.49546515970344251</v>
      </c>
      <c r="L11" s="31">
        <f t="shared" ref="L11:L49" si="10">LN($C11*(1+delta_t*floor_strike3))/$D11-$D11/2</f>
        <v>0.49343293353660211</v>
      </c>
      <c r="M11" s="72">
        <f t="shared" ref="M11:M49" si="11">100*($B11*(1+delta_t*floor_strike3)*_xlfn.NORM.S.DIST(K11,TRUE)-$B10*_xlfn.NORM.S.DIST(L11,TRUE))</f>
        <v>0.13993502438621741</v>
      </c>
      <c r="P11" s="82"/>
    </row>
    <row r="12" spans="1:16" x14ac:dyDescent="0.2">
      <c r="A12" s="6">
        <f t="shared" si="2"/>
        <v>0.75</v>
      </c>
      <c r="B12" s="8">
        <f t="shared" si="0"/>
        <v>0.97374295262272548</v>
      </c>
      <c r="C12" s="28">
        <f t="shared" si="1"/>
        <v>0.99067192772376211</v>
      </c>
      <c r="D12" s="36">
        <f t="shared" ref="D12:D49" si="12">sigma*B*SQRT(IF(mean_rev&gt;0.0000001,(1-EXP(-2*mean_rev*A11))/(2*mean_rev),A11))</f>
        <v>2.8622396398303709E-3</v>
      </c>
      <c r="E12" s="34">
        <f t="shared" si="3"/>
        <v>-0.66232754617372214</v>
      </c>
      <c r="F12" s="31">
        <f t="shared" si="4"/>
        <v>-0.66518978581355248</v>
      </c>
      <c r="G12" s="72">
        <f t="shared" si="5"/>
        <v>4.2681283859730135E-2</v>
      </c>
      <c r="H12" s="34">
        <f t="shared" si="6"/>
        <v>-0.22912630541601478</v>
      </c>
      <c r="I12" s="31">
        <f t="shared" si="7"/>
        <v>-0.23198854505584512</v>
      </c>
      <c r="J12" s="72">
        <f t="shared" si="8"/>
        <v>8.2746433858249535E-2</v>
      </c>
      <c r="K12" s="34">
        <f t="shared" si="9"/>
        <v>0.20353846307970702</v>
      </c>
      <c r="L12" s="31">
        <f t="shared" si="10"/>
        <v>0.20067622343987668</v>
      </c>
      <c r="M12" s="72">
        <f t="shared" si="11"/>
        <v>0.14299110235977963</v>
      </c>
      <c r="P12" s="82"/>
    </row>
    <row r="13" spans="1:16" x14ac:dyDescent="0.2">
      <c r="A13" s="6">
        <f t="shared" si="2"/>
        <v>1</v>
      </c>
      <c r="B13" s="8">
        <f t="shared" si="0"/>
        <v>0.96432726514391609</v>
      </c>
      <c r="C13" s="28">
        <f t="shared" si="1"/>
        <v>0.99033041784441289</v>
      </c>
      <c r="D13" s="36">
        <f t="shared" si="12"/>
        <v>3.4912060883685726E-3</v>
      </c>
      <c r="E13" s="34">
        <f t="shared" si="3"/>
        <v>-0.64119017431517467</v>
      </c>
      <c r="F13" s="31">
        <f t="shared" si="4"/>
        <v>-0.64468138040354317</v>
      </c>
      <c r="G13" s="72">
        <f t="shared" si="5"/>
        <v>5.3381397647300766E-2</v>
      </c>
      <c r="H13" s="34">
        <f t="shared" si="6"/>
        <v>-0.28603332251789987</v>
      </c>
      <c r="I13" s="31">
        <f t="shared" si="7"/>
        <v>-0.28952452860626848</v>
      </c>
      <c r="J13" s="72">
        <f t="shared" si="8"/>
        <v>9.2237190057187224E-2</v>
      </c>
      <c r="K13" s="34">
        <f t="shared" si="9"/>
        <v>6.8683706440201678E-2</v>
      </c>
      <c r="L13" s="31">
        <f t="shared" si="10"/>
        <v>6.5192500351833119E-2</v>
      </c>
      <c r="M13" s="72">
        <f t="shared" si="11"/>
        <v>0.14732071877164854</v>
      </c>
      <c r="P13" s="82"/>
    </row>
    <row r="14" spans="1:16" x14ac:dyDescent="0.2">
      <c r="A14" s="6">
        <f t="shared" si="2"/>
        <v>1.25</v>
      </c>
      <c r="B14" s="8">
        <f t="shared" si="0"/>
        <v>0.95471841558956494</v>
      </c>
      <c r="C14" s="28">
        <f t="shared" si="1"/>
        <v>0.99003569648845602</v>
      </c>
      <c r="D14" s="36">
        <f t="shared" si="12"/>
        <v>4.014889791276813E-3</v>
      </c>
      <c r="E14" s="34">
        <f t="shared" si="3"/>
        <v>-0.63120161885441417</v>
      </c>
      <c r="F14" s="31">
        <f t="shared" si="4"/>
        <v>-0.63521650864569101</v>
      </c>
      <c r="G14" s="72">
        <f t="shared" si="5"/>
        <v>6.1770309894149111E-2</v>
      </c>
      <c r="H14" s="34">
        <f t="shared" si="6"/>
        <v>-0.32236978839807739</v>
      </c>
      <c r="I14" s="31">
        <f t="shared" si="7"/>
        <v>-0.32638467818935424</v>
      </c>
      <c r="J14" s="72">
        <f t="shared" si="8"/>
        <v>9.9653676175714967E-2</v>
      </c>
      <c r="K14" s="34">
        <f t="shared" si="9"/>
        <v>-1.3920412318760006E-2</v>
      </c>
      <c r="L14" s="31">
        <f t="shared" si="10"/>
        <v>-1.793530211003682E-2</v>
      </c>
      <c r="M14" s="72">
        <f t="shared" si="11"/>
        <v>0.15138847320542714</v>
      </c>
      <c r="P14" s="82"/>
    </row>
    <row r="15" spans="1:16" x14ac:dyDescent="0.2">
      <c r="A15" s="6">
        <f t="shared" si="2"/>
        <v>1.5</v>
      </c>
      <c r="B15" s="8">
        <f t="shared" si="0"/>
        <v>0.94495407548597599</v>
      </c>
      <c r="C15" s="28">
        <f t="shared" si="1"/>
        <v>0.98977254450721031</v>
      </c>
      <c r="D15" s="36">
        <f t="shared" si="12"/>
        <v>4.470564008296379E-3</v>
      </c>
      <c r="E15" s="34">
        <f t="shared" si="3"/>
        <v>-0.62589585086368527</v>
      </c>
      <c r="F15" s="31">
        <f t="shared" si="4"/>
        <v>-0.63036641487198175</v>
      </c>
      <c r="G15" s="72">
        <f t="shared" si="5"/>
        <v>6.8658222807627123E-2</v>
      </c>
      <c r="H15" s="34">
        <f t="shared" si="6"/>
        <v>-0.3485425323518786</v>
      </c>
      <c r="I15" s="31">
        <f t="shared" si="7"/>
        <v>-0.35301309636017497</v>
      </c>
      <c r="J15" s="72">
        <f t="shared" si="8"/>
        <v>0.105702011569897</v>
      </c>
      <c r="K15" s="34">
        <f t="shared" si="9"/>
        <v>-7.1532685529790432E-2</v>
      </c>
      <c r="L15" s="31">
        <f t="shared" si="10"/>
        <v>-7.6003249538086806E-2</v>
      </c>
      <c r="M15" s="72">
        <f t="shared" si="11"/>
        <v>0.15496856456530539</v>
      </c>
      <c r="P15" s="82"/>
    </row>
    <row r="16" spans="1:16" x14ac:dyDescent="0.2">
      <c r="A16" s="6">
        <f t="shared" si="2"/>
        <v>1.75</v>
      </c>
      <c r="B16" s="8">
        <f t="shared" si="0"/>
        <v>0.935062833390366</v>
      </c>
      <c r="C16" s="28">
        <f t="shared" si="1"/>
        <v>0.98953256845786597</v>
      </c>
      <c r="D16" s="36">
        <f t="shared" si="12"/>
        <v>4.8774354550826819E-3</v>
      </c>
      <c r="E16" s="34">
        <f t="shared" si="3"/>
        <v>-0.6230099663435229</v>
      </c>
      <c r="F16" s="31">
        <f t="shared" si="4"/>
        <v>-0.62788740179860558</v>
      </c>
      <c r="G16" s="72">
        <f t="shared" si="5"/>
        <v>7.4459395387815874E-2</v>
      </c>
      <c r="H16" s="34">
        <f t="shared" si="6"/>
        <v>-0.36879322175731966</v>
      </c>
      <c r="I16" s="31">
        <f t="shared" si="7"/>
        <v>-0.37367065721240234</v>
      </c>
      <c r="J16" s="72">
        <f t="shared" si="8"/>
        <v>0.11074698866884169</v>
      </c>
      <c r="K16" s="34">
        <f t="shared" si="9"/>
        <v>-0.11489129674957425</v>
      </c>
      <c r="L16" s="31">
        <f t="shared" si="10"/>
        <v>-0.11976873220465693</v>
      </c>
      <c r="M16" s="72">
        <f t="shared" si="11"/>
        <v>0.15805093207554854</v>
      </c>
      <c r="P16" s="82"/>
    </row>
    <row r="17" spans="1:16" x14ac:dyDescent="0.2">
      <c r="A17" s="6">
        <f t="shared" si="2"/>
        <v>2</v>
      </c>
      <c r="B17" s="8">
        <f t="shared" si="0"/>
        <v>0.92506752529054881</v>
      </c>
      <c r="C17" s="28">
        <f t="shared" si="1"/>
        <v>0.98931054925627182</v>
      </c>
      <c r="D17" s="36">
        <f t="shared" si="12"/>
        <v>5.2469680972813777E-3</v>
      </c>
      <c r="E17" s="34">
        <f t="shared" si="3"/>
        <v>-0.62154240684896478</v>
      </c>
      <c r="F17" s="31">
        <f t="shared" si="4"/>
        <v>-0.62678937494624609</v>
      </c>
      <c r="G17" s="72">
        <f t="shared" si="5"/>
        <v>7.9420523439166502E-2</v>
      </c>
      <c r="H17" s="34">
        <f t="shared" si="6"/>
        <v>-0.38522959908423021</v>
      </c>
      <c r="I17" s="31">
        <f t="shared" si="7"/>
        <v>-0.39047656718151164</v>
      </c>
      <c r="J17" s="72">
        <f t="shared" si="8"/>
        <v>0.11500855463927873</v>
      </c>
      <c r="K17" s="34">
        <f t="shared" si="9"/>
        <v>-0.14920943883432083</v>
      </c>
      <c r="L17" s="31">
        <f t="shared" si="10"/>
        <v>-0.1544564069316022</v>
      </c>
      <c r="M17" s="72">
        <f t="shared" si="11"/>
        <v>0.16067193569183624</v>
      </c>
      <c r="P17" s="82"/>
    </row>
    <row r="18" spans="1:16" x14ac:dyDescent="0.2">
      <c r="A18" s="6">
        <f t="shared" si="2"/>
        <v>2.25</v>
      </c>
      <c r="B18" s="8">
        <f t="shared" si="0"/>
        <v>0.91498704323467583</v>
      </c>
      <c r="C18" s="28">
        <f t="shared" si="1"/>
        <v>0.98910297704731676</v>
      </c>
      <c r="D18" s="36">
        <f t="shared" si="12"/>
        <v>5.586667204889666E-3</v>
      </c>
      <c r="E18" s="33"/>
      <c r="F18" s="4"/>
      <c r="G18" s="5"/>
      <c r="H18" s="34">
        <f t="shared" si="6"/>
        <v>-0.39903654130971683</v>
      </c>
      <c r="I18" s="31">
        <f t="shared" si="7"/>
        <v>-0.40462320851460648</v>
      </c>
      <c r="J18" s="72">
        <f t="shared" si="8"/>
        <v>0.11863281349713817</v>
      </c>
      <c r="K18" s="34">
        <f t="shared" si="9"/>
        <v>-0.17736766329553072</v>
      </c>
      <c r="L18" s="31">
        <f t="shared" si="10"/>
        <v>-0.18295433050042037</v>
      </c>
      <c r="M18" s="72">
        <f t="shared" si="11"/>
        <v>0.16287588932878405</v>
      </c>
      <c r="P18" s="82"/>
    </row>
    <row r="19" spans="1:16" x14ac:dyDescent="0.2">
      <c r="A19" s="6">
        <f t="shared" si="2"/>
        <v>2.5</v>
      </c>
      <c r="B19" s="8">
        <f t="shared" si="0"/>
        <v>0.90483741803595952</v>
      </c>
      <c r="C19" s="28">
        <f t="shared" si="1"/>
        <v>0.98890735636776317</v>
      </c>
      <c r="D19" s="36">
        <f t="shared" si="12"/>
        <v>5.9017712499887208E-3</v>
      </c>
      <c r="E19" s="33"/>
      <c r="F19" s="4"/>
      <c r="G19" s="5"/>
      <c r="H19" s="34">
        <f t="shared" si="6"/>
        <v>-0.41093929892708764</v>
      </c>
      <c r="I19" s="31">
        <f t="shared" si="7"/>
        <v>-0.41684107017707633</v>
      </c>
      <c r="J19" s="72">
        <f t="shared" si="8"/>
        <v>0.12172352693998745</v>
      </c>
      <c r="K19" s="34">
        <f t="shared" si="9"/>
        <v>-0.20110564074372575</v>
      </c>
      <c r="L19" s="31">
        <f t="shared" si="10"/>
        <v>-0.20700741199371445</v>
      </c>
      <c r="M19" s="72">
        <f t="shared" si="11"/>
        <v>0.16470504536834074</v>
      </c>
      <c r="P19" s="82"/>
    </row>
    <row r="20" spans="1:16" x14ac:dyDescent="0.2">
      <c r="A20" s="6">
        <f t="shared" si="2"/>
        <v>2.75</v>
      </c>
      <c r="B20" s="8">
        <f t="shared" si="0"/>
        <v>0.89463251452254311</v>
      </c>
      <c r="C20" s="28">
        <f t="shared" si="1"/>
        <v>0.98872183741520414</v>
      </c>
      <c r="D20" s="36">
        <f t="shared" si="12"/>
        <v>6.1961130334810483E-3</v>
      </c>
      <c r="E20" s="33"/>
      <c r="F20" s="4"/>
      <c r="G20" s="5"/>
      <c r="H20" s="34">
        <f t="shared" si="6"/>
        <v>-0.42141045526227366</v>
      </c>
      <c r="I20" s="31">
        <f t="shared" si="7"/>
        <v>-0.42760656829575466</v>
      </c>
      <c r="J20" s="72">
        <f t="shared" si="8"/>
        <v>0.12435808786822045</v>
      </c>
      <c r="K20" s="34">
        <f t="shared" si="9"/>
        <v>-0.22154479037610741</v>
      </c>
      <c r="L20" s="31">
        <f t="shared" si="10"/>
        <v>-0.22774090340958847</v>
      </c>
      <c r="M20" s="72">
        <f t="shared" si="11"/>
        <v>0.16619719471276939</v>
      </c>
      <c r="P20" s="82"/>
    </row>
    <row r="21" spans="1:16" x14ac:dyDescent="0.2">
      <c r="A21" s="6">
        <f t="shared" si="2"/>
        <v>3</v>
      </c>
      <c r="B21" s="8">
        <f t="shared" si="0"/>
        <v>0.8843845023953113</v>
      </c>
      <c r="C21" s="28">
        <f t="shared" si="1"/>
        <v>0.98854500371842502</v>
      </c>
      <c r="D21" s="36">
        <f t="shared" si="12"/>
        <v>6.4726003386499E-3</v>
      </c>
      <c r="E21" s="33"/>
      <c r="F21" s="4"/>
      <c r="G21" s="5"/>
      <c r="H21" s="34">
        <f t="shared" si="6"/>
        <v>-0.43077312056299272</v>
      </c>
      <c r="I21" s="31">
        <f t="shared" si="7"/>
        <v>-0.43724572090164265</v>
      </c>
      <c r="J21" s="72">
        <f t="shared" si="8"/>
        <v>0.12659642685987071</v>
      </c>
      <c r="K21" s="34">
        <f t="shared" si="9"/>
        <v>-0.23944503195048378</v>
      </c>
      <c r="L21" s="31">
        <f t="shared" si="10"/>
        <v>-0.24591763228913366</v>
      </c>
      <c r="M21" s="72">
        <f t="shared" si="11"/>
        <v>0.16738549677808301</v>
      </c>
      <c r="P21" s="82"/>
    </row>
    <row r="22" spans="1:16" x14ac:dyDescent="0.2">
      <c r="A22" s="6">
        <f t="shared" si="2"/>
        <v>3.25</v>
      </c>
      <c r="B22" s="8">
        <f t="shared" si="0"/>
        <v>0.87410418876714069</v>
      </c>
      <c r="C22" s="28">
        <f t="shared" si="1"/>
        <v>0.98837574199872691</v>
      </c>
      <c r="D22" s="36">
        <f t="shared" si="12"/>
        <v>6.7335035115266848E-3</v>
      </c>
      <c r="E22" s="33"/>
      <c r="F22" s="4"/>
      <c r="G22" s="5"/>
      <c r="H22" s="34">
        <f t="shared" si="6"/>
        <v>-0.43925680346901635</v>
      </c>
      <c r="I22" s="31">
        <f t="shared" si="7"/>
        <v>-0.44599030698054304</v>
      </c>
      <c r="J22" s="72">
        <f t="shared" si="8"/>
        <v>0.12848634518954904</v>
      </c>
      <c r="K22" s="34">
        <f t="shared" si="9"/>
        <v>-0.25534210749736208</v>
      </c>
      <c r="L22" s="31">
        <f t="shared" si="10"/>
        <v>-0.26207561100888876</v>
      </c>
      <c r="M22" s="72">
        <f t="shared" si="11"/>
        <v>0.16829894157167624</v>
      </c>
      <c r="P22" s="82"/>
    </row>
    <row r="23" spans="1:16" x14ac:dyDescent="0.2">
      <c r="A23" s="6">
        <f t="shared" si="2"/>
        <v>3.5</v>
      </c>
      <c r="B23" s="8">
        <f t="shared" si="0"/>
        <v>0.86380126112632272</v>
      </c>
      <c r="C23" s="28">
        <f t="shared" si="1"/>
        <v>0.98821315837034318</v>
      </c>
      <c r="D23" s="36">
        <f t="shared" si="12"/>
        <v>6.980637132571129E-3</v>
      </c>
      <c r="E23" s="33"/>
      <c r="F23" s="4"/>
      <c r="G23" s="5"/>
      <c r="H23" s="34">
        <f t="shared" si="6"/>
        <v>-0.44702967040145913</v>
      </c>
      <c r="I23" s="31">
        <f t="shared" si="7"/>
        <v>-0.45401030753403027</v>
      </c>
      <c r="J23" s="72">
        <f t="shared" si="8"/>
        <v>0.13006689098023494</v>
      </c>
      <c r="K23" s="34">
        <f t="shared" si="9"/>
        <v>-0.26962605700228698</v>
      </c>
      <c r="L23" s="31">
        <f t="shared" si="10"/>
        <v>-0.27660669413485811</v>
      </c>
      <c r="M23" s="72">
        <f t="shared" si="11"/>
        <v>0.16896293667562068</v>
      </c>
      <c r="P23" s="82"/>
    </row>
    <row r="24" spans="1:16" x14ac:dyDescent="0.2">
      <c r="A24" s="6">
        <f t="shared" si="2"/>
        <v>3.75</v>
      </c>
      <c r="B24" s="8">
        <f t="shared" si="0"/>
        <v>0.85348446991542781</v>
      </c>
      <c r="C24" s="28">
        <f t="shared" si="1"/>
        <v>0.98805652217103423</v>
      </c>
      <c r="D24" s="36">
        <f t="shared" si="12"/>
        <v>7.2154799180041088E-3</v>
      </c>
      <c r="E24" s="33"/>
      <c r="F24" s="4"/>
      <c r="G24" s="5"/>
      <c r="H24" s="34">
        <f t="shared" si="6"/>
        <v>-0.45421816088273842</v>
      </c>
      <c r="I24" s="31">
        <f t="shared" si="7"/>
        <v>-0.46143364080074251</v>
      </c>
      <c r="J24" s="72">
        <f t="shared" si="8"/>
        <v>0.1313705944208321</v>
      </c>
      <c r="K24" s="34">
        <f t="shared" si="9"/>
        <v>-0.28258851667064289</v>
      </c>
      <c r="L24" s="31">
        <f t="shared" si="10"/>
        <v>-0.28980399658864697</v>
      </c>
      <c r="M24" s="72">
        <f t="shared" si="11"/>
        <v>0.16939985963997928</v>
      </c>
      <c r="P24" s="82"/>
    </row>
    <row r="25" spans="1:16" x14ac:dyDescent="0.2">
      <c r="A25" s="6">
        <f t="shared" si="2"/>
        <v>4</v>
      </c>
      <c r="B25" s="8">
        <f t="shared" si="0"/>
        <v>0.84316176902552231</v>
      </c>
      <c r="C25" s="28">
        <f t="shared" si="1"/>
        <v>0.98790522703836847</v>
      </c>
      <c r="D25" s="36">
        <f t="shared" si="12"/>
        <v>7.4392567586048074E-3</v>
      </c>
      <c r="E25" s="33"/>
      <c r="F25" s="4"/>
      <c r="G25" s="5"/>
      <c r="H25" s="34">
        <f t="shared" si="6"/>
        <v>-0.46091943378102262</v>
      </c>
      <c r="I25" s="31">
        <f t="shared" si="7"/>
        <v>-0.46835869053962742</v>
      </c>
      <c r="J25" s="72">
        <f t="shared" si="8"/>
        <v>0.13242500317616201</v>
      </c>
      <c r="K25" s="34">
        <f t="shared" si="9"/>
        <v>-0.29445250148780383</v>
      </c>
      <c r="L25" s="31">
        <f t="shared" si="10"/>
        <v>-0.30189175824640863</v>
      </c>
      <c r="M25" s="72">
        <f t="shared" si="11"/>
        <v>0.16962953337211206</v>
      </c>
      <c r="P25" s="82"/>
    </row>
    <row r="26" spans="1:16" x14ac:dyDescent="0.2">
      <c r="A26" s="6">
        <f t="shared" si="2"/>
        <v>4.25</v>
      </c>
      <c r="B26" s="8">
        <f t="shared" si="0"/>
        <v>0.8328404261234621</v>
      </c>
      <c r="C26" s="28">
        <f t="shared" si="1"/>
        <v>0.98775876316831934</v>
      </c>
      <c r="D26" s="36">
        <f t="shared" si="12"/>
        <v>7.6529965757182045E-3</v>
      </c>
      <c r="E26" s="33"/>
      <c r="F26" s="4"/>
      <c r="G26" s="5"/>
      <c r="H26" s="34">
        <f t="shared" si="6"/>
        <v>-0.46720955194958763</v>
      </c>
      <c r="I26" s="31">
        <f t="shared" si="7"/>
        <v>-0.47486254852530579</v>
      </c>
      <c r="J26" s="72">
        <f t="shared" si="8"/>
        <v>0.1332537701902059</v>
      </c>
      <c r="K26" s="34">
        <f t="shared" si="9"/>
        <v>-0.30539185885459663</v>
      </c>
      <c r="L26" s="31">
        <f t="shared" si="10"/>
        <v>-0.31304485543031479</v>
      </c>
      <c r="M26" s="72">
        <f t="shared" si="11"/>
        <v>0.16966962164526311</v>
      </c>
      <c r="P26" s="82"/>
    </row>
    <row r="27" spans="1:16" x14ac:dyDescent="0.2">
      <c r="A27" s="6">
        <f t="shared" si="2"/>
        <v>4.5</v>
      </c>
      <c r="B27" s="8">
        <f t="shared" si="0"/>
        <v>0.82252711082826713</v>
      </c>
      <c r="C27" s="28">
        <f t="shared" si="1"/>
        <v>0.98761669706260624</v>
      </c>
      <c r="D27" s="36">
        <f t="shared" si="12"/>
        <v>7.8575741870197269E-3</v>
      </c>
      <c r="E27" s="33"/>
      <c r="F27" s="4"/>
      <c r="G27" s="5"/>
      <c r="H27" s="34">
        <f t="shared" si="6"/>
        <v>-0.47314903069442399</v>
      </c>
      <c r="I27" s="31">
        <f t="shared" si="7"/>
        <v>-0.4810066048814437</v>
      </c>
      <c r="J27" s="72">
        <f t="shared" si="8"/>
        <v>0.13387744491982767</v>
      </c>
      <c r="K27" s="34">
        <f t="shared" si="9"/>
        <v>-0.31554437795155532</v>
      </c>
      <c r="L27" s="31">
        <f t="shared" si="10"/>
        <v>-0.32340195213857503</v>
      </c>
      <c r="M27" s="72">
        <f t="shared" si="11"/>
        <v>0.1695359540629382</v>
      </c>
      <c r="P27" s="82"/>
    </row>
    <row r="28" spans="1:16" x14ac:dyDescent="0.2">
      <c r="A28" s="6">
        <f t="shared" si="2"/>
        <v>4.75</v>
      </c>
      <c r="B28" s="8">
        <f t="shared" si="0"/>
        <v>0.81222796627979743</v>
      </c>
      <c r="C28" s="28">
        <f t="shared" si="1"/>
        <v>0.98747865643224975</v>
      </c>
      <c r="D28" s="36">
        <f t="shared" si="12"/>
        <v>8.0537412812947164E-3</v>
      </c>
      <c r="E28" s="33"/>
      <c r="F28" s="4"/>
      <c r="G28" s="5"/>
      <c r="H28" s="34">
        <f t="shared" si="6"/>
        <v>-0.47878669911529737</v>
      </c>
      <c r="I28" s="31">
        <f t="shared" si="7"/>
        <v>-0.48684044039659213</v>
      </c>
      <c r="J28" s="72">
        <f t="shared" si="8"/>
        <v>0.13431406206816932</v>
      </c>
      <c r="K28" s="34">
        <f t="shared" si="9"/>
        <v>-0.32502086434447353</v>
      </c>
      <c r="L28" s="31">
        <f t="shared" si="10"/>
        <v>-0.33307460562576829</v>
      </c>
      <c r="M28" s="72">
        <f t="shared" si="11"/>
        <v>0.1692427923089268</v>
      </c>
      <c r="P28" s="82"/>
    </row>
    <row r="29" spans="1:16" x14ac:dyDescent="0.2">
      <c r="A29" s="6">
        <f t="shared" si="2"/>
        <v>5</v>
      </c>
      <c r="B29" s="8">
        <f t="shared" si="0"/>
        <v>0.80194866802638853</v>
      </c>
      <c r="C29" s="28">
        <f t="shared" si="1"/>
        <v>0.98734431873789008</v>
      </c>
      <c r="D29" s="36">
        <f t="shared" si="12"/>
        <v>8.242149782853812E-3</v>
      </c>
      <c r="E29" s="33"/>
      <c r="F29" s="4"/>
      <c r="G29" s="5"/>
      <c r="H29" s="34">
        <f t="shared" si="6"/>
        <v>-0.48416244946006809</v>
      </c>
      <c r="I29" s="31">
        <f t="shared" si="7"/>
        <v>-0.49240459924292185</v>
      </c>
      <c r="J29" s="72">
        <f t="shared" si="8"/>
        <v>0.13457958840615292</v>
      </c>
      <c r="K29" s="34">
        <f t="shared" si="9"/>
        <v>-0.33391157028740026</v>
      </c>
      <c r="L29" s="31">
        <f t="shared" si="10"/>
        <v>-0.34215372007025402</v>
      </c>
      <c r="M29" s="72">
        <f t="shared" si="11"/>
        <v>0.16880304871680352</v>
      </c>
      <c r="P29" s="82"/>
    </row>
    <row r="30" spans="1:16" x14ac:dyDescent="0.2">
      <c r="A30" s="6">
        <f t="shared" si="2"/>
        <v>5.25</v>
      </c>
      <c r="B30" s="8">
        <f t="shared" si="0"/>
        <v>0.79169447307233143</v>
      </c>
      <c r="C30" s="28">
        <f t="shared" si="1"/>
        <v>0.98721340234993737</v>
      </c>
      <c r="D30" s="36">
        <f t="shared" si="12"/>
        <v>8.4233697776083874E-3</v>
      </c>
      <c r="E30" s="33"/>
      <c r="F30" s="4"/>
      <c r="G30" s="5"/>
      <c r="H30" s="33"/>
      <c r="I30" s="4"/>
      <c r="J30" s="5"/>
      <c r="K30" s="34">
        <f t="shared" si="9"/>
        <v>-0.34229084589528691</v>
      </c>
      <c r="L30" s="8">
        <f t="shared" si="10"/>
        <v>-0.35071421567289529</v>
      </c>
      <c r="M30" s="72">
        <f t="shared" si="11"/>
        <v>0.16822846648544831</v>
      </c>
      <c r="P30" s="82"/>
    </row>
    <row r="31" spans="1:16" x14ac:dyDescent="0.2">
      <c r="A31" s="6">
        <f t="shared" si="2"/>
        <v>5.5</v>
      </c>
      <c r="B31" s="8">
        <f t="shared" si="0"/>
        <v>0.7814702611792832</v>
      </c>
      <c r="C31" s="28">
        <f t="shared" si="1"/>
        <v>0.98708565963158601</v>
      </c>
      <c r="D31" s="36">
        <f t="shared" si="12"/>
        <v>8.5979034754618631E-3</v>
      </c>
      <c r="E31" s="33"/>
      <c r="F31" s="4"/>
      <c r="G31" s="5"/>
      <c r="H31" s="33"/>
      <c r="I31" s="4"/>
      <c r="J31" s="5"/>
      <c r="K31" s="34">
        <f t="shared" si="9"/>
        <v>-0.35022056526882805</v>
      </c>
      <c r="L31" s="8">
        <f t="shared" si="10"/>
        <v>-0.35881846874428991</v>
      </c>
      <c r="M31" s="72">
        <f t="shared" si="11"/>
        <v>0.16752976910734407</v>
      </c>
      <c r="P31" s="82"/>
    </row>
    <row r="32" spans="1:16" x14ac:dyDescent="0.2">
      <c r="A32" s="6">
        <f t="shared" si="2"/>
        <v>5.75</v>
      </c>
      <c r="B32" s="8">
        <f t="shared" si="0"/>
        <v>0.77128056999110839</v>
      </c>
      <c r="C32" s="28">
        <f t="shared" si="1"/>
        <v>0.98696087145683831</v>
      </c>
      <c r="D32" s="36">
        <f t="shared" si="12"/>
        <v>8.766196232700231E-3</v>
      </c>
      <c r="E32" s="33"/>
      <c r="F32" s="15"/>
      <c r="G32" s="16"/>
      <c r="H32" s="33"/>
      <c r="I32" s="15"/>
      <c r="J32" s="16"/>
      <c r="K32" s="34">
        <f t="shared" si="9"/>
        <v>-0.35775269158117101</v>
      </c>
      <c r="L32" s="37">
        <f t="shared" si="10"/>
        <v>-0.36651888781387126</v>
      </c>
      <c r="M32" s="73">
        <f t="shared" si="11"/>
        <v>0.16671678503958898</v>
      </c>
      <c r="P32" s="82"/>
    </row>
    <row r="33" spans="1:16" x14ac:dyDescent="0.2">
      <c r="A33" s="6">
        <f t="shared" si="2"/>
        <v>6</v>
      </c>
      <c r="B33" s="8">
        <f t="shared" si="0"/>
        <v>0.76112962517615035</v>
      </c>
      <c r="C33" s="28">
        <f t="shared" si="1"/>
        <v>0.98683884281555923</v>
      </c>
      <c r="D33" s="36">
        <f t="shared" si="12"/>
        <v>8.9286453592054976E-3</v>
      </c>
      <c r="E33" s="33"/>
      <c r="F33" s="15"/>
      <c r="G33" s="16"/>
      <c r="H33" s="33"/>
      <c r="I33" s="15"/>
      <c r="J33" s="16"/>
      <c r="K33" s="34">
        <f t="shared" si="9"/>
        <v>-0.36493122575224191</v>
      </c>
      <c r="L33" s="37">
        <f t="shared" si="10"/>
        <v>-0.37385987111144736</v>
      </c>
      <c r="M33" s="73">
        <f t="shared" si="11"/>
        <v>0.16579855238760821</v>
      </c>
      <c r="P33" s="82"/>
    </row>
    <row r="34" spans="1:16" x14ac:dyDescent="0.2">
      <c r="A34" s="6">
        <f t="shared" si="2"/>
        <v>6.25</v>
      </c>
      <c r="B34" s="8">
        <f t="shared" si="0"/>
        <v>0.75102136650758378</v>
      </c>
      <c r="C34" s="28">
        <f t="shared" si="1"/>
        <v>0.98671939925314667</v>
      </c>
      <c r="D34" s="36">
        <f t="shared" si="12"/>
        <v>9.0856072328888687E-3</v>
      </c>
      <c r="E34" s="33"/>
      <c r="F34" s="15"/>
      <c r="G34" s="16"/>
      <c r="H34" s="33"/>
      <c r="I34" s="15"/>
      <c r="J34" s="16"/>
      <c r="K34" s="34">
        <f t="shared" si="9"/>
        <v>-0.37179370647817805</v>
      </c>
      <c r="L34" s="37">
        <f t="shared" si="10"/>
        <v>-0.38087931371106692</v>
      </c>
      <c r="M34" s="73">
        <f t="shared" si="11"/>
        <v>0.16478340737182129</v>
      </c>
      <c r="P34" s="82"/>
    </row>
    <row r="35" spans="1:16" x14ac:dyDescent="0.2">
      <c r="A35" s="6">
        <f t="shared" si="2"/>
        <v>6.5</v>
      </c>
      <c r="B35" s="8">
        <f t="shared" si="0"/>
        <v>0.74095947060043243</v>
      </c>
      <c r="C35" s="28">
        <f t="shared" si="1"/>
        <v>0.98660238395887268</v>
      </c>
      <c r="D35" s="36">
        <f t="shared" si="12"/>
        <v>9.2374031039151004E-3</v>
      </c>
      <c r="E35" s="33"/>
      <c r="F35" s="15"/>
      <c r="G35" s="16"/>
      <c r="H35" s="33"/>
      <c r="I35" s="15"/>
      <c r="J35" s="16"/>
      <c r="K35" s="34">
        <f t="shared" si="9"/>
        <v>-0.37837237880392066</v>
      </c>
      <c r="L35" s="37">
        <f t="shared" si="10"/>
        <v>-0.38760978190783574</v>
      </c>
      <c r="M35" s="73">
        <f t="shared" si="11"/>
        <v>0.16367905956136686</v>
      </c>
      <c r="P35" s="82"/>
    </row>
    <row r="36" spans="1:16" x14ac:dyDescent="0.2">
      <c r="A36" s="6">
        <f t="shared" si="2"/>
        <v>6.75</v>
      </c>
      <c r="B36" s="8">
        <f t="shared" si="0"/>
        <v>0.73094737087239425</v>
      </c>
      <c r="C36" s="28">
        <f t="shared" si="1"/>
        <v>0.98648765536403105</v>
      </c>
      <c r="D36" s="36">
        <f t="shared" si="12"/>
        <v>9.3843238729797249E-3</v>
      </c>
      <c r="E36" s="33"/>
      <c r="F36" s="15"/>
      <c r="G36" s="16"/>
      <c r="H36" s="33"/>
      <c r="I36" s="15"/>
      <c r="J36" s="16"/>
      <c r="K36" s="34">
        <f t="shared" si="9"/>
        <v>-0.38469511446262761</v>
      </c>
      <c r="L36" s="37">
        <f t="shared" si="10"/>
        <v>-0.39407943833560732</v>
      </c>
      <c r="M36" s="73">
        <f t="shared" si="11"/>
        <v>0.16249265624688203</v>
      </c>
      <c r="P36" s="82"/>
    </row>
    <row r="37" spans="1:16" x14ac:dyDescent="0.2">
      <c r="A37" s="6">
        <f t="shared" si="2"/>
        <v>7</v>
      </c>
      <c r="B37" s="8">
        <f t="shared" si="0"/>
        <v>0.72098827518065778</v>
      </c>
      <c r="C37" s="28">
        <f t="shared" si="1"/>
        <v>0.98637508514484407</v>
      </c>
      <c r="D37" s="36">
        <f t="shared" si="12"/>
        <v>9.526634057659987E-3</v>
      </c>
      <c r="E37" s="33"/>
      <c r="F37" s="15"/>
      <c r="G37" s="16"/>
      <c r="H37" s="33"/>
      <c r="I37" s="15"/>
      <c r="J37" s="16"/>
      <c r="K37" s="34">
        <f t="shared" si="9"/>
        <v>-0.3907861439874144</v>
      </c>
      <c r="L37" s="37">
        <f t="shared" si="10"/>
        <v>-0.40031277804507437</v>
      </c>
      <c r="M37" s="73">
        <f t="shared" si="11"/>
        <v>0.16123083784579939</v>
      </c>
      <c r="P37" s="82"/>
    </row>
    <row r="38" spans="1:16" x14ac:dyDescent="0.2">
      <c r="A38" s="6">
        <f t="shared" si="2"/>
        <v>7.25</v>
      </c>
      <c r="B38" s="8">
        <f t="shared" si="0"/>
        <v>0.71108518149862188</v>
      </c>
      <c r="C38" s="28">
        <f t="shared" si="1"/>
        <v>0.98626455654975187</v>
      </c>
      <c r="D38" s="36">
        <f t="shared" si="12"/>
        <v>9.6645751099327729E-3</v>
      </c>
      <c r="E38" s="33"/>
      <c r="F38" s="15"/>
      <c r="G38" s="16"/>
      <c r="H38" s="33"/>
      <c r="I38" s="15"/>
      <c r="J38" s="16"/>
      <c r="K38" s="34">
        <f t="shared" si="9"/>
        <v>-0.39666664446115829</v>
      </c>
      <c r="L38" s="37">
        <f t="shared" si="10"/>
        <v>-0.40633121957109108</v>
      </c>
      <c r="M38" s="73">
        <f t="shared" si="11"/>
        <v>0.15989978585994602</v>
      </c>
      <c r="P38" s="82"/>
    </row>
    <row r="39" spans="1:16" x14ac:dyDescent="0.2">
      <c r="A39" s="6">
        <f t="shared" si="2"/>
        <v>7.5</v>
      </c>
      <c r="B39" s="8">
        <f t="shared" si="0"/>
        <v>0.7012408919279175</v>
      </c>
      <c r="C39" s="28">
        <f t="shared" si="1"/>
        <v>0.98615596298891028</v>
      </c>
      <c r="D39" s="36">
        <f t="shared" si="12"/>
        <v>9.7983682105290577E-3</v>
      </c>
      <c r="E39" s="33"/>
      <c r="F39" s="15"/>
      <c r="G39" s="16"/>
      <c r="H39" s="33"/>
      <c r="I39" s="15"/>
      <c r="J39" s="16"/>
      <c r="K39" s="34">
        <f t="shared" si="9"/>
        <v>-0.40235521538170532</v>
      </c>
      <c r="L39" s="37">
        <f t="shared" si="10"/>
        <v>-0.41215358359223436</v>
      </c>
      <c r="M39" s="73">
        <f t="shared" si="11"/>
        <v>0.15850526461206604</v>
      </c>
      <c r="P39" s="82"/>
    </row>
    <row r="40" spans="1:16" x14ac:dyDescent="0.2">
      <c r="A40" s="6">
        <f t="shared" si="2"/>
        <v>7.75</v>
      </c>
      <c r="B40" s="8">
        <f t="shared" si="0"/>
        <v>0.6914580252874355</v>
      </c>
      <c r="C40" s="28">
        <f t="shared" si="1"/>
        <v>0.98604920683734509</v>
      </c>
      <c r="D40" s="36">
        <f t="shared" si="12"/>
        <v>9.9282166379519553E-3</v>
      </c>
      <c r="E40" s="33"/>
      <c r="F40" s="15"/>
      <c r="G40" s="16"/>
      <c r="H40" s="33"/>
      <c r="I40" s="15"/>
      <c r="J40" s="16"/>
      <c r="K40" s="34">
        <f t="shared" si="9"/>
        <v>-0.4078682669694238</v>
      </c>
      <c r="L40" s="37">
        <f t="shared" si="10"/>
        <v>-0.41779648360737576</v>
      </c>
      <c r="M40" s="73">
        <f t="shared" si="11"/>
        <v>0.15705265775701471</v>
      </c>
      <c r="P40" s="82"/>
    </row>
    <row r="41" spans="1:16" x14ac:dyDescent="0.2">
      <c r="A41" s="6">
        <f t="shared" si="2"/>
        <v>8</v>
      </c>
      <c r="B41" s="8">
        <f t="shared" si="0"/>
        <v>0.6817390284785908</v>
      </c>
      <c r="C41" s="28">
        <f t="shared" si="1"/>
        <v>0.98594419841348346</v>
      </c>
      <c r="D41" s="36">
        <f t="shared" si="12"/>
        <v>1.0054307789034132E-2</v>
      </c>
      <c r="E41" s="33"/>
      <c r="F41" s="15"/>
      <c r="G41" s="16"/>
      <c r="H41" s="33"/>
      <c r="I41" s="15"/>
      <c r="J41" s="16"/>
      <c r="K41" s="34">
        <f t="shared" si="9"/>
        <v>-0.41322033933894775</v>
      </c>
      <c r="L41" s="37">
        <f t="shared" si="10"/>
        <v>-0.42327464712798191</v>
      </c>
      <c r="M41" s="73">
        <f t="shared" si="11"/>
        <v>0.15554700037992419</v>
      </c>
      <c r="P41" s="82"/>
    </row>
    <row r="42" spans="1:16" x14ac:dyDescent="0.2">
      <c r="A42" s="6">
        <f t="shared" si="2"/>
        <v>8.25</v>
      </c>
      <c r="B42" s="8">
        <f t="shared" si="0"/>
        <v>0.67208618679217524</v>
      </c>
      <c r="C42" s="28">
        <f t="shared" si="1"/>
        <v>0.98584085510263741</v>
      </c>
      <c r="D42" s="36">
        <f t="shared" si="12"/>
        <v>1.017681491197739E-2</v>
      </c>
      <c r="E42" s="33"/>
      <c r="F42" s="15"/>
      <c r="G42" s="16"/>
      <c r="H42" s="33"/>
      <c r="I42" s="15"/>
      <c r="J42" s="16"/>
      <c r="K42" s="34">
        <f t="shared" si="9"/>
        <v>-0.41842436662410198</v>
      </c>
      <c r="L42" s="37">
        <f t="shared" si="10"/>
        <v>-0.4286011815360794</v>
      </c>
      <c r="M42" s="73">
        <f t="shared" si="11"/>
        <v>0.15399300734821597</v>
      </c>
      <c r="P42" s="82"/>
    </row>
    <row r="43" spans="1:16" x14ac:dyDescent="0.2">
      <c r="A43" s="6">
        <f t="shared" si="2"/>
        <v>8.5</v>
      </c>
      <c r="B43" s="8">
        <f t="shared" si="0"/>
        <v>0.66250163329491807</v>
      </c>
      <c r="C43" s="28">
        <f t="shared" si="1"/>
        <v>0.98573910060106484</v>
      </c>
      <c r="D43" s="36">
        <f t="shared" si="12"/>
        <v>1.029589860058145E-2</v>
      </c>
      <c r="E43" s="33"/>
      <c r="F43" s="15"/>
      <c r="G43" s="16"/>
      <c r="H43" s="33"/>
      <c r="I43" s="15"/>
      <c r="J43" s="16"/>
      <c r="K43" s="34">
        <f t="shared" si="9"/>
        <v>-0.42349189693283262</v>
      </c>
      <c r="L43" s="37">
        <f t="shared" si="10"/>
        <v>-0.43378779553341407</v>
      </c>
      <c r="M43" s="73">
        <f t="shared" si="11"/>
        <v>0.15239509846760591</v>
      </c>
      <c r="P43" s="82"/>
    </row>
    <row r="44" spans="1:16" x14ac:dyDescent="0.2">
      <c r="A44" s="6">
        <f t="shared" si="2"/>
        <v>8.75</v>
      </c>
      <c r="B44" s="8">
        <f t="shared" si="0"/>
        <v>0.65298735741181479</v>
      </c>
      <c r="C44" s="28">
        <f t="shared" si="1"/>
        <v>0.98563886426093095</v>
      </c>
      <c r="D44" s="36">
        <f t="shared" si="12"/>
        <v>1.0411708088886437E-2</v>
      </c>
      <c r="E44" s="33"/>
      <c r="F44" s="15"/>
      <c r="G44" s="16"/>
      <c r="H44" s="33"/>
      <c r="I44" s="15"/>
      <c r="J44" s="16"/>
      <c r="K44" s="34">
        <f t="shared" si="9"/>
        <v>-0.42843327660233388</v>
      </c>
      <c r="L44" s="37">
        <f t="shared" si="10"/>
        <v>-0.43884498469122035</v>
      </c>
      <c r="M44" s="73">
        <f t="shared" si="11"/>
        <v>0.15075742089843969</v>
      </c>
      <c r="P44" s="82"/>
    </row>
    <row r="45" spans="1:16" x14ac:dyDescent="0.2">
      <c r="A45" s="6">
        <f t="shared" si="2"/>
        <v>9</v>
      </c>
      <c r="B45" s="8">
        <f t="shared" si="0"/>
        <v>0.64354521280230015</v>
      </c>
      <c r="C45" s="28">
        <f t="shared" si="1"/>
        <v>0.98554008052018094</v>
      </c>
      <c r="D45" s="36">
        <f t="shared" si="12"/>
        <v>1.0524382378042159E-2</v>
      </c>
      <c r="E45" s="33"/>
      <c r="F45" s="15"/>
      <c r="G45" s="16"/>
      <c r="H45" s="33"/>
      <c r="I45" s="15"/>
      <c r="J45" s="16"/>
      <c r="K45" s="34">
        <f t="shared" si="9"/>
        <v>-0.43325780540417275</v>
      </c>
      <c r="L45" s="37">
        <f t="shared" si="10"/>
        <v>-0.44378218778221495</v>
      </c>
      <c r="M45" s="73">
        <f t="shared" si="11"/>
        <v>0.14908386921231032</v>
      </c>
      <c r="P45" s="82"/>
    </row>
    <row r="46" spans="1:16" x14ac:dyDescent="0.2">
      <c r="A46" s="6">
        <f t="shared" si="2"/>
        <v>9.25</v>
      </c>
      <c r="B46" s="8">
        <f t="shared" si="0"/>
        <v>0.63417692461358166</v>
      </c>
      <c r="C46" s="28">
        <f t="shared" si="1"/>
        <v>0.98544268840424665</v>
      </c>
      <c r="D46" s="36">
        <f t="shared" si="12"/>
        <v>1.0634051221378124E-2</v>
      </c>
      <c r="E46" s="33"/>
      <c r="F46" s="15"/>
      <c r="G46" s="16"/>
      <c r="H46" s="33"/>
      <c r="I46" s="15"/>
      <c r="J46" s="16"/>
      <c r="K46" s="34">
        <f t="shared" si="9"/>
        <v>-0.43797386795983911</v>
      </c>
      <c r="L46" s="37">
        <f t="shared" si="10"/>
        <v>-0.44860791918121729</v>
      </c>
      <c r="M46" s="73">
        <f t="shared" si="11"/>
        <v>0.14737810340780533</v>
      </c>
      <c r="P46" s="82"/>
    </row>
    <row r="47" spans="1:16" x14ac:dyDescent="0.2">
      <c r="A47" s="6">
        <f t="shared" si="2"/>
        <v>9.5</v>
      </c>
      <c r="B47" s="8">
        <f t="shared" si="0"/>
        <v>0.62488409618226315</v>
      </c>
      <c r="C47" s="28">
        <f t="shared" si="1"/>
        <v>0.98534663108882303</v>
      </c>
      <c r="D47" s="36">
        <f t="shared" si="12"/>
        <v>1.0740835989013691E-2</v>
      </c>
      <c r="E47" s="33"/>
      <c r="F47" s="15"/>
      <c r="G47" s="16"/>
      <c r="H47" s="33"/>
      <c r="I47" s="15"/>
      <c r="J47" s="16"/>
      <c r="K47" s="34">
        <f t="shared" si="9"/>
        <v>-0.44258904555781525</v>
      </c>
      <c r="L47" s="37">
        <f t="shared" si="10"/>
        <v>-0.45332988154682891</v>
      </c>
      <c r="M47" s="73">
        <f t="shared" si="11"/>
        <v>0.14564356515304466</v>
      </c>
      <c r="P47" s="82"/>
    </row>
    <row r="48" spans="1:16" x14ac:dyDescent="0.2">
      <c r="A48" s="6">
        <f t="shared" si="2"/>
        <v>9.75</v>
      </c>
      <c r="B48" s="8">
        <f t="shared" si="0"/>
        <v>0.61566821524526849</v>
      </c>
      <c r="C48" s="28">
        <f t="shared" si="1"/>
        <v>0.98525185551480798</v>
      </c>
      <c r="D48" s="36">
        <f t="shared" si="12"/>
        <v>1.0844850429643168E-2</v>
      </c>
      <c r="E48" s="33"/>
      <c r="F48" s="15"/>
      <c r="G48" s="16"/>
      <c r="H48" s="33"/>
      <c r="I48" s="15"/>
      <c r="J48" s="16"/>
      <c r="K48" s="34">
        <f t="shared" si="9"/>
        <v>-0.44711021173417032</v>
      </c>
      <c r="L48" s="37">
        <f t="shared" si="10"/>
        <v>-0.45795506216381343</v>
      </c>
      <c r="M48" s="73">
        <f t="shared" si="11"/>
        <v>0.14388349248157517</v>
      </c>
      <c r="P48" s="82"/>
    </row>
    <row r="49" spans="1:16" x14ac:dyDescent="0.2">
      <c r="A49" s="9">
        <f t="shared" si="2"/>
        <v>10</v>
      </c>
      <c r="B49" s="66">
        <f t="shared" si="0"/>
        <v>0.60653065971263342</v>
      </c>
      <c r="C49" s="30">
        <f t="shared" si="1"/>
        <v>0.98515831204799997</v>
      </c>
      <c r="D49" s="75">
        <f t="shared" si="12"/>
        <v>1.0946201344150171E-2</v>
      </c>
      <c r="E49" s="35"/>
      <c r="F49" s="23"/>
      <c r="G49" s="21"/>
      <c r="H49" s="35"/>
      <c r="I49" s="23"/>
      <c r="J49" s="21"/>
      <c r="K49" s="38">
        <f t="shared" si="9"/>
        <v>-0.45154361432953766</v>
      </c>
      <c r="L49" s="39">
        <f t="shared" si="10"/>
        <v>-0.4624898156736878</v>
      </c>
      <c r="M49" s="74">
        <f t="shared" si="11"/>
        <v>0.14210093313392902</v>
      </c>
      <c r="P49" s="82"/>
    </row>
  </sheetData>
  <customSheetViews>
    <customSheetView guid="{4B0C3F6F-F662-4DAE-ADBE-0ABF48CD31B6}">
      <selection activeCell="H4" sqref="H4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5DD8D364-752E-485B-91C5-5F41496F91AB}">
      <selection activeCell="B2" sqref="B2:B3"/>
      <pageMargins left="0.75" right="0.75" top="1" bottom="1" header="0.5" footer="0.5"/>
      <pageSetup orientation="portrait" horizontalDpi="300" verticalDpi="300" r:id="rId2"/>
      <headerFooter alignWithMargins="0"/>
    </customSheetView>
  </customSheetViews>
  <mergeCells count="4">
    <mergeCell ref="H7:I7"/>
    <mergeCell ref="K7:L7"/>
    <mergeCell ref="C3:D3"/>
    <mergeCell ref="E7:F7"/>
  </mergeCells>
  <phoneticPr fontId="2" type="noConversion"/>
  <pageMargins left="0.75" right="0.75" top="1" bottom="1" header="0.5" footer="0.5"/>
  <pageSetup orientation="portrait" horizontalDpi="300" verticalDpi="300" r:id="rId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7"/>
  <sheetViews>
    <sheetView workbookViewId="0">
      <selection activeCell="J32" sqref="J32"/>
    </sheetView>
  </sheetViews>
  <sheetFormatPr defaultRowHeight="12.75" x14ac:dyDescent="0.2"/>
  <cols>
    <col min="1" max="1" width="12" customWidth="1"/>
    <col min="3" max="3" width="12.28515625" customWidth="1"/>
    <col min="5" max="5" width="10.140625" customWidth="1"/>
    <col min="7" max="7" width="10.5703125" customWidth="1"/>
    <col min="9" max="9" width="12.85546875" customWidth="1"/>
    <col min="10" max="10" width="12" customWidth="1"/>
    <col min="11" max="11" width="12.42578125" customWidth="1"/>
    <col min="12" max="12" width="12" customWidth="1"/>
  </cols>
  <sheetData>
    <row r="2" spans="1:12" x14ac:dyDescent="0.2">
      <c r="E2" s="94"/>
      <c r="F2" s="95" t="s">
        <v>46</v>
      </c>
      <c r="G2" s="96">
        <v>0.04</v>
      </c>
      <c r="I2" s="161" t="s">
        <v>49</v>
      </c>
      <c r="J2" s="161"/>
      <c r="K2" s="161"/>
      <c r="L2" s="161"/>
    </row>
    <row r="3" spans="1:12" x14ac:dyDescent="0.2">
      <c r="E3" s="97"/>
      <c r="F3" s="98" t="s">
        <v>45</v>
      </c>
      <c r="G3" s="99">
        <v>10</v>
      </c>
      <c r="I3" s="100" t="s">
        <v>19</v>
      </c>
      <c r="J3" s="101" t="s">
        <v>39</v>
      </c>
      <c r="K3" s="12" t="s">
        <v>47</v>
      </c>
      <c r="L3" s="13" t="s">
        <v>48</v>
      </c>
    </row>
    <row r="4" spans="1:12" x14ac:dyDescent="0.2">
      <c r="I4" s="103">
        <f>G5</f>
        <v>13.796920229686604</v>
      </c>
      <c r="J4" s="104">
        <f>'Problem 2'!M7</f>
        <v>6.3728467584460073</v>
      </c>
      <c r="K4" s="104">
        <f>100*(1-B47-cap_strike*0.25*SUM(B8:B47))</f>
        <v>7.4240734712406606</v>
      </c>
      <c r="L4" s="102">
        <f>K4-(I4-J4)</f>
        <v>6.3948846218409017E-14</v>
      </c>
    </row>
    <row r="5" spans="1:12" x14ac:dyDescent="0.2">
      <c r="A5" s="4"/>
      <c r="B5" s="4"/>
      <c r="C5" s="4"/>
      <c r="D5" s="4"/>
      <c r="E5" s="158" t="s">
        <v>44</v>
      </c>
      <c r="F5" s="158"/>
      <c r="G5" s="71">
        <f>SUM(G9:G47)</f>
        <v>13.796920229686604</v>
      </c>
    </row>
    <row r="6" spans="1:12" ht="14.25" x14ac:dyDescent="0.2">
      <c r="A6" s="24" t="s">
        <v>12</v>
      </c>
      <c r="B6" s="25" t="s">
        <v>13</v>
      </c>
      <c r="C6" s="25" t="s">
        <v>14</v>
      </c>
      <c r="D6" s="29" t="s">
        <v>2</v>
      </c>
      <c r="E6" s="24" t="s">
        <v>3</v>
      </c>
      <c r="F6" s="25" t="s">
        <v>4</v>
      </c>
      <c r="G6" s="29" t="s">
        <v>16</v>
      </c>
      <c r="J6" s="93"/>
      <c r="L6" s="92"/>
    </row>
    <row r="7" spans="1:12" x14ac:dyDescent="0.2">
      <c r="A7" s="90">
        <v>0</v>
      </c>
      <c r="B7" s="4">
        <f>EXP(-(0.03+0.02*SQRT(A7/10))*A7)</f>
        <v>1</v>
      </c>
      <c r="C7" s="7"/>
      <c r="D7" s="5"/>
      <c r="E7" s="32"/>
      <c r="F7" s="4"/>
      <c r="G7" s="5"/>
    </row>
    <row r="8" spans="1:12" x14ac:dyDescent="0.2">
      <c r="A8" s="90">
        <f>A7+0.25</f>
        <v>0.25</v>
      </c>
      <c r="B8" s="8">
        <f t="shared" ref="B8:B47" si="0">EXP(-(0.03+0.02*SQRT(A8/10))*A8)</f>
        <v>0.9917437025787248</v>
      </c>
      <c r="C8" s="28">
        <f t="shared" ref="C8:C47" si="1">B8/B7</f>
        <v>0.9917437025787248</v>
      </c>
      <c r="D8" s="5"/>
      <c r="E8" s="33"/>
      <c r="F8" s="4"/>
      <c r="G8" s="72">
        <f>100*MAX(1-(1+delta_t*cap_strike)*B8,0)</f>
        <v>0</v>
      </c>
    </row>
    <row r="9" spans="1:12" x14ac:dyDescent="0.2">
      <c r="A9" s="90">
        <f t="shared" ref="A9:A47" si="2">A8+0.25</f>
        <v>0.5</v>
      </c>
      <c r="B9" s="8">
        <f t="shared" si="0"/>
        <v>0.98291162328589055</v>
      </c>
      <c r="C9" s="28">
        <f t="shared" si="1"/>
        <v>0.99109439337011251</v>
      </c>
      <c r="D9" s="36">
        <f t="shared" ref="D9:D47" si="3">sigma*B*SQRT(IF(mean_rev&gt;0.0000001,(1-EXP(-2*mean_rev*A8))/(2*mean_rev),A8))</f>
        <v>2.0322261668403461E-3</v>
      </c>
      <c r="E9" s="34">
        <f t="shared" ref="E9:E47" si="4">LN($C9*(1+delta_t*cap_strike))/$D9+$D9/2</f>
        <v>0.49546515970344251</v>
      </c>
      <c r="F9" s="31">
        <f t="shared" ref="F9:F47" si="5">LN($C9*(1+delta_t*cap_strike))/$D9-$D9/2</f>
        <v>0.49343293353660211</v>
      </c>
      <c r="G9" s="72">
        <f t="shared" ref="G9:G47" si="6">100*($B8*_xlfn.NORM.S.DIST(-F9,TRUE)-$B9*(1+delta_t*cap_strike)*_xlfn.NORM.S.DIST(-E9,TRUE))</f>
        <v>4.023133038375537E-2</v>
      </c>
    </row>
    <row r="10" spans="1:12" x14ac:dyDescent="0.2">
      <c r="A10" s="90">
        <f t="shared" si="2"/>
        <v>0.75</v>
      </c>
      <c r="B10" s="8">
        <f t="shared" si="0"/>
        <v>0.97374295262272548</v>
      </c>
      <c r="C10" s="28">
        <f t="shared" si="1"/>
        <v>0.99067192772376211</v>
      </c>
      <c r="D10" s="36">
        <f t="shared" si="3"/>
        <v>2.8622396398303709E-3</v>
      </c>
      <c r="E10" s="34">
        <f t="shared" si="4"/>
        <v>0.20353846307970702</v>
      </c>
      <c r="F10" s="31">
        <f t="shared" si="5"/>
        <v>0.20067622343987668</v>
      </c>
      <c r="G10" s="72">
        <f t="shared" si="6"/>
        <v>8.6115216053544996E-2</v>
      </c>
    </row>
    <row r="11" spans="1:12" x14ac:dyDescent="0.2">
      <c r="A11" s="90">
        <f t="shared" si="2"/>
        <v>1</v>
      </c>
      <c r="B11" s="8">
        <f t="shared" si="0"/>
        <v>0.96432726514391609</v>
      </c>
      <c r="C11" s="28">
        <f t="shared" si="1"/>
        <v>0.99033041784441289</v>
      </c>
      <c r="D11" s="36">
        <f t="shared" si="3"/>
        <v>3.4912060883685726E-3</v>
      </c>
      <c r="E11" s="34">
        <f t="shared" si="4"/>
        <v>6.8683706440201678E-2</v>
      </c>
      <c r="F11" s="31">
        <f t="shared" si="5"/>
        <v>6.5192500351833119E-2</v>
      </c>
      <c r="G11" s="72">
        <f t="shared" si="6"/>
        <v>0.12456220150868225</v>
      </c>
    </row>
    <row r="12" spans="1:12" x14ac:dyDescent="0.2">
      <c r="A12" s="90">
        <f t="shared" si="2"/>
        <v>1.25</v>
      </c>
      <c r="B12" s="8">
        <f t="shared" si="0"/>
        <v>0.95471841558956494</v>
      </c>
      <c r="C12" s="28">
        <f t="shared" si="1"/>
        <v>0.99003569648845602</v>
      </c>
      <c r="D12" s="36">
        <f t="shared" si="3"/>
        <v>4.014889791276813E-3</v>
      </c>
      <c r="E12" s="34">
        <f t="shared" si="4"/>
        <v>-1.3920412318760006E-2</v>
      </c>
      <c r="F12" s="31">
        <f t="shared" si="5"/>
        <v>-1.793530211003682E-2</v>
      </c>
      <c r="G12" s="72">
        <f t="shared" si="6"/>
        <v>0.15755501305099173</v>
      </c>
    </row>
    <row r="13" spans="1:12" x14ac:dyDescent="0.2">
      <c r="A13" s="90">
        <f t="shared" si="2"/>
        <v>1.5</v>
      </c>
      <c r="B13" s="8">
        <f t="shared" si="0"/>
        <v>0.94495407548597599</v>
      </c>
      <c r="C13" s="28">
        <f t="shared" si="1"/>
        <v>0.98977254450721031</v>
      </c>
      <c r="D13" s="36">
        <f t="shared" si="3"/>
        <v>4.470564008296379E-3</v>
      </c>
      <c r="E13" s="34">
        <f t="shared" si="4"/>
        <v>-7.1532685529790432E-2</v>
      </c>
      <c r="F13" s="31">
        <f t="shared" si="5"/>
        <v>-7.6003249538086806E-2</v>
      </c>
      <c r="G13" s="72">
        <f t="shared" si="6"/>
        <v>0.18644849943820763</v>
      </c>
    </row>
    <row r="14" spans="1:12" x14ac:dyDescent="0.2">
      <c r="A14" s="90">
        <f t="shared" si="2"/>
        <v>1.75</v>
      </c>
      <c r="B14" s="8">
        <f t="shared" si="0"/>
        <v>0.935062833390366</v>
      </c>
      <c r="C14" s="28">
        <f t="shared" si="1"/>
        <v>0.98953256845786597</v>
      </c>
      <c r="D14" s="36">
        <f t="shared" si="3"/>
        <v>4.8774354550826819E-3</v>
      </c>
      <c r="E14" s="34">
        <f t="shared" si="4"/>
        <v>-0.11489129674957425</v>
      </c>
      <c r="F14" s="31">
        <f t="shared" si="5"/>
        <v>-0.11976873220465693</v>
      </c>
      <c r="G14" s="72">
        <f t="shared" si="6"/>
        <v>0.21211230824618177</v>
      </c>
    </row>
    <row r="15" spans="1:12" x14ac:dyDescent="0.2">
      <c r="A15" s="90">
        <f t="shared" si="2"/>
        <v>2</v>
      </c>
      <c r="B15" s="8">
        <f t="shared" si="0"/>
        <v>0.92506752529054881</v>
      </c>
      <c r="C15" s="28">
        <f t="shared" si="1"/>
        <v>0.98931054925627182</v>
      </c>
      <c r="D15" s="36">
        <f t="shared" si="3"/>
        <v>5.2469680972813777E-3</v>
      </c>
      <c r="E15" s="34">
        <f t="shared" si="4"/>
        <v>-0.14920943883432083</v>
      </c>
      <c r="F15" s="31">
        <f t="shared" si="5"/>
        <v>-0.1544564069316022</v>
      </c>
      <c r="G15" s="72">
        <f t="shared" si="6"/>
        <v>0.23513522038300927</v>
      </c>
    </row>
    <row r="16" spans="1:12" x14ac:dyDescent="0.2">
      <c r="A16" s="90">
        <f t="shared" si="2"/>
        <v>2.25</v>
      </c>
      <c r="B16" s="8">
        <f t="shared" si="0"/>
        <v>0.91498704323467583</v>
      </c>
      <c r="C16" s="28">
        <f t="shared" si="1"/>
        <v>0.98910297704731676</v>
      </c>
      <c r="D16" s="36">
        <f t="shared" si="3"/>
        <v>5.586667204889666E-3</v>
      </c>
      <c r="E16" s="34">
        <f t="shared" si="4"/>
        <v>-0.17736766329553072</v>
      </c>
      <c r="F16" s="31">
        <f t="shared" si="5"/>
        <v>-0.18295433050042037</v>
      </c>
      <c r="G16" s="72">
        <f t="shared" si="6"/>
        <v>0.25593705168139858</v>
      </c>
    </row>
    <row r="17" spans="1:7" x14ac:dyDescent="0.2">
      <c r="A17" s="90">
        <f t="shared" si="2"/>
        <v>2.5</v>
      </c>
      <c r="B17" s="8">
        <f t="shared" si="0"/>
        <v>0.90483741803595952</v>
      </c>
      <c r="C17" s="28">
        <f t="shared" si="1"/>
        <v>0.98890735636776317</v>
      </c>
      <c r="D17" s="36">
        <f t="shared" si="3"/>
        <v>5.9017712499887208E-3</v>
      </c>
      <c r="E17" s="34">
        <f t="shared" si="4"/>
        <v>-0.20110564074372575</v>
      </c>
      <c r="F17" s="31">
        <f t="shared" si="5"/>
        <v>-0.20700741199371445</v>
      </c>
      <c r="G17" s="72">
        <f t="shared" si="6"/>
        <v>0.27483014720400822</v>
      </c>
    </row>
    <row r="18" spans="1:7" x14ac:dyDescent="0.2">
      <c r="A18" s="90">
        <f t="shared" si="2"/>
        <v>2.75</v>
      </c>
      <c r="B18" s="8">
        <f t="shared" si="0"/>
        <v>0.89463251452254311</v>
      </c>
      <c r="C18" s="28">
        <f t="shared" si="1"/>
        <v>0.98872183741520414</v>
      </c>
      <c r="D18" s="36">
        <f t="shared" si="3"/>
        <v>6.1961130334810483E-3</v>
      </c>
      <c r="E18" s="34">
        <f t="shared" si="4"/>
        <v>-0.22154479037610741</v>
      </c>
      <c r="F18" s="31">
        <f t="shared" si="5"/>
        <v>-0.22774090340958847</v>
      </c>
      <c r="G18" s="72">
        <f t="shared" si="6"/>
        <v>0.29205503153186818</v>
      </c>
    </row>
    <row r="19" spans="1:7" x14ac:dyDescent="0.2">
      <c r="A19" s="90">
        <f t="shared" si="2"/>
        <v>3</v>
      </c>
      <c r="B19" s="8">
        <f t="shared" si="0"/>
        <v>0.8843845023953113</v>
      </c>
      <c r="C19" s="28">
        <f t="shared" si="1"/>
        <v>0.98854500371842502</v>
      </c>
      <c r="D19" s="36">
        <f t="shared" si="3"/>
        <v>6.4726003386499E-3</v>
      </c>
      <c r="E19" s="34">
        <f t="shared" si="4"/>
        <v>-0.23944503195048378</v>
      </c>
      <c r="F19" s="31">
        <f t="shared" si="5"/>
        <v>-0.24591763228913366</v>
      </c>
      <c r="G19" s="72">
        <f t="shared" si="6"/>
        <v>0.30780220710595607</v>
      </c>
    </row>
    <row r="20" spans="1:7" x14ac:dyDescent="0.2">
      <c r="A20" s="90">
        <f t="shared" si="2"/>
        <v>3.25</v>
      </c>
      <c r="B20" s="8">
        <f t="shared" si="0"/>
        <v>0.87410418876714069</v>
      </c>
      <c r="C20" s="28">
        <f t="shared" si="1"/>
        <v>0.98837574199872691</v>
      </c>
      <c r="D20" s="36">
        <f t="shared" si="3"/>
        <v>6.7335035115266848E-3</v>
      </c>
      <c r="E20" s="34">
        <f t="shared" si="4"/>
        <v>-0.25534210749736208</v>
      </c>
      <c r="F20" s="31">
        <f t="shared" si="5"/>
        <v>-0.26207561100888876</v>
      </c>
      <c r="G20" s="72">
        <f t="shared" si="6"/>
        <v>0.32222611562158221</v>
      </c>
    </row>
    <row r="21" spans="1:7" x14ac:dyDescent="0.2">
      <c r="A21" s="90">
        <f t="shared" si="2"/>
        <v>3.5</v>
      </c>
      <c r="B21" s="8">
        <f t="shared" si="0"/>
        <v>0.86380126112632272</v>
      </c>
      <c r="C21" s="28">
        <f t="shared" si="1"/>
        <v>0.98821315837034318</v>
      </c>
      <c r="D21" s="36">
        <f t="shared" si="3"/>
        <v>6.980637132571129E-3</v>
      </c>
      <c r="E21" s="34">
        <f t="shared" si="4"/>
        <v>-0.26962605700228698</v>
      </c>
      <c r="F21" s="31">
        <f t="shared" si="5"/>
        <v>-0.27660669413485811</v>
      </c>
      <c r="G21" s="72">
        <f t="shared" si="6"/>
        <v>0.33545443963109989</v>
      </c>
    </row>
    <row r="22" spans="1:7" x14ac:dyDescent="0.2">
      <c r="A22" s="90">
        <f t="shared" si="2"/>
        <v>3.75</v>
      </c>
      <c r="B22" s="8">
        <f t="shared" si="0"/>
        <v>0.85348446991542781</v>
      </c>
      <c r="C22" s="28">
        <f t="shared" si="1"/>
        <v>0.98805652217103423</v>
      </c>
      <c r="D22" s="36">
        <f t="shared" si="3"/>
        <v>7.2154799180041088E-3</v>
      </c>
      <c r="E22" s="34">
        <f t="shared" si="4"/>
        <v>-0.28258851667064289</v>
      </c>
      <c r="F22" s="31">
        <f t="shared" si="5"/>
        <v>-0.28980399658864697</v>
      </c>
      <c r="G22" s="72">
        <f t="shared" si="6"/>
        <v>0.34759451081404213</v>
      </c>
    </row>
    <row r="23" spans="1:7" x14ac:dyDescent="0.2">
      <c r="A23" s="90">
        <f t="shared" si="2"/>
        <v>4</v>
      </c>
      <c r="B23" s="8">
        <f t="shared" si="0"/>
        <v>0.84316176902552231</v>
      </c>
      <c r="C23" s="28">
        <f t="shared" si="1"/>
        <v>0.98790522703836847</v>
      </c>
      <c r="D23" s="36">
        <f t="shared" si="3"/>
        <v>7.4392567586048074E-3</v>
      </c>
      <c r="E23" s="34">
        <f t="shared" si="4"/>
        <v>-0.29445250148780383</v>
      </c>
      <c r="F23" s="31">
        <f t="shared" si="5"/>
        <v>-0.30189175824640863</v>
      </c>
      <c r="G23" s="72">
        <f t="shared" si="6"/>
        <v>0.35873785333714325</v>
      </c>
    </row>
    <row r="24" spans="1:7" x14ac:dyDescent="0.2">
      <c r="A24" s="90">
        <f t="shared" si="2"/>
        <v>4.25</v>
      </c>
      <c r="B24" s="8">
        <f t="shared" si="0"/>
        <v>0.8328404261234621</v>
      </c>
      <c r="C24" s="28">
        <f t="shared" si="1"/>
        <v>0.98775876316831934</v>
      </c>
      <c r="D24" s="36">
        <f t="shared" si="3"/>
        <v>7.6529965757182045E-3</v>
      </c>
      <c r="E24" s="34">
        <f t="shared" si="4"/>
        <v>-0.30539185885459663</v>
      </c>
      <c r="F24" s="31">
        <f t="shared" si="5"/>
        <v>-0.31304485543031479</v>
      </c>
      <c r="G24" s="72">
        <f t="shared" si="6"/>
        <v>0.36896348572782456</v>
      </c>
    </row>
    <row r="25" spans="1:7" x14ac:dyDescent="0.2">
      <c r="A25" s="90">
        <f t="shared" si="2"/>
        <v>4.5</v>
      </c>
      <c r="B25" s="8">
        <f t="shared" si="0"/>
        <v>0.82252711082826713</v>
      </c>
      <c r="C25" s="28">
        <f t="shared" si="1"/>
        <v>0.98761669706260624</v>
      </c>
      <c r="D25" s="36">
        <f t="shared" si="3"/>
        <v>7.8575741870197269E-3</v>
      </c>
      <c r="E25" s="34">
        <f t="shared" si="4"/>
        <v>-0.31554437795155532</v>
      </c>
      <c r="F25" s="31">
        <f t="shared" si="5"/>
        <v>-0.32340195213857503</v>
      </c>
      <c r="G25" s="72">
        <f t="shared" si="6"/>
        <v>0.3783403727541601</v>
      </c>
    </row>
    <row r="26" spans="1:7" x14ac:dyDescent="0.2">
      <c r="A26" s="90">
        <f t="shared" si="2"/>
        <v>4.75</v>
      </c>
      <c r="B26" s="8">
        <f t="shared" si="0"/>
        <v>0.81222796627979743</v>
      </c>
      <c r="C26" s="28">
        <f t="shared" si="1"/>
        <v>0.98747865643224975</v>
      </c>
      <c r="D26" s="36">
        <f t="shared" si="3"/>
        <v>8.0537412812947164E-3</v>
      </c>
      <c r="E26" s="34">
        <f t="shared" si="4"/>
        <v>-0.32502086434447353</v>
      </c>
      <c r="F26" s="31">
        <f t="shared" si="5"/>
        <v>-0.33307460562576829</v>
      </c>
      <c r="G26" s="72">
        <f t="shared" si="6"/>
        <v>0.38692928087609157</v>
      </c>
    </row>
    <row r="27" spans="1:7" x14ac:dyDescent="0.2">
      <c r="A27" s="90">
        <f t="shared" si="2"/>
        <v>5</v>
      </c>
      <c r="B27" s="8">
        <f t="shared" si="0"/>
        <v>0.80194866802638853</v>
      </c>
      <c r="C27" s="28">
        <f t="shared" si="1"/>
        <v>0.98734431873789008</v>
      </c>
      <c r="D27" s="36">
        <f t="shared" si="3"/>
        <v>8.242149782853812E-3</v>
      </c>
      <c r="E27" s="34">
        <f t="shared" si="4"/>
        <v>-0.33391157028740026</v>
      </c>
      <c r="F27" s="31">
        <f t="shared" si="5"/>
        <v>-0.34215372007025402</v>
      </c>
      <c r="G27" s="72">
        <f t="shared" si="6"/>
        <v>0.39478420603131781</v>
      </c>
    </row>
    <row r="28" spans="1:7" x14ac:dyDescent="0.2">
      <c r="A28" s="90">
        <f t="shared" si="2"/>
        <v>5.25</v>
      </c>
      <c r="B28" s="8">
        <f t="shared" si="0"/>
        <v>0.79169447307233143</v>
      </c>
      <c r="C28" s="28">
        <f t="shared" si="1"/>
        <v>0.98721340234993737</v>
      </c>
      <c r="D28" s="36">
        <f t="shared" si="3"/>
        <v>8.4233697776083874E-3</v>
      </c>
      <c r="E28" s="34">
        <f t="shared" si="4"/>
        <v>-0.34229084589528691</v>
      </c>
      <c r="F28" s="31">
        <f t="shared" si="5"/>
        <v>-0.35071421567289529</v>
      </c>
      <c r="G28" s="72">
        <f t="shared" si="6"/>
        <v>0.40195348881881809</v>
      </c>
    </row>
    <row r="29" spans="1:7" x14ac:dyDescent="0.2">
      <c r="A29" s="90">
        <f t="shared" si="2"/>
        <v>5.5</v>
      </c>
      <c r="B29" s="8">
        <f t="shared" si="0"/>
        <v>0.7814702611792832</v>
      </c>
      <c r="C29" s="28">
        <f t="shared" si="1"/>
        <v>0.98708565963158601</v>
      </c>
      <c r="D29" s="36">
        <f t="shared" si="3"/>
        <v>8.5979034754618631E-3</v>
      </c>
      <c r="E29" s="34">
        <f t="shared" si="4"/>
        <v>-0.35022056526882805</v>
      </c>
      <c r="F29" s="31">
        <f t="shared" si="5"/>
        <v>-0.35881846874428991</v>
      </c>
      <c r="G29" s="72">
        <f t="shared" si="6"/>
        <v>0.40848069723288249</v>
      </c>
    </row>
    <row r="30" spans="1:7" x14ac:dyDescent="0.2">
      <c r="A30" s="90">
        <f t="shared" si="2"/>
        <v>5.75</v>
      </c>
      <c r="B30" s="8">
        <f t="shared" si="0"/>
        <v>0.77128056999110839</v>
      </c>
      <c r="C30" s="28">
        <f t="shared" si="1"/>
        <v>0.98696087145683831</v>
      </c>
      <c r="D30" s="36">
        <f t="shared" si="3"/>
        <v>8.766196232700231E-3</v>
      </c>
      <c r="E30" s="34">
        <f t="shared" si="4"/>
        <v>-0.35775269158117101</v>
      </c>
      <c r="F30" s="31">
        <f t="shared" si="5"/>
        <v>-0.36651888781387126</v>
      </c>
      <c r="G30" s="72">
        <f t="shared" si="6"/>
        <v>0.41440533386596368</v>
      </c>
    </row>
    <row r="31" spans="1:7" x14ac:dyDescent="0.2">
      <c r="A31" s="90">
        <f t="shared" si="2"/>
        <v>6</v>
      </c>
      <c r="B31" s="8">
        <f t="shared" si="0"/>
        <v>0.76112962517615035</v>
      </c>
      <c r="C31" s="28">
        <f t="shared" si="1"/>
        <v>0.98683884281555923</v>
      </c>
      <c r="D31" s="36">
        <f t="shared" si="3"/>
        <v>8.9286453592054976E-3</v>
      </c>
      <c r="E31" s="34">
        <f t="shared" si="4"/>
        <v>-0.36493122575224191</v>
      </c>
      <c r="F31" s="31">
        <f t="shared" si="5"/>
        <v>-0.37385987111144736</v>
      </c>
      <c r="G31" s="72">
        <f t="shared" si="6"/>
        <v>0.41976340870726325</v>
      </c>
    </row>
    <row r="32" spans="1:7" x14ac:dyDescent="0.2">
      <c r="A32" s="90">
        <f t="shared" si="2"/>
        <v>6.25</v>
      </c>
      <c r="B32" s="8">
        <f t="shared" si="0"/>
        <v>0.75102136650758378</v>
      </c>
      <c r="C32" s="28">
        <f t="shared" si="1"/>
        <v>0.98671939925314667</v>
      </c>
      <c r="D32" s="36">
        <f t="shared" si="3"/>
        <v>9.0856072328888687E-3</v>
      </c>
      <c r="E32" s="34">
        <f t="shared" si="4"/>
        <v>-0.37179370647817805</v>
      </c>
      <c r="F32" s="31">
        <f t="shared" si="5"/>
        <v>-0.38087931371106692</v>
      </c>
      <c r="G32" s="72">
        <f t="shared" si="6"/>
        <v>0.42458790772089139</v>
      </c>
    </row>
    <row r="33" spans="1:7" x14ac:dyDescent="0.2">
      <c r="A33" s="90">
        <f t="shared" si="2"/>
        <v>6.5</v>
      </c>
      <c r="B33" s="8">
        <f t="shared" si="0"/>
        <v>0.74095947060043243</v>
      </c>
      <c r="C33" s="28">
        <f t="shared" si="1"/>
        <v>0.98660238395887268</v>
      </c>
      <c r="D33" s="36">
        <f t="shared" si="3"/>
        <v>9.2374031039151004E-3</v>
      </c>
      <c r="E33" s="34">
        <f t="shared" si="4"/>
        <v>-0.37837237880392066</v>
      </c>
      <c r="F33" s="31">
        <f t="shared" si="5"/>
        <v>-0.38760978190783574</v>
      </c>
      <c r="G33" s="72">
        <f t="shared" si="6"/>
        <v>0.42890917967606801</v>
      </c>
    </row>
    <row r="34" spans="1:7" x14ac:dyDescent="0.2">
      <c r="A34" s="90">
        <f t="shared" si="2"/>
        <v>6.75</v>
      </c>
      <c r="B34" s="8">
        <f t="shared" si="0"/>
        <v>0.73094737087239425</v>
      </c>
      <c r="C34" s="28">
        <f t="shared" si="1"/>
        <v>0.98648765536403105</v>
      </c>
      <c r="D34" s="36">
        <f t="shared" si="3"/>
        <v>9.3843238729797249E-3</v>
      </c>
      <c r="E34" s="34">
        <f t="shared" si="4"/>
        <v>-0.38469511446262761</v>
      </c>
      <c r="F34" s="31">
        <f t="shared" si="5"/>
        <v>-0.39407943833560732</v>
      </c>
      <c r="G34" s="72">
        <f t="shared" si="6"/>
        <v>0.43275525817830784</v>
      </c>
    </row>
    <row r="35" spans="1:7" x14ac:dyDescent="0.2">
      <c r="A35" s="90">
        <f t="shared" si="2"/>
        <v>7</v>
      </c>
      <c r="B35" s="8">
        <f t="shared" si="0"/>
        <v>0.72098827518065778</v>
      </c>
      <c r="C35" s="28">
        <f t="shared" si="1"/>
        <v>0.98637508514484407</v>
      </c>
      <c r="D35" s="36">
        <f t="shared" si="3"/>
        <v>9.526634057659987E-3</v>
      </c>
      <c r="E35" s="34">
        <f t="shared" si="4"/>
        <v>-0.3907861439874144</v>
      </c>
      <c r="F35" s="31">
        <f t="shared" si="5"/>
        <v>-0.40031277804507437</v>
      </c>
      <c r="G35" s="72">
        <f t="shared" si="6"/>
        <v>0.4361521318387851</v>
      </c>
    </row>
    <row r="36" spans="1:7" x14ac:dyDescent="0.2">
      <c r="A36" s="90">
        <f t="shared" si="2"/>
        <v>7.25</v>
      </c>
      <c r="B36" s="8">
        <f t="shared" si="0"/>
        <v>0.71108518149862188</v>
      </c>
      <c r="C36" s="28">
        <f t="shared" si="1"/>
        <v>0.98626455654975187</v>
      </c>
      <c r="D36" s="36">
        <f t="shared" si="3"/>
        <v>9.6645751099327729E-3</v>
      </c>
      <c r="E36" s="34">
        <f t="shared" si="4"/>
        <v>-0.39666664446115829</v>
      </c>
      <c r="F36" s="31">
        <f t="shared" si="5"/>
        <v>-0.40633121957109108</v>
      </c>
      <c r="G36" s="72">
        <f t="shared" si="6"/>
        <v>0.43912397256490876</v>
      </c>
    </row>
    <row r="37" spans="1:7" x14ac:dyDescent="0.2">
      <c r="A37" s="90">
        <f t="shared" si="2"/>
        <v>7.5</v>
      </c>
      <c r="B37" s="8">
        <f t="shared" si="0"/>
        <v>0.7012408919279175</v>
      </c>
      <c r="C37" s="28">
        <f t="shared" si="1"/>
        <v>0.98615596298891028</v>
      </c>
      <c r="D37" s="36">
        <f t="shared" si="3"/>
        <v>9.7983682105290577E-3</v>
      </c>
      <c r="E37" s="34">
        <f t="shared" si="4"/>
        <v>-0.40235521538170532</v>
      </c>
      <c r="F37" s="31">
        <f t="shared" si="5"/>
        <v>-0.41215358359223436</v>
      </c>
      <c r="G37" s="72">
        <f t="shared" si="6"/>
        <v>0.44169332975457776</v>
      </c>
    </row>
    <row r="38" spans="1:7" x14ac:dyDescent="0.2">
      <c r="A38" s="90">
        <f t="shared" si="2"/>
        <v>7.75</v>
      </c>
      <c r="B38" s="8">
        <f t="shared" si="0"/>
        <v>0.6914580252874355</v>
      </c>
      <c r="C38" s="28">
        <f t="shared" si="1"/>
        <v>0.98604920683734509</v>
      </c>
      <c r="D38" s="36">
        <f t="shared" si="3"/>
        <v>9.9282166379519553E-3</v>
      </c>
      <c r="E38" s="34">
        <f t="shared" si="4"/>
        <v>-0.4078682669694238</v>
      </c>
      <c r="F38" s="31">
        <f t="shared" si="5"/>
        <v>-0.41779648360737576</v>
      </c>
      <c r="G38" s="72">
        <f t="shared" si="6"/>
        <v>0.44388129651777297</v>
      </c>
    </row>
    <row r="39" spans="1:7" x14ac:dyDescent="0.2">
      <c r="A39" s="90">
        <f t="shared" si="2"/>
        <v>8</v>
      </c>
      <c r="B39" s="8">
        <f t="shared" si="0"/>
        <v>0.6817390284785908</v>
      </c>
      <c r="C39" s="28">
        <f t="shared" si="1"/>
        <v>0.98594419841348346</v>
      </c>
      <c r="D39" s="36">
        <f t="shared" si="3"/>
        <v>1.0054307789034132E-2</v>
      </c>
      <c r="E39" s="34">
        <f t="shared" si="4"/>
        <v>-0.41322033933894775</v>
      </c>
      <c r="F39" s="31">
        <f t="shared" si="5"/>
        <v>-0.42327464712798191</v>
      </c>
      <c r="G39" s="72">
        <f t="shared" si="6"/>
        <v>0.44570765278580393</v>
      </c>
    </row>
    <row r="40" spans="1:7" x14ac:dyDescent="0.2">
      <c r="A40" s="90">
        <f t="shared" si="2"/>
        <v>8.25</v>
      </c>
      <c r="B40" s="8">
        <f t="shared" si="0"/>
        <v>0.67208618679217524</v>
      </c>
      <c r="C40" s="28">
        <f t="shared" si="1"/>
        <v>0.98584085510263741</v>
      </c>
      <c r="D40" s="36">
        <f t="shared" si="3"/>
        <v>1.017681491197739E-2</v>
      </c>
      <c r="E40" s="34">
        <f t="shared" si="4"/>
        <v>-0.41842436662410198</v>
      </c>
      <c r="F40" s="31">
        <f t="shared" si="5"/>
        <v>-0.4286011815360794</v>
      </c>
      <c r="G40" s="72">
        <f t="shared" si="6"/>
        <v>0.44719098919759892</v>
      </c>
    </row>
    <row r="41" spans="1:7" x14ac:dyDescent="0.2">
      <c r="A41" s="90">
        <f t="shared" si="2"/>
        <v>8.5</v>
      </c>
      <c r="B41" s="8">
        <f t="shared" si="0"/>
        <v>0.66250163329491807</v>
      </c>
      <c r="C41" s="28">
        <f t="shared" si="1"/>
        <v>0.98573910060106484</v>
      </c>
      <c r="D41" s="36">
        <f t="shared" si="3"/>
        <v>1.029589860058145E-2</v>
      </c>
      <c r="E41" s="34">
        <f t="shared" si="4"/>
        <v>-0.42349189693283262</v>
      </c>
      <c r="F41" s="31">
        <f t="shared" si="5"/>
        <v>-0.43378779553341407</v>
      </c>
      <c r="G41" s="72">
        <f t="shared" si="6"/>
        <v>0.44834881489840273</v>
      </c>
    </row>
    <row r="42" spans="1:7" x14ac:dyDescent="0.2">
      <c r="A42" s="90">
        <f t="shared" si="2"/>
        <v>8.75</v>
      </c>
      <c r="B42" s="8">
        <f t="shared" si="0"/>
        <v>0.65298735741181479</v>
      </c>
      <c r="C42" s="28">
        <f t="shared" si="1"/>
        <v>0.98563886426093095</v>
      </c>
      <c r="D42" s="36">
        <f t="shared" si="3"/>
        <v>1.0411708088886437E-2</v>
      </c>
      <c r="E42" s="34">
        <f t="shared" si="4"/>
        <v>-0.42843327660233388</v>
      </c>
      <c r="F42" s="31">
        <f t="shared" si="5"/>
        <v>-0.43884498469122035</v>
      </c>
      <c r="G42" s="72">
        <f t="shared" si="6"/>
        <v>0.44919765179695093</v>
      </c>
    </row>
    <row r="43" spans="1:7" x14ac:dyDescent="0.2">
      <c r="A43" s="90">
        <f t="shared" si="2"/>
        <v>9</v>
      </c>
      <c r="B43" s="8">
        <f t="shared" si="0"/>
        <v>0.64354521280230015</v>
      </c>
      <c r="C43" s="28">
        <f t="shared" si="1"/>
        <v>0.98554008052018094</v>
      </c>
      <c r="D43" s="36">
        <f t="shared" si="3"/>
        <v>1.0524382378042159E-2</v>
      </c>
      <c r="E43" s="34">
        <f t="shared" si="4"/>
        <v>-0.43325780540417275</v>
      </c>
      <c r="F43" s="31">
        <f t="shared" si="5"/>
        <v>-0.44378218778221495</v>
      </c>
      <c r="G43" s="72">
        <f t="shared" si="6"/>
        <v>0.44975311736147883</v>
      </c>
    </row>
    <row r="44" spans="1:7" x14ac:dyDescent="0.2">
      <c r="A44" s="90">
        <f t="shared" si="2"/>
        <v>9.25</v>
      </c>
      <c r="B44" s="8">
        <f t="shared" si="0"/>
        <v>0.63417692461358166</v>
      </c>
      <c r="C44" s="28">
        <f t="shared" si="1"/>
        <v>0.98544268840424665</v>
      </c>
      <c r="D44" s="36">
        <f t="shared" si="3"/>
        <v>1.0634051221378124E-2</v>
      </c>
      <c r="E44" s="34">
        <f t="shared" si="4"/>
        <v>-0.43797386795983911</v>
      </c>
      <c r="F44" s="31">
        <f t="shared" si="5"/>
        <v>-0.44860791918121729</v>
      </c>
      <c r="G44" s="72">
        <f t="shared" si="6"/>
        <v>0.45002999766607932</v>
      </c>
    </row>
    <row r="45" spans="1:7" x14ac:dyDescent="0.2">
      <c r="A45" s="90">
        <f t="shared" si="2"/>
        <v>9.5</v>
      </c>
      <c r="B45" s="8">
        <f t="shared" si="0"/>
        <v>0.62488409618226315</v>
      </c>
      <c r="C45" s="28">
        <f t="shared" si="1"/>
        <v>0.98534663108882303</v>
      </c>
      <c r="D45" s="36">
        <f t="shared" si="3"/>
        <v>1.0740835989013691E-2</v>
      </c>
      <c r="E45" s="34">
        <f t="shared" si="4"/>
        <v>-0.44258904555781525</v>
      </c>
      <c r="F45" s="31">
        <f t="shared" si="5"/>
        <v>-0.45332988154682891</v>
      </c>
      <c r="G45" s="72">
        <f t="shared" si="6"/>
        <v>0.45004231210262757</v>
      </c>
    </row>
    <row r="46" spans="1:7" x14ac:dyDescent="0.2">
      <c r="A46" s="90">
        <f t="shared" si="2"/>
        <v>9.75</v>
      </c>
      <c r="B46" s="8">
        <f t="shared" si="0"/>
        <v>0.61566821524526849</v>
      </c>
      <c r="C46" s="28">
        <f t="shared" si="1"/>
        <v>0.98525185551480798</v>
      </c>
      <c r="D46" s="36">
        <f t="shared" si="3"/>
        <v>1.0844850429643168E-2</v>
      </c>
      <c r="E46" s="34">
        <f t="shared" si="4"/>
        <v>-0.44711021173417032</v>
      </c>
      <c r="F46" s="31">
        <f t="shared" si="5"/>
        <v>-0.45795506216381343</v>
      </c>
      <c r="G46" s="72">
        <f t="shared" si="6"/>
        <v>0.44980337093576406</v>
      </c>
    </row>
    <row r="47" spans="1:7" x14ac:dyDescent="0.2">
      <c r="A47" s="91">
        <f t="shared" si="2"/>
        <v>10</v>
      </c>
      <c r="B47" s="66">
        <f t="shared" si="0"/>
        <v>0.60653065971263342</v>
      </c>
      <c r="C47" s="30">
        <f t="shared" si="1"/>
        <v>0.98515831204799997</v>
      </c>
      <c r="D47" s="75">
        <f t="shared" si="3"/>
        <v>1.0946201344150171E-2</v>
      </c>
      <c r="E47" s="38">
        <f t="shared" si="4"/>
        <v>-0.45154361432953766</v>
      </c>
      <c r="F47" s="78">
        <f t="shared" si="5"/>
        <v>-0.4624898156736878</v>
      </c>
      <c r="G47" s="79">
        <f t="shared" si="6"/>
        <v>0.44932582668479326</v>
      </c>
    </row>
  </sheetData>
  <customSheetViews>
    <customSheetView guid="{4B0C3F6F-F662-4DAE-ADBE-0ABF48CD31B6}">
      <selection activeCell="J32" sqref="J32"/>
      <pageMargins left="0.7" right="0.7" top="0.75" bottom="0.75" header="0.3" footer="0.3"/>
    </customSheetView>
    <customSheetView guid="{5DD8D364-752E-485B-91C5-5F41496F91AB}">
      <selection activeCell="D9" sqref="D9:D47"/>
      <pageMargins left="0.7" right="0.7" top="0.75" bottom="0.75" header="0.3" footer="0.3"/>
    </customSheetView>
  </customSheetViews>
  <mergeCells count="2">
    <mergeCell ref="E5:F5"/>
    <mergeCell ref="I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7"/>
  <sheetViews>
    <sheetView tabSelected="1" workbookViewId="0">
      <selection activeCell="J26" sqref="J26"/>
    </sheetView>
  </sheetViews>
  <sheetFormatPr defaultRowHeight="12.75" x14ac:dyDescent="0.2"/>
  <cols>
    <col min="1" max="1" width="5.7109375" customWidth="1"/>
    <col min="2" max="2" width="9.85546875" customWidth="1"/>
    <col min="3" max="4" width="10.85546875" customWidth="1"/>
    <col min="5" max="5" width="10.7109375" customWidth="1"/>
    <col min="7" max="7" width="10.5703125" customWidth="1"/>
    <col min="8" max="8" width="9.5703125" bestFit="1" customWidth="1"/>
    <col min="9" max="9" width="12.28515625" bestFit="1" customWidth="1"/>
    <col min="10" max="10" width="10.7109375" bestFit="1" customWidth="1"/>
    <col min="13" max="13" width="9.7109375" bestFit="1" customWidth="1"/>
  </cols>
  <sheetData>
    <row r="1" spans="1:16" ht="171" customHeight="1" x14ac:dyDescent="0.2"/>
    <row r="2" spans="1:16" ht="12.75" hidden="1" customHeight="1" x14ac:dyDescent="0.2"/>
    <row r="3" spans="1:16" x14ac:dyDescent="0.2">
      <c r="A3" s="46"/>
      <c r="B3" s="47"/>
      <c r="C3" s="48"/>
      <c r="D3" s="48"/>
      <c r="E3" s="49"/>
      <c r="F3" s="49"/>
      <c r="G3" s="49"/>
      <c r="H3" s="49"/>
      <c r="I3" s="49"/>
      <c r="J3" s="49"/>
      <c r="K3" s="49"/>
      <c r="L3" s="49"/>
      <c r="M3" s="49"/>
      <c r="N3" s="50"/>
      <c r="O3" s="4"/>
      <c r="P3" s="4"/>
    </row>
    <row r="4" spans="1:16" x14ac:dyDescent="0.2">
      <c r="A4" s="106"/>
      <c r="B4" s="163" t="s">
        <v>57</v>
      </c>
      <c r="C4" s="163"/>
      <c r="D4" s="163"/>
      <c r="E4" s="163"/>
      <c r="F4" s="163"/>
      <c r="G4" s="2"/>
      <c r="H4" s="2"/>
      <c r="I4" s="2"/>
      <c r="J4" s="27"/>
      <c r="K4" s="27"/>
      <c r="L4" s="27"/>
      <c r="M4" s="27"/>
      <c r="N4" s="54"/>
      <c r="O4" s="4"/>
      <c r="P4" s="4"/>
    </row>
    <row r="5" spans="1:16" ht="27.75" customHeight="1" x14ac:dyDescent="0.2">
      <c r="A5" s="106"/>
      <c r="B5" s="55" t="s">
        <v>54</v>
      </c>
      <c r="C5" s="56" t="s">
        <v>50</v>
      </c>
      <c r="D5" s="109" t="s">
        <v>55</v>
      </c>
      <c r="E5" s="109" t="s">
        <v>56</v>
      </c>
      <c r="F5" s="58" t="s">
        <v>17</v>
      </c>
      <c r="G5" s="2"/>
      <c r="H5" s="2"/>
      <c r="I5" s="2"/>
      <c r="J5" s="27"/>
      <c r="K5" s="27"/>
      <c r="L5" s="27"/>
      <c r="M5" s="27"/>
      <c r="N5" s="54"/>
      <c r="O5" s="4"/>
      <c r="P5" s="4"/>
    </row>
    <row r="6" spans="1:16" x14ac:dyDescent="0.2">
      <c r="A6" s="106"/>
      <c r="B6" s="111">
        <v>100</v>
      </c>
      <c r="C6" s="147">
        <v>0.05</v>
      </c>
      <c r="D6" s="65">
        <v>10</v>
      </c>
      <c r="E6" s="65">
        <v>5</v>
      </c>
      <c r="F6" s="112">
        <v>100</v>
      </c>
      <c r="G6" s="27"/>
      <c r="H6" s="27"/>
      <c r="I6" s="27"/>
      <c r="J6" s="27"/>
      <c r="K6" s="27"/>
      <c r="L6" s="27"/>
      <c r="M6" s="27"/>
      <c r="N6" s="54"/>
      <c r="O6" s="4"/>
      <c r="P6" s="4"/>
    </row>
    <row r="7" spans="1:16" x14ac:dyDescent="0.2">
      <c r="A7" s="106"/>
      <c r="B7" s="107"/>
      <c r="C7" s="108"/>
      <c r="D7" s="108"/>
      <c r="E7" s="27"/>
      <c r="F7" s="27"/>
      <c r="G7" s="27"/>
      <c r="H7" s="27"/>
      <c r="I7" s="27"/>
      <c r="J7" s="27"/>
      <c r="K7" s="27"/>
      <c r="L7" s="27"/>
      <c r="M7" s="27"/>
      <c r="N7" s="54"/>
      <c r="O7" s="4"/>
      <c r="P7" s="4"/>
    </row>
    <row r="8" spans="1:16" x14ac:dyDescent="0.2">
      <c r="A8" s="106"/>
      <c r="B8" s="164" t="s">
        <v>58</v>
      </c>
      <c r="C8" s="164"/>
      <c r="D8" s="164"/>
      <c r="E8" s="27"/>
      <c r="F8" s="2"/>
      <c r="G8" s="2"/>
      <c r="H8" s="2"/>
      <c r="I8" s="2"/>
      <c r="J8" s="2"/>
      <c r="K8" s="27"/>
      <c r="L8" s="27"/>
      <c r="M8" s="27"/>
      <c r="N8" s="54"/>
      <c r="O8" s="4"/>
      <c r="P8" s="4"/>
    </row>
    <row r="9" spans="1:16" ht="13.5" customHeight="1" x14ac:dyDescent="0.2">
      <c r="A9" s="2"/>
      <c r="B9" s="115" t="s">
        <v>11</v>
      </c>
      <c r="C9" s="56" t="s">
        <v>24</v>
      </c>
      <c r="D9" s="116" t="s">
        <v>8</v>
      </c>
      <c r="E9" s="27"/>
      <c r="F9" s="2"/>
      <c r="G9" s="2"/>
      <c r="H9" s="2"/>
      <c r="I9" s="2"/>
      <c r="J9" s="2"/>
      <c r="K9" s="27"/>
      <c r="L9" s="27"/>
      <c r="M9" s="27"/>
      <c r="N9" s="54"/>
      <c r="O9" s="4"/>
      <c r="P9" s="4"/>
    </row>
    <row r="10" spans="1:16" x14ac:dyDescent="0.2">
      <c r="A10" s="2"/>
      <c r="B10" s="114">
        <v>0.5</v>
      </c>
      <c r="C10" s="144">
        <f>EXP(-(0.03+0.02*SQRT(B10/10))*B10)</f>
        <v>0.98291162328589055</v>
      </c>
      <c r="D10" s="117">
        <f t="shared" ref="D10:D28" si="0">Principal*coupon/2</f>
        <v>2.5</v>
      </c>
      <c r="E10" s="27"/>
      <c r="F10" s="2"/>
      <c r="G10" s="2"/>
      <c r="H10" s="2"/>
      <c r="I10" s="2"/>
      <c r="J10" s="2"/>
      <c r="K10" s="27"/>
      <c r="L10" s="27"/>
      <c r="M10" s="27"/>
      <c r="N10" s="54"/>
      <c r="O10" s="4"/>
      <c r="P10" s="4"/>
    </row>
    <row r="11" spans="1:16" x14ac:dyDescent="0.2">
      <c r="A11" s="2"/>
      <c r="B11" s="114">
        <f t="shared" ref="B11:B29" si="1">B10+0.5</f>
        <v>1</v>
      </c>
      <c r="C11" s="144">
        <f t="shared" ref="C11:C29" si="2">EXP(-(0.03+0.02*SQRT(B11/10))*B11)</f>
        <v>0.96432726514391609</v>
      </c>
      <c r="D11" s="117">
        <f t="shared" si="0"/>
        <v>2.5</v>
      </c>
      <c r="E11" s="27"/>
      <c r="F11" s="2"/>
      <c r="G11" s="2"/>
      <c r="H11" s="2"/>
      <c r="I11" s="2"/>
      <c r="J11" s="2"/>
      <c r="K11" s="27"/>
      <c r="L11" s="27"/>
      <c r="M11" s="27"/>
      <c r="N11" s="54"/>
      <c r="O11" s="4"/>
      <c r="P11" s="4"/>
    </row>
    <row r="12" spans="1:16" x14ac:dyDescent="0.2">
      <c r="A12" s="2"/>
      <c r="B12" s="114">
        <f t="shared" si="1"/>
        <v>1.5</v>
      </c>
      <c r="C12" s="144">
        <f t="shared" si="2"/>
        <v>0.94495407548597599</v>
      </c>
      <c r="D12" s="117">
        <f t="shared" si="0"/>
        <v>2.5</v>
      </c>
      <c r="E12" s="27"/>
      <c r="F12" s="2"/>
      <c r="G12" s="2"/>
      <c r="H12" s="2"/>
      <c r="I12" s="2"/>
      <c r="J12" s="2"/>
      <c r="K12" s="27"/>
      <c r="L12" s="27"/>
      <c r="M12" s="27"/>
      <c r="N12" s="54"/>
      <c r="O12" s="4"/>
      <c r="P12" s="4"/>
    </row>
    <row r="13" spans="1:16" x14ac:dyDescent="0.2">
      <c r="A13" s="2"/>
      <c r="B13" s="114">
        <f t="shared" si="1"/>
        <v>2</v>
      </c>
      <c r="C13" s="144">
        <f t="shared" si="2"/>
        <v>0.92506752529054881</v>
      </c>
      <c r="D13" s="117">
        <f t="shared" si="0"/>
        <v>2.5</v>
      </c>
      <c r="E13" s="27"/>
      <c r="F13" s="2"/>
      <c r="G13" s="2"/>
      <c r="H13" s="2"/>
      <c r="I13" s="2"/>
      <c r="J13" s="2"/>
      <c r="K13" s="27"/>
      <c r="L13" s="27"/>
      <c r="M13" s="27"/>
      <c r="N13" s="54"/>
      <c r="O13" s="4"/>
      <c r="P13" s="4"/>
    </row>
    <row r="14" spans="1:16" x14ac:dyDescent="0.2">
      <c r="A14" s="2"/>
      <c r="B14" s="114">
        <f t="shared" si="1"/>
        <v>2.5</v>
      </c>
      <c r="C14" s="144">
        <f t="shared" si="2"/>
        <v>0.90483741803595952</v>
      </c>
      <c r="D14" s="117">
        <f t="shared" si="0"/>
        <v>2.5</v>
      </c>
      <c r="E14" s="27"/>
      <c r="F14" s="2"/>
      <c r="G14" s="2"/>
      <c r="H14" s="2"/>
      <c r="I14" s="2"/>
      <c r="J14" s="2"/>
      <c r="K14" s="27"/>
      <c r="L14" s="27"/>
      <c r="M14" s="27"/>
      <c r="N14" s="54"/>
      <c r="O14" s="4"/>
      <c r="P14" s="4"/>
    </row>
    <row r="15" spans="1:16" x14ac:dyDescent="0.2">
      <c r="A15" s="2"/>
      <c r="B15" s="114">
        <f t="shared" si="1"/>
        <v>3</v>
      </c>
      <c r="C15" s="144">
        <f t="shared" si="2"/>
        <v>0.8843845023953113</v>
      </c>
      <c r="D15" s="117">
        <f t="shared" si="0"/>
        <v>2.5</v>
      </c>
      <c r="E15" s="27"/>
      <c r="F15" s="2"/>
      <c r="G15" s="2"/>
      <c r="H15" s="2"/>
      <c r="I15" s="2"/>
      <c r="J15" s="2"/>
      <c r="K15" s="27"/>
      <c r="L15" s="27"/>
      <c r="M15" s="27"/>
      <c r="N15" s="54"/>
      <c r="O15" s="4"/>
      <c r="P15" s="4"/>
    </row>
    <row r="16" spans="1:16" x14ac:dyDescent="0.2">
      <c r="A16" s="2"/>
      <c r="B16" s="114">
        <f t="shared" si="1"/>
        <v>3.5</v>
      </c>
      <c r="C16" s="144">
        <f t="shared" si="2"/>
        <v>0.86380126112632272</v>
      </c>
      <c r="D16" s="117">
        <f t="shared" si="0"/>
        <v>2.5</v>
      </c>
      <c r="E16" s="27"/>
      <c r="F16" s="2"/>
      <c r="G16" s="2"/>
      <c r="H16" s="2"/>
      <c r="I16" s="2"/>
      <c r="J16" s="2"/>
      <c r="K16" s="27"/>
      <c r="L16" s="27"/>
      <c r="M16" s="27"/>
      <c r="N16" s="54"/>
      <c r="O16" s="4"/>
      <c r="P16" s="4"/>
    </row>
    <row r="17" spans="1:16" x14ac:dyDescent="0.2">
      <c r="A17" s="2"/>
      <c r="B17" s="114">
        <f t="shared" si="1"/>
        <v>4</v>
      </c>
      <c r="C17" s="144">
        <f t="shared" si="2"/>
        <v>0.84316176902552231</v>
      </c>
      <c r="D17" s="117">
        <f t="shared" si="0"/>
        <v>2.5</v>
      </c>
      <c r="E17" s="27"/>
      <c r="F17" s="2"/>
      <c r="G17" s="2"/>
      <c r="H17" s="2"/>
      <c r="I17" s="2"/>
      <c r="J17" s="2"/>
      <c r="K17" s="27"/>
      <c r="L17" s="27"/>
      <c r="M17" s="27"/>
      <c r="N17" s="54"/>
      <c r="O17" s="4"/>
      <c r="P17" s="4"/>
    </row>
    <row r="18" spans="1:16" x14ac:dyDescent="0.2">
      <c r="A18" s="2"/>
      <c r="B18" s="114">
        <f t="shared" si="1"/>
        <v>4.5</v>
      </c>
      <c r="C18" s="144">
        <f t="shared" si="2"/>
        <v>0.82252711082826713</v>
      </c>
      <c r="D18" s="117">
        <f t="shared" si="0"/>
        <v>2.5</v>
      </c>
      <c r="E18" s="27"/>
      <c r="F18" s="2"/>
      <c r="G18" s="2"/>
      <c r="H18" s="2"/>
      <c r="I18" s="2"/>
      <c r="J18" s="2"/>
      <c r="K18" s="27"/>
      <c r="L18" s="27"/>
      <c r="M18" s="27"/>
      <c r="N18" s="54"/>
      <c r="O18" s="4"/>
      <c r="P18" s="4"/>
    </row>
    <row r="19" spans="1:16" x14ac:dyDescent="0.2">
      <c r="A19" s="2"/>
      <c r="B19" s="114">
        <f t="shared" si="1"/>
        <v>5</v>
      </c>
      <c r="C19" s="144">
        <f t="shared" si="2"/>
        <v>0.80194866802638853</v>
      </c>
      <c r="D19" s="117">
        <f t="shared" si="0"/>
        <v>2.5</v>
      </c>
      <c r="E19" s="27"/>
      <c r="F19" s="2"/>
      <c r="G19" s="2"/>
      <c r="H19" s="2"/>
      <c r="I19" s="2"/>
      <c r="J19" s="2"/>
      <c r="K19" s="27"/>
      <c r="L19" s="27"/>
      <c r="M19" s="27"/>
      <c r="N19" s="54"/>
      <c r="O19" s="4"/>
      <c r="P19" s="4"/>
    </row>
    <row r="20" spans="1:16" x14ac:dyDescent="0.2">
      <c r="A20" s="2"/>
      <c r="B20" s="114">
        <f t="shared" si="1"/>
        <v>5.5</v>
      </c>
      <c r="C20" s="144">
        <f t="shared" si="2"/>
        <v>0.7814702611792832</v>
      </c>
      <c r="D20" s="117">
        <f t="shared" si="0"/>
        <v>2.5</v>
      </c>
      <c r="E20" s="27"/>
      <c r="F20" s="27"/>
      <c r="G20" s="27"/>
      <c r="H20" s="27"/>
      <c r="I20" s="27"/>
      <c r="J20" s="27"/>
      <c r="K20" s="27"/>
      <c r="L20" s="27"/>
      <c r="M20" s="27"/>
      <c r="N20" s="54"/>
      <c r="O20" s="4"/>
      <c r="P20" s="4"/>
    </row>
    <row r="21" spans="1:16" ht="13.5" thickBot="1" x14ac:dyDescent="0.25">
      <c r="A21" s="2"/>
      <c r="B21" s="114">
        <f t="shared" si="1"/>
        <v>6</v>
      </c>
      <c r="C21" s="144">
        <f t="shared" si="2"/>
        <v>0.76112962517615035</v>
      </c>
      <c r="D21" s="117">
        <f t="shared" si="0"/>
        <v>2.5</v>
      </c>
      <c r="E21" s="2"/>
      <c r="F21" s="27"/>
      <c r="G21" s="27"/>
      <c r="H21" s="27"/>
      <c r="I21" s="27"/>
      <c r="J21" s="27"/>
      <c r="K21" s="27"/>
      <c r="L21" s="27"/>
      <c r="M21" s="27"/>
      <c r="N21" s="54"/>
      <c r="O21" s="4"/>
      <c r="P21" s="4"/>
    </row>
    <row r="22" spans="1:16" x14ac:dyDescent="0.2">
      <c r="A22" s="2"/>
      <c r="B22" s="114">
        <f t="shared" si="1"/>
        <v>6.5</v>
      </c>
      <c r="C22" s="144">
        <f t="shared" si="2"/>
        <v>0.74095947060043243</v>
      </c>
      <c r="D22" s="117">
        <f t="shared" si="0"/>
        <v>2.5</v>
      </c>
      <c r="E22" s="2"/>
      <c r="F22" s="173" t="s">
        <v>52</v>
      </c>
      <c r="G22" s="173"/>
      <c r="H22" s="173"/>
      <c r="I22" s="171">
        <f>D30-M45</f>
        <v>96.917865601924419</v>
      </c>
      <c r="J22" s="27"/>
      <c r="K22" s="27"/>
      <c r="L22" s="27"/>
      <c r="M22" s="27"/>
      <c r="N22" s="54"/>
      <c r="O22" s="4"/>
      <c r="P22" s="4"/>
    </row>
    <row r="23" spans="1:16" ht="13.5" thickBot="1" x14ac:dyDescent="0.25">
      <c r="A23" s="2"/>
      <c r="B23" s="114">
        <f t="shared" si="1"/>
        <v>7</v>
      </c>
      <c r="C23" s="144">
        <f t="shared" si="2"/>
        <v>0.72098827518065778</v>
      </c>
      <c r="D23" s="117">
        <f t="shared" si="0"/>
        <v>2.5</v>
      </c>
      <c r="E23" s="27"/>
      <c r="F23" s="173"/>
      <c r="G23" s="173"/>
      <c r="H23" s="173"/>
      <c r="I23" s="172"/>
      <c r="J23" s="27"/>
      <c r="K23" s="27"/>
      <c r="L23" s="27"/>
      <c r="M23" s="27"/>
      <c r="N23" s="54"/>
      <c r="O23" s="4"/>
      <c r="P23" s="4"/>
    </row>
    <row r="24" spans="1:16" x14ac:dyDescent="0.2">
      <c r="A24" s="2"/>
      <c r="B24" s="114">
        <f t="shared" si="1"/>
        <v>7.5</v>
      </c>
      <c r="C24" s="144">
        <f t="shared" si="2"/>
        <v>0.7012408919279175</v>
      </c>
      <c r="D24" s="117">
        <f t="shared" si="0"/>
        <v>2.5</v>
      </c>
      <c r="E24" s="27"/>
      <c r="F24" s="27"/>
      <c r="G24" s="27"/>
      <c r="H24" s="27"/>
      <c r="I24" s="27"/>
      <c r="J24" s="27"/>
      <c r="K24" s="27"/>
      <c r="L24" s="27"/>
      <c r="M24" s="27"/>
      <c r="N24" s="54"/>
      <c r="O24" s="4"/>
      <c r="P24" s="4"/>
    </row>
    <row r="25" spans="1:16" x14ac:dyDescent="0.2">
      <c r="A25" s="2"/>
      <c r="B25" s="114">
        <f t="shared" si="1"/>
        <v>8</v>
      </c>
      <c r="C25" s="144">
        <f t="shared" si="2"/>
        <v>0.6817390284785908</v>
      </c>
      <c r="D25" s="117">
        <f t="shared" si="0"/>
        <v>2.5</v>
      </c>
      <c r="E25" s="27"/>
      <c r="F25" s="27"/>
      <c r="G25" s="27"/>
      <c r="H25" s="27"/>
      <c r="I25" s="27"/>
      <c r="J25" s="27"/>
      <c r="K25" s="27"/>
      <c r="L25" s="27"/>
      <c r="M25" s="27"/>
      <c r="N25" s="54"/>
      <c r="O25" s="4"/>
      <c r="P25" s="4"/>
    </row>
    <row r="26" spans="1:16" x14ac:dyDescent="0.2">
      <c r="A26" s="2"/>
      <c r="B26" s="114">
        <f t="shared" si="1"/>
        <v>8.5</v>
      </c>
      <c r="C26" s="144">
        <f t="shared" si="2"/>
        <v>0.66250163329491807</v>
      </c>
      <c r="D26" s="117">
        <f t="shared" si="0"/>
        <v>2.5</v>
      </c>
      <c r="E26" s="27"/>
      <c r="F26" s="27"/>
      <c r="G26" s="27"/>
      <c r="H26" s="27"/>
      <c r="I26" s="27"/>
      <c r="J26" s="27"/>
      <c r="K26" s="27"/>
      <c r="L26" s="27"/>
      <c r="M26" s="27"/>
      <c r="N26" s="54"/>
      <c r="O26" s="4"/>
      <c r="P26" s="4"/>
    </row>
    <row r="27" spans="1:16" x14ac:dyDescent="0.2">
      <c r="A27" s="2"/>
      <c r="B27" s="114">
        <f t="shared" si="1"/>
        <v>9</v>
      </c>
      <c r="C27" s="144">
        <f t="shared" si="2"/>
        <v>0.64354521280230015</v>
      </c>
      <c r="D27" s="117">
        <f t="shared" si="0"/>
        <v>2.5</v>
      </c>
      <c r="E27" s="27"/>
      <c r="F27" s="27"/>
      <c r="G27" s="27"/>
      <c r="H27" s="27"/>
      <c r="I27" s="27"/>
      <c r="J27" s="27"/>
      <c r="K27" s="27"/>
      <c r="L27" s="27"/>
      <c r="M27" s="27"/>
      <c r="N27" s="54"/>
      <c r="O27" s="4"/>
      <c r="P27" s="4"/>
    </row>
    <row r="28" spans="1:16" x14ac:dyDescent="0.2">
      <c r="A28" s="2"/>
      <c r="B28" s="114">
        <f t="shared" si="1"/>
        <v>9.5</v>
      </c>
      <c r="C28" s="144">
        <f t="shared" si="2"/>
        <v>0.62488409618226315</v>
      </c>
      <c r="D28" s="117">
        <f t="shared" si="0"/>
        <v>2.5</v>
      </c>
      <c r="E28" s="27"/>
      <c r="F28" s="27"/>
      <c r="G28" s="27"/>
      <c r="H28" s="2"/>
      <c r="I28" s="27"/>
      <c r="J28" s="27"/>
      <c r="K28" s="27"/>
      <c r="L28" s="27"/>
      <c r="M28" s="27"/>
      <c r="N28" s="54"/>
      <c r="O28" s="4"/>
      <c r="P28" s="4"/>
    </row>
    <row r="29" spans="1:16" x14ac:dyDescent="0.2">
      <c r="A29" s="2"/>
      <c r="B29" s="118">
        <f t="shared" si="1"/>
        <v>10</v>
      </c>
      <c r="C29" s="145">
        <f t="shared" si="2"/>
        <v>0.60653065971263342</v>
      </c>
      <c r="D29" s="119">
        <f>Principal*(1+coupon/2)</f>
        <v>102.49999999999999</v>
      </c>
      <c r="E29" s="27"/>
      <c r="F29" s="27"/>
      <c r="G29" s="27"/>
      <c r="H29" s="2"/>
      <c r="I29" s="27"/>
      <c r="J29" s="27"/>
      <c r="K29" s="27"/>
      <c r="L29" s="27"/>
      <c r="M29" s="27"/>
      <c r="N29" s="54"/>
      <c r="O29" s="4"/>
      <c r="P29" s="4"/>
    </row>
    <row r="30" spans="1:16" x14ac:dyDescent="0.2">
      <c r="A30" s="113"/>
      <c r="B30" s="107"/>
      <c r="C30" s="63" t="s">
        <v>53</v>
      </c>
      <c r="D30" s="120">
        <f>SUMPRODUCT(D10:D29,C10:C29)</f>
        <v>100.31034190421146</v>
      </c>
      <c r="E30" s="27"/>
      <c r="F30" s="27"/>
      <c r="G30" s="27"/>
      <c r="H30" s="27"/>
      <c r="I30" s="27"/>
      <c r="J30" s="27"/>
      <c r="K30" s="27"/>
      <c r="L30" s="27"/>
      <c r="M30" s="27"/>
      <c r="N30" s="54"/>
      <c r="O30" s="4"/>
      <c r="P30" s="4"/>
    </row>
    <row r="31" spans="1:16" ht="12.75" customHeight="1" x14ac:dyDescent="0.2">
      <c r="A31" s="165" t="s">
        <v>59</v>
      </c>
      <c r="B31" s="166"/>
      <c r="C31" s="166"/>
      <c r="D31" s="166"/>
      <c r="E31" s="166"/>
      <c r="F31" s="166"/>
      <c r="G31" s="167"/>
      <c r="H31" s="59" t="s">
        <v>7</v>
      </c>
      <c r="I31" s="27"/>
      <c r="J31" s="27"/>
      <c r="K31" s="2"/>
      <c r="L31" s="2"/>
      <c r="M31" s="2"/>
      <c r="N31" s="54"/>
      <c r="O31" s="4"/>
      <c r="P31" s="4"/>
    </row>
    <row r="32" spans="1:16" ht="15.75" customHeight="1" x14ac:dyDescent="0.2">
      <c r="A32" s="168"/>
      <c r="B32" s="169"/>
      <c r="C32" s="169"/>
      <c r="D32" s="169"/>
      <c r="E32" s="169"/>
      <c r="F32" s="169"/>
      <c r="G32" s="170"/>
      <c r="H32" s="143">
        <v>4.1878716373092185E-2</v>
      </c>
      <c r="I32" s="27"/>
      <c r="J32" s="162"/>
      <c r="K32" s="162"/>
      <c r="L32" s="162"/>
      <c r="M32" s="27"/>
      <c r="N32" s="54"/>
      <c r="O32" s="4"/>
      <c r="P32" s="4"/>
    </row>
    <row r="33" spans="1:16" s="1" customFormat="1" ht="15" customHeight="1" x14ac:dyDescent="0.2">
      <c r="A33" s="60" t="s">
        <v>11</v>
      </c>
      <c r="B33" s="121" t="s">
        <v>10</v>
      </c>
      <c r="C33" s="55" t="s">
        <v>24</v>
      </c>
      <c r="D33" s="56" t="s">
        <v>5</v>
      </c>
      <c r="E33" s="57" t="s">
        <v>25</v>
      </c>
      <c r="F33" s="57" t="s">
        <v>26</v>
      </c>
      <c r="G33" s="57" t="s">
        <v>29</v>
      </c>
      <c r="H33" s="58" t="s">
        <v>27</v>
      </c>
      <c r="I33" s="59" t="s">
        <v>8</v>
      </c>
      <c r="J33" s="60" t="s">
        <v>9</v>
      </c>
      <c r="K33" s="57" t="s">
        <v>0</v>
      </c>
      <c r="L33" s="58" t="s">
        <v>1</v>
      </c>
      <c r="M33" s="58" t="s">
        <v>28</v>
      </c>
      <c r="N33" s="61"/>
      <c r="O33" s="45"/>
      <c r="P33" s="45"/>
    </row>
    <row r="34" spans="1:16" ht="15.75" customHeight="1" x14ac:dyDescent="0.2">
      <c r="A34" s="122">
        <f t="shared" ref="A34:A44" si="3">exer_time</f>
        <v>5</v>
      </c>
      <c r="B34" s="123">
        <v>5</v>
      </c>
      <c r="C34" s="124">
        <f t="shared" ref="C34:C44" si="4">EXP(-(0.03+0.02*SQRT(t_exer/10))*t_exer)</f>
        <v>0.80194866802638853</v>
      </c>
      <c r="D34" s="125">
        <f t="shared" ref="D34:D44" si="5">EXP(-(0.03+0.02*SQRT(t_matur/10))*t_matur)</f>
        <v>0.80194866802638853</v>
      </c>
      <c r="E34" s="125">
        <f>D34/C34</f>
        <v>1</v>
      </c>
      <c r="F34" s="110"/>
      <c r="G34" s="110"/>
      <c r="H34" s="61"/>
      <c r="I34" s="126"/>
      <c r="J34" s="122"/>
      <c r="K34" s="110"/>
      <c r="L34" s="61"/>
      <c r="M34" s="61"/>
      <c r="N34" s="54"/>
      <c r="O34" s="4"/>
      <c r="P34" s="4"/>
    </row>
    <row r="35" spans="1:16" x14ac:dyDescent="0.2">
      <c r="A35" s="122">
        <f t="shared" si="3"/>
        <v>5</v>
      </c>
      <c r="B35" s="123">
        <f t="shared" ref="B35:B44" si="6">B34+0.5</f>
        <v>5.5</v>
      </c>
      <c r="C35" s="124">
        <f t="shared" si="4"/>
        <v>0.80194866802638853</v>
      </c>
      <c r="D35" s="125">
        <f t="shared" si="5"/>
        <v>0.7814702611792832</v>
      </c>
      <c r="E35" s="125">
        <f t="shared" ref="E35:E44" si="7">D35/C35</f>
        <v>0.97446419245573024</v>
      </c>
      <c r="F35" s="125">
        <f t="shared" ref="F35:F44" si="8">(1-EXP(-mean_rev*(t_matur-t_exer)))/mean_rev</f>
        <v>0.49590455277826312</v>
      </c>
      <c r="G35" s="125">
        <f t="shared" ref="G35:G44" si="9">P_exer_matur*EXP(B_exer_matur*(0.03+0.03*SQRT(t_exer/10))-(1/(4*mean_rev^3))*sigma^2*(EXP(-mean_rev*t_matur)-EXP(-mean_rev*t_exer))^2*(EXP(2*mean_rev*t_exer)-1))</f>
        <v>0.99938879759428878</v>
      </c>
      <c r="H35" s="127">
        <f t="shared" ref="H35:H44" si="10">A_exer_matur*EXP(-B_exer_matur*r_star)</f>
        <v>0.97884768049983351</v>
      </c>
      <c r="I35" s="128">
        <f t="shared" ref="I35:I43" si="11">Principal*coupon/2</f>
        <v>2.5</v>
      </c>
      <c r="J35" s="129">
        <f t="shared" ref="J35:J44" si="12">sigma^2*B_exer_matur^2*(1-EXP(-2*mean_rev*t_exer))/(2*mean_rev)</f>
        <v>2.814895454387115E-4</v>
      </c>
      <c r="K35" s="130">
        <f t="shared" ref="K35:K44" si="13">(LN(P_exer_matur/P_star)+variance/2)/SQRT(variance)</f>
        <v>-0.25912598254343233</v>
      </c>
      <c r="L35" s="131">
        <f t="shared" ref="L35:L44" si="14">K35-SQRT(variance)</f>
        <v>-0.27590363271974461</v>
      </c>
      <c r="M35" s="132">
        <f t="shared" ref="M35:M44" si="15">C35*(P_exer_matur*NORMSDIST(K35)-P_star*NORMSDIST(L35))</f>
        <v>3.6711287639593945E-3</v>
      </c>
      <c r="N35" s="54"/>
      <c r="O35" s="4"/>
      <c r="P35" s="4"/>
    </row>
    <row r="36" spans="1:16" x14ac:dyDescent="0.2">
      <c r="A36" s="122">
        <f t="shared" si="3"/>
        <v>5</v>
      </c>
      <c r="B36" s="123">
        <f t="shared" si="6"/>
        <v>6</v>
      </c>
      <c r="C36" s="124">
        <f t="shared" si="4"/>
        <v>0.80194866802638853</v>
      </c>
      <c r="D36" s="125">
        <f t="shared" si="5"/>
        <v>0.76112962517615035</v>
      </c>
      <c r="E36" s="125">
        <f t="shared" si="7"/>
        <v>0.9491001800019262</v>
      </c>
      <c r="F36" s="125">
        <f t="shared" si="8"/>
        <v>0.98370754306260844</v>
      </c>
      <c r="G36" s="125">
        <f t="shared" si="9"/>
        <v>0.99758698903657483</v>
      </c>
      <c r="H36" s="127">
        <f t="shared" si="10"/>
        <v>0.95732500583889923</v>
      </c>
      <c r="I36" s="128">
        <f t="shared" si="11"/>
        <v>2.5</v>
      </c>
      <c r="J36" s="129">
        <f t="shared" si="12"/>
        <v>1.107638599790121E-3</v>
      </c>
      <c r="K36" s="130">
        <f t="shared" si="13"/>
        <v>-0.24262242781682283</v>
      </c>
      <c r="L36" s="131">
        <f t="shared" si="14"/>
        <v>-0.27590363271974244</v>
      </c>
      <c r="M36" s="132">
        <f t="shared" si="15"/>
        <v>7.1902704228615959E-3</v>
      </c>
      <c r="N36" s="54"/>
      <c r="O36" s="4"/>
      <c r="P36" s="4"/>
    </row>
    <row r="37" spans="1:16" x14ac:dyDescent="0.2">
      <c r="A37" s="122">
        <f t="shared" si="3"/>
        <v>5</v>
      </c>
      <c r="B37" s="123">
        <f t="shared" si="6"/>
        <v>6.5</v>
      </c>
      <c r="C37" s="124">
        <f t="shared" si="4"/>
        <v>0.80194866802638853</v>
      </c>
      <c r="D37" s="125">
        <f t="shared" si="5"/>
        <v>0.74095947060043243</v>
      </c>
      <c r="E37" s="125">
        <f t="shared" si="7"/>
        <v>0.923948751512922</v>
      </c>
      <c r="F37" s="125">
        <f t="shared" si="8"/>
        <v>1.4635413255863727</v>
      </c>
      <c r="G37" s="125">
        <f t="shared" si="9"/>
        <v>0.99464249528161286</v>
      </c>
      <c r="H37" s="127">
        <f t="shared" si="10"/>
        <v>0.93551028455179785</v>
      </c>
      <c r="I37" s="128">
        <f t="shared" si="11"/>
        <v>2.5</v>
      </c>
      <c r="J37" s="129">
        <f t="shared" si="12"/>
        <v>2.4517492932715156E-3</v>
      </c>
      <c r="K37" s="130">
        <f t="shared" si="13"/>
        <v>-0.22638849065924682</v>
      </c>
      <c r="L37" s="131">
        <f t="shared" si="14"/>
        <v>-0.27590363271974699</v>
      </c>
      <c r="M37" s="132">
        <f t="shared" si="15"/>
        <v>1.0552784578092868E-2</v>
      </c>
      <c r="N37" s="54"/>
      <c r="O37" s="4"/>
      <c r="P37" s="4"/>
    </row>
    <row r="38" spans="1:16" x14ac:dyDescent="0.2">
      <c r="A38" s="122">
        <f t="shared" si="3"/>
        <v>5</v>
      </c>
      <c r="B38" s="123">
        <f t="shared" si="6"/>
        <v>7</v>
      </c>
      <c r="C38" s="124">
        <f t="shared" si="4"/>
        <v>0.80194866802638853</v>
      </c>
      <c r="D38" s="125">
        <f t="shared" si="5"/>
        <v>0.72098827518065778</v>
      </c>
      <c r="E38" s="125">
        <f t="shared" si="7"/>
        <v>0.899045417651262</v>
      </c>
      <c r="F38" s="125">
        <f t="shared" si="8"/>
        <v>1.9355360928116736</v>
      </c>
      <c r="G38" s="125">
        <f t="shared" si="9"/>
        <v>0.99060363405474905</v>
      </c>
      <c r="H38" s="127">
        <f t="shared" si="10"/>
        <v>0.91347565171975376</v>
      </c>
      <c r="I38" s="128">
        <f t="shared" si="11"/>
        <v>2.5</v>
      </c>
      <c r="J38" s="129">
        <f t="shared" si="12"/>
        <v>4.2881367554015951E-3</v>
      </c>
      <c r="K38" s="130">
        <f t="shared" si="13"/>
        <v>-0.21041976634487658</v>
      </c>
      <c r="L38" s="131">
        <f t="shared" si="14"/>
        <v>-0.27590363271974477</v>
      </c>
      <c r="M38" s="132">
        <f t="shared" si="15"/>
        <v>1.3755164038167279E-2</v>
      </c>
      <c r="N38" s="54"/>
      <c r="O38" s="4"/>
      <c r="P38" s="4"/>
    </row>
    <row r="39" spans="1:16" x14ac:dyDescent="0.2">
      <c r="A39" s="122">
        <f t="shared" si="3"/>
        <v>5</v>
      </c>
      <c r="B39" s="123">
        <f t="shared" si="6"/>
        <v>7.5</v>
      </c>
      <c r="C39" s="124">
        <f t="shared" si="4"/>
        <v>0.80194866802638853</v>
      </c>
      <c r="D39" s="125">
        <f t="shared" si="5"/>
        <v>0.7012408919279175</v>
      </c>
      <c r="E39" s="125">
        <f t="shared" si="7"/>
        <v>0.87442116919239377</v>
      </c>
      <c r="F39" s="125">
        <f t="shared" si="8"/>
        <v>2.399819910254287</v>
      </c>
      <c r="G39" s="125">
        <f t="shared" si="9"/>
        <v>0.98551915660810896</v>
      </c>
      <c r="H39" s="127">
        <f t="shared" si="10"/>
        <v>0.89128762560202901</v>
      </c>
      <c r="I39" s="128">
        <f t="shared" si="11"/>
        <v>2.5</v>
      </c>
      <c r="J39" s="129">
        <f t="shared" si="12"/>
        <v>6.5920938721189754E-3</v>
      </c>
      <c r="K39" s="130">
        <f t="shared" si="13"/>
        <v>-0.19471192210764837</v>
      </c>
      <c r="L39" s="131">
        <f t="shared" si="14"/>
        <v>-0.27590363271974827</v>
      </c>
      <c r="M39" s="132">
        <f t="shared" si="15"/>
        <v>1.6794938122734922E-2</v>
      </c>
      <c r="N39" s="54"/>
      <c r="O39" s="4"/>
      <c r="P39" s="4"/>
    </row>
    <row r="40" spans="1:16" x14ac:dyDescent="0.2">
      <c r="A40" s="122">
        <f t="shared" si="3"/>
        <v>5</v>
      </c>
      <c r="B40" s="123">
        <f t="shared" si="6"/>
        <v>8</v>
      </c>
      <c r="C40" s="124">
        <f t="shared" si="4"/>
        <v>0.80194866802638853</v>
      </c>
      <c r="D40" s="125">
        <f t="shared" si="5"/>
        <v>0.6817390284785908</v>
      </c>
      <c r="E40" s="125">
        <f t="shared" si="7"/>
        <v>0.85010307474712066</v>
      </c>
      <c r="F40" s="125">
        <f t="shared" si="8"/>
        <v>2.8565187512314667</v>
      </c>
      <c r="G40" s="125">
        <f t="shared" si="9"/>
        <v>0.97943821162972367</v>
      </c>
      <c r="H40" s="127">
        <f t="shared" si="10"/>
        <v>0.86900755163442778</v>
      </c>
      <c r="I40" s="128">
        <f t="shared" si="11"/>
        <v>2.5</v>
      </c>
      <c r="J40" s="129">
        <f t="shared" si="12"/>
        <v>9.3398572244639978E-3</v>
      </c>
      <c r="K40" s="130">
        <f t="shared" si="13"/>
        <v>-0.17926069596560915</v>
      </c>
      <c r="L40" s="131">
        <f t="shared" si="14"/>
        <v>-0.2759036327197455</v>
      </c>
      <c r="M40" s="132">
        <f t="shared" si="15"/>
        <v>1.9670584176490574E-2</v>
      </c>
      <c r="N40" s="54"/>
      <c r="O40" s="4"/>
      <c r="P40" s="4"/>
    </row>
    <row r="41" spans="1:16" x14ac:dyDescent="0.2">
      <c r="A41" s="122">
        <f t="shared" si="3"/>
        <v>5</v>
      </c>
      <c r="B41" s="123">
        <f t="shared" si="6"/>
        <v>8.5</v>
      </c>
      <c r="C41" s="124">
        <f t="shared" si="4"/>
        <v>0.80194866802638853</v>
      </c>
      <c r="D41" s="125">
        <f t="shared" si="5"/>
        <v>0.66250163329491807</v>
      </c>
      <c r="E41" s="125">
        <f t="shared" si="7"/>
        <v>0.82611476233927494</v>
      </c>
      <c r="F41" s="125">
        <f t="shared" si="8"/>
        <v>3.3057565310420407</v>
      </c>
      <c r="G41" s="125">
        <f t="shared" si="9"/>
        <v>0.97241026230935712</v>
      </c>
      <c r="H41" s="127">
        <f t="shared" si="10"/>
        <v>0.8466919692278152</v>
      </c>
      <c r="I41" s="128">
        <f t="shared" si="11"/>
        <v>2.5</v>
      </c>
      <c r="J41" s="129">
        <f t="shared" si="12"/>
        <v>1.2508574169888089E-2</v>
      </c>
      <c r="K41" s="130">
        <f t="shared" si="13"/>
        <v>-0.16406189556456813</v>
      </c>
      <c r="L41" s="131">
        <f t="shared" si="14"/>
        <v>-0.27590363271974688</v>
      </c>
      <c r="M41" s="132">
        <f t="shared" si="15"/>
        <v>2.2381445463055958E-2</v>
      </c>
      <c r="N41" s="54"/>
      <c r="O41" s="4"/>
      <c r="P41" s="4"/>
    </row>
    <row r="42" spans="1:16" x14ac:dyDescent="0.2">
      <c r="A42" s="122">
        <f t="shared" si="3"/>
        <v>5</v>
      </c>
      <c r="B42" s="123">
        <f t="shared" si="6"/>
        <v>9</v>
      </c>
      <c r="C42" s="124">
        <f t="shared" si="4"/>
        <v>0.80194866802638853</v>
      </c>
      <c r="D42" s="125">
        <f t="shared" si="5"/>
        <v>0.64354521280230015</v>
      </c>
      <c r="E42" s="125">
        <f t="shared" si="7"/>
        <v>0.80247681486407052</v>
      </c>
      <c r="F42" s="125">
        <f t="shared" si="8"/>
        <v>3.7476551405881509</v>
      </c>
      <c r="G42" s="125">
        <f t="shared" si="9"/>
        <v>0.96448497389478627</v>
      </c>
      <c r="H42" s="127">
        <f t="shared" si="10"/>
        <v>0.82439292449014112</v>
      </c>
      <c r="I42" s="128">
        <f t="shared" si="11"/>
        <v>2.5</v>
      </c>
      <c r="J42" s="129">
        <f t="shared" si="12"/>
        <v>1.6076271028528058E-2</v>
      </c>
      <c r="K42" s="130">
        <f t="shared" si="13"/>
        <v>-0.14911139704055215</v>
      </c>
      <c r="L42" s="131">
        <f t="shared" si="14"/>
        <v>-0.27590363271974527</v>
      </c>
      <c r="M42" s="132">
        <f t="shared" si="15"/>
        <v>2.4927654277530343E-2</v>
      </c>
      <c r="N42" s="54"/>
      <c r="O42" s="4"/>
      <c r="P42" s="4"/>
    </row>
    <row r="43" spans="1:16" x14ac:dyDescent="0.2">
      <c r="A43" s="122">
        <f t="shared" si="3"/>
        <v>5</v>
      </c>
      <c r="B43" s="123">
        <f t="shared" si="6"/>
        <v>9.5</v>
      </c>
      <c r="C43" s="124">
        <f t="shared" si="4"/>
        <v>0.80194866802638853</v>
      </c>
      <c r="D43" s="125">
        <f t="shared" si="5"/>
        <v>0.62488409618226315</v>
      </c>
      <c r="E43" s="125">
        <f t="shared" si="7"/>
        <v>0.77920710027502782</v>
      </c>
      <c r="F43" s="125">
        <f t="shared" si="8"/>
        <v>4.1823344794476807</v>
      </c>
      <c r="G43" s="125">
        <f t="shared" si="9"/>
        <v>0.95571208360308535</v>
      </c>
      <c r="H43" s="127">
        <f t="shared" si="10"/>
        <v>0.80215824427760274</v>
      </c>
      <c r="I43" s="128">
        <f t="shared" si="11"/>
        <v>2.5</v>
      </c>
      <c r="J43" s="129">
        <f t="shared" si="12"/>
        <v>2.0021822338012762E-2</v>
      </c>
      <c r="K43" s="130">
        <f t="shared" si="13"/>
        <v>-0.13440514390091668</v>
      </c>
      <c r="L43" s="131">
        <f t="shared" si="14"/>
        <v>-0.27590363271974738</v>
      </c>
      <c r="M43" s="132">
        <f t="shared" si="15"/>
        <v>2.7310059531964311E-2</v>
      </c>
      <c r="N43" s="54"/>
      <c r="O43" s="4"/>
      <c r="P43" s="4"/>
    </row>
    <row r="44" spans="1:16" x14ac:dyDescent="0.2">
      <c r="A44" s="133">
        <f t="shared" si="3"/>
        <v>5</v>
      </c>
      <c r="B44" s="134">
        <f t="shared" si="6"/>
        <v>10</v>
      </c>
      <c r="C44" s="135">
        <f t="shared" si="4"/>
        <v>0.80194866802638853</v>
      </c>
      <c r="D44" s="136">
        <f t="shared" si="5"/>
        <v>0.60653065971263342</v>
      </c>
      <c r="E44" s="136">
        <f t="shared" si="7"/>
        <v>0.75632105132778304</v>
      </c>
      <c r="F44" s="136">
        <f t="shared" si="8"/>
        <v>4.6099124884064189</v>
      </c>
      <c r="G44" s="136">
        <f t="shared" si="9"/>
        <v>0.94614126118040232</v>
      </c>
      <c r="H44" s="137">
        <f t="shared" si="10"/>
        <v>0.78003178200385037</v>
      </c>
      <c r="I44" s="138">
        <f>Principal*coupon/2+Principal</f>
        <v>102.5</v>
      </c>
      <c r="J44" s="139">
        <f t="shared" si="12"/>
        <v>2.4324921141561321E-2</v>
      </c>
      <c r="K44" s="140">
        <f t="shared" si="13"/>
        <v>-0.11993914592367719</v>
      </c>
      <c r="L44" s="141">
        <f t="shared" si="14"/>
        <v>-0.27590363271974661</v>
      </c>
      <c r="M44" s="142">
        <f t="shared" si="15"/>
        <v>2.9530158330242803E-2</v>
      </c>
      <c r="N44" s="54"/>
      <c r="O44" s="4"/>
      <c r="P44" s="4"/>
    </row>
    <row r="45" spans="1:16" x14ac:dyDescent="0.2">
      <c r="A45" s="51"/>
      <c r="B45" s="27"/>
      <c r="C45" s="27"/>
      <c r="D45" s="27"/>
      <c r="E45" s="27"/>
      <c r="F45" s="27"/>
      <c r="G45" s="27"/>
      <c r="H45" s="105" t="s">
        <v>60</v>
      </c>
      <c r="I45" s="62">
        <f>SUMPRODUCT(I35:I44,H35:H44)</f>
        <v>100.00000000000041</v>
      </c>
      <c r="J45" s="27"/>
      <c r="K45" s="27"/>
      <c r="L45" s="63" t="s">
        <v>51</v>
      </c>
      <c r="M45" s="120">
        <f>SUMPRODUCT(M35:M44,I35:I44)</f>
        <v>3.3924763022870303</v>
      </c>
      <c r="N45" s="54"/>
      <c r="O45" s="4"/>
      <c r="P45" s="4"/>
    </row>
    <row r="46" spans="1:16" x14ac:dyDescent="0.2">
      <c r="A46" s="51"/>
      <c r="B46" s="27"/>
      <c r="C46" s="27"/>
      <c r="D46" s="27"/>
      <c r="E46" s="27"/>
      <c r="F46" s="27"/>
      <c r="G46" s="27"/>
      <c r="H46" s="27"/>
      <c r="I46" s="80">
        <f>I45-Strike</f>
        <v>4.1211478674085811E-13</v>
      </c>
      <c r="J46" s="27"/>
      <c r="K46" s="27"/>
      <c r="L46" s="27"/>
      <c r="M46" s="27"/>
      <c r="N46" s="54"/>
      <c r="O46" s="4"/>
      <c r="P46" s="4"/>
    </row>
    <row r="47" spans="1:16" x14ac:dyDescent="0.2">
      <c r="A47" s="52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64"/>
      <c r="O47" s="4"/>
      <c r="P47" s="4"/>
    </row>
  </sheetData>
  <customSheetViews>
    <customSheetView guid="{4B0C3F6F-F662-4DAE-ADBE-0ABF48CD31B6}" hiddenRows="1">
      <selection activeCell="J26" sqref="J26"/>
      <pageMargins left="0.7" right="0.7" top="0.75" bottom="0.75" header="0.3" footer="0.3"/>
      <pageSetup orientation="portrait" r:id="rId1"/>
    </customSheetView>
    <customSheetView guid="{5DD8D364-752E-485B-91C5-5F41496F91AB}" hiddenRows="1">
      <selection activeCell="J35" sqref="J35"/>
      <pageMargins left="0.7" right="0.7" top="0.75" bottom="0.75" header="0.3" footer="0.3"/>
      <pageSetup orientation="portrait" r:id="rId2"/>
    </customSheetView>
  </customSheetViews>
  <mergeCells count="6">
    <mergeCell ref="J32:L32"/>
    <mergeCell ref="B4:F4"/>
    <mergeCell ref="B8:D8"/>
    <mergeCell ref="A31:G32"/>
    <mergeCell ref="I22:I23"/>
    <mergeCell ref="F22:H23"/>
  </mergeCells>
  <pageMargins left="0.7" right="0.7" top="0.75" bottom="0.75" header="0.3" footer="0.3"/>
  <pageSetup orientation="portrait" r:id="rId3"/>
  <drawing r:id="rId4"/>
  <legacyDrawing r:id="rId5"/>
  <oleObjects>
    <mc:AlternateContent xmlns:mc="http://schemas.openxmlformats.org/markup-compatibility/2006">
      <mc:Choice Requires="x14">
        <oleObject progId="Word.Document.8" shapeId="2049" r:id="rId6">
          <objectPr defaultSize="0" r:id="rId7">
            <anchor moveWithCells="1">
              <from>
                <xdr:col>0</xdr:col>
                <xdr:colOff>9525</xdr:colOff>
                <xdr:row>0</xdr:row>
                <xdr:rowOff>19050</xdr:rowOff>
              </from>
              <to>
                <xdr:col>14</xdr:col>
                <xdr:colOff>0</xdr:colOff>
                <xdr:row>2</xdr:row>
                <xdr:rowOff>9525</xdr:rowOff>
              </to>
            </anchor>
          </objectPr>
        </oleObject>
      </mc:Choice>
      <mc:Fallback>
        <oleObject progId="Word.Document.8" shapeId="2049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size="36" baseType="lpstr">
      <vt:lpstr>Grade</vt:lpstr>
      <vt:lpstr>Problem 1</vt:lpstr>
      <vt:lpstr>Problem 2</vt:lpstr>
      <vt:lpstr>Problem 3</vt:lpstr>
      <vt:lpstr>Problem 4</vt:lpstr>
      <vt:lpstr>A_exer_matur</vt:lpstr>
      <vt:lpstr>al</vt:lpstr>
      <vt:lpstr>B</vt:lpstr>
      <vt:lpstr>B_exer_matur</vt:lpstr>
      <vt:lpstr>cap_strike</vt:lpstr>
      <vt:lpstr>coupon</vt:lpstr>
      <vt:lpstr>delta_t</vt:lpstr>
      <vt:lpstr>exer_time</vt:lpstr>
      <vt:lpstr>floor_mat1</vt:lpstr>
      <vt:lpstr>floor_mat2</vt:lpstr>
      <vt:lpstr>floor_mat3</vt:lpstr>
      <vt:lpstr>floor_price1</vt:lpstr>
      <vt:lpstr>floor_price2</vt:lpstr>
      <vt:lpstr>floor_price3</vt:lpstr>
      <vt:lpstr>floor_strike1</vt:lpstr>
      <vt:lpstr>floor_strike2</vt:lpstr>
      <vt:lpstr>floor_strike3</vt:lpstr>
      <vt:lpstr>floor_vol1</vt:lpstr>
      <vt:lpstr>floor_vol2</vt:lpstr>
      <vt:lpstr>floor_vol3</vt:lpstr>
      <vt:lpstr>mean_rev</vt:lpstr>
      <vt:lpstr>P_exer_matur</vt:lpstr>
      <vt:lpstr>P_star</vt:lpstr>
      <vt:lpstr>Principal</vt:lpstr>
      <vt:lpstr>r_star</vt:lpstr>
      <vt:lpstr>sigma</vt:lpstr>
      <vt:lpstr>Strike</vt:lpstr>
      <vt:lpstr>t</vt:lpstr>
      <vt:lpstr>t_exer</vt:lpstr>
      <vt:lpstr>t_matur</vt:lpstr>
      <vt:lpstr>variance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admosbing</dc:creator>
  <cp:lastModifiedBy>Andrei</cp:lastModifiedBy>
  <dcterms:created xsi:type="dcterms:W3CDTF">2007-04-02T21:18:55Z</dcterms:created>
  <dcterms:modified xsi:type="dcterms:W3CDTF">2016-03-30T13:28:23Z</dcterms:modified>
</cp:coreProperties>
</file>