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7740" firstSheet="1" activeTab="2"/>
  </bookViews>
  <sheets>
    <sheet name="Treasury Bond Pricing" sheetId="1" r:id="rId1"/>
    <sheet name="Bootstrapping by Fitting" sheetId="2" r:id="rId2"/>
    <sheet name="Bootstrapping by Iteration" sheetId="3" r:id="rId3"/>
    <sheet name="Pricing New Bond" sheetId="4" r:id="rId4"/>
  </sheets>
  <definedNames>
    <definedName name="_cpn2">'Treasury Bond Pricing'!$H$16</definedName>
    <definedName name="_cpn3">'Treasury Bond Pricing'!$H$17</definedName>
    <definedName name="_mat1">'Treasury Bond Pricing'!$C$6</definedName>
    <definedName name="_mat2">'Treasury Bond Pricing'!$C$7</definedName>
    <definedName name="_mat3">'Treasury Bond Pricing'!$C$8</definedName>
    <definedName name="a_1">'Bootstrapping by Fitting'!$E$39</definedName>
    <definedName name="a_2">'Bootstrapping by Fitting'!$E$40</definedName>
    <definedName name="AsOfDate">'Treasury Bond Pricing'!$C$2</definedName>
    <definedName name="b_1">'Bootstrapping by Fitting'!$F$39</definedName>
    <definedName name="b_2">'Bootstrapping by Fitting'!$F$40</definedName>
    <definedName name="c_1">'Bootstrapping by Fitting'!$G$39</definedName>
    <definedName name="c_2">'Bootstrapping by Fitting'!$G$40</definedName>
    <definedName name="cf_1" localSheetId="2">'Bootstrapping by Iteration'!$C$4:$C$32</definedName>
    <definedName name="cf_1">'Bootstrapping by Fitting'!$F$4:$F$32</definedName>
    <definedName name="cf_2" localSheetId="2">'Bootstrapping by Iteration'!$D$4:$D$32</definedName>
    <definedName name="cf_2">'Bootstrapping by Fitting'!$G$4:$G$32</definedName>
    <definedName name="cf_3" localSheetId="2">'Bootstrapping by Iteration'!$E$4:$E$32</definedName>
    <definedName name="cf_3">'Bootstrapping by Fitting'!$H$4:$H$32</definedName>
    <definedName name="coupon">'Pricing New Bond'!$C$4</definedName>
    <definedName name="d_1">'Bootstrapping by Fitting'!$H$39</definedName>
    <definedName name="d_2">'Bootstrapping by Fitting'!$H$40</definedName>
    <definedName name="d_yld">'Treasury Bond Pricing'!$G$6</definedName>
    <definedName name="date" localSheetId="2">'Bootstrapping by Iteration'!$A$4:$A$32</definedName>
    <definedName name="date">'Bootstrapping by Fitting'!$B$4:$B$32</definedName>
    <definedName name="delta1">'Bootstrapping by Fitting'!$B$39</definedName>
    <definedName name="delta1_prime">'Bootstrapping by Fitting'!$C$39</definedName>
    <definedName name="delta2">'Bootstrapping by Fitting'!$B$40</definedName>
    <definedName name="delta2_prime">'Bootstrapping by Fitting'!$C$40</definedName>
    <definedName name="dscnt">'Bootstrapping by Fitting'!$E$4:$E$32</definedName>
    <definedName name="f1_prime">'Bootstrapping by Fitting'!$D$39</definedName>
    <definedName name="f2_prime">'Bootstrapping by Fitting'!$D$40</definedName>
    <definedName name="f3_prime">'Bootstrapping by Fitting'!$D$41</definedName>
    <definedName name="price1">'Treasury Bond Pricing'!$G$12</definedName>
    <definedName name="price2">'Treasury Bond Pricing'!$K$16</definedName>
    <definedName name="price3">'Treasury Bond Pricing'!$K$17</definedName>
    <definedName name="principal">'Pricing New Bond'!$F$4</definedName>
    <definedName name="rate">'Bootstrapping by Fitting'!$D$5:$D$32</definedName>
    <definedName name="rate1">'Bootstrapping by Fitting'!$D$8</definedName>
    <definedName name="rate2">'Bootstrapping by Fitting'!$D$19</definedName>
    <definedName name="rate3">'Bootstrapping by Fitting'!$D$32</definedName>
    <definedName name="t">'Pricing New Bond'!$E$9:$E$27</definedName>
    <definedName name="time" localSheetId="2">'Bootstrapping by Iteration'!$B$4:$B$32</definedName>
    <definedName name="time">'Bootstrapping by Fitting'!$C$4:$C$32</definedName>
    <definedName name="time1" localSheetId="2">'Bootstrapping by Iteration'!$B$8</definedName>
    <definedName name="time1">'Bootstrapping by Fitting'!$C$8</definedName>
    <definedName name="time2" localSheetId="2">'Bootstrapping by Iteration'!$B$19</definedName>
    <definedName name="time2">'Bootstrapping by Fitting'!$C$19</definedName>
    <definedName name="time3" localSheetId="2">'Bootstrapping by Iteration'!$B$32</definedName>
    <definedName name="time3">'Bootstrapping by Fitting'!$C$32</definedName>
  </definedNames>
  <calcPr calcId="144525" iterate="1" iterateCount="1000" iterateDelta="1e-7"/>
</workbook>
</file>

<file path=xl/sharedStrings.xml><?xml version="1.0" encoding="utf-8"?>
<sst xmlns="http://schemas.openxmlformats.org/spreadsheetml/2006/main" count="96">
  <si>
    <t>As-Of Date</t>
  </si>
  <si>
    <t>Market Quotes as of 2/12/07</t>
  </si>
  <si>
    <t>Name</t>
  </si>
  <si>
    <t>Maturity</t>
  </si>
  <si>
    <t>Coupon</t>
  </si>
  <si>
    <t>Day Count</t>
  </si>
  <si>
    <t>Pay Dates</t>
  </si>
  <si>
    <t>Market Quote</t>
  </si>
  <si>
    <t>Quote</t>
  </si>
  <si>
    <t>Type</t>
  </si>
  <si>
    <t>Treasury 
Bill</t>
  </si>
  <si>
    <t>-</t>
  </si>
  <si>
    <t>Act/360</t>
  </si>
  <si>
    <t>Discount Yield</t>
  </si>
  <si>
    <t>Treasury Note/Bond</t>
  </si>
  <si>
    <t>30/360</t>
  </si>
  <si>
    <t>Jan 31 Jul 31</t>
  </si>
  <si>
    <t>99 – 27</t>
  </si>
  <si>
    <t>32 - nds</t>
  </si>
  <si>
    <t>Feb 15 Aug 15</t>
  </si>
  <si>
    <t>99 - 11</t>
  </si>
  <si>
    <t>Treasury Bill</t>
  </si>
  <si>
    <t>Dscnt Yield</t>
  </si>
  <si>
    <t>Days To Matur</t>
  </si>
  <si>
    <t>Years To Matur</t>
  </si>
  <si>
    <t>Price</t>
  </si>
  <si>
    <t>Treasury Notes/Bonds</t>
  </si>
  <si>
    <t>Bgn Pmnt Prd</t>
  </si>
  <si>
    <t>End Pmnt Prd</t>
  </si>
  <si>
    <t>Days in Pmnt Period</t>
  </si>
  <si>
    <t>Days Till Nxt Pmnt</t>
  </si>
  <si>
    <t>Accrued</t>
  </si>
  <si>
    <t>Clean Price</t>
  </si>
  <si>
    <t>Dirty Price</t>
  </si>
  <si>
    <t>Bond Cash Flows</t>
  </si>
  <si>
    <t>CF Dates</t>
  </si>
  <si>
    <t>Time (Act/365)</t>
  </si>
  <si>
    <t>Cont Spot Rate</t>
  </si>
  <si>
    <t xml:space="preserve">Zero Bond </t>
  </si>
  <si>
    <t>Bond 1</t>
  </si>
  <si>
    <t>Bond 2</t>
  </si>
  <si>
    <t>Bond 3</t>
  </si>
  <si>
    <t>Price:</t>
  </si>
  <si>
    <t>Market Price:</t>
  </si>
  <si>
    <t>Error:</t>
  </si>
  <si>
    <t>Butland Monotone Cubic Spline</t>
  </si>
  <si>
    <t>Node</t>
  </si>
  <si>
    <t>Delta</t>
  </si>
  <si>
    <t>Delta_Prime</t>
  </si>
  <si>
    <t>Slope</t>
  </si>
  <si>
    <t>a</t>
  </si>
  <si>
    <t>b</t>
  </si>
  <si>
    <t>c</t>
  </si>
  <si>
    <t>d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</si>
  <si>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</si>
  <si>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</si>
  <si>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</si>
  <si>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</si>
  <si>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</si>
  <si>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</si>
  <si>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</si>
  <si>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</si>
  <si>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</si>
  <si>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</si>
  <si>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</si>
  <si>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Time 2 (Act/365)</t>
  </si>
  <si>
    <t>Rate</t>
  </si>
  <si>
    <t xml:space="preserve">Zero Prc </t>
  </si>
  <si>
    <t>Error 1</t>
  </si>
  <si>
    <t>Error 2</t>
  </si>
  <si>
    <t>Error 3</t>
  </si>
  <si>
    <t>delta1</t>
  </si>
  <si>
    <t>delta2</t>
  </si>
  <si>
    <t>delta1_prime</t>
  </si>
  <si>
    <t>delta2_prime</t>
  </si>
  <si>
    <t>slope1</t>
  </si>
  <si>
    <t>slope2</t>
  </si>
  <si>
    <t>slope3</t>
  </si>
  <si>
    <t>a_1</t>
  </si>
  <si>
    <t>a_2</t>
  </si>
  <si>
    <t>b_1</t>
  </si>
  <si>
    <t>b_2</t>
  </si>
  <si>
    <t>c_1</t>
  </si>
  <si>
    <t>c_2</t>
  </si>
  <si>
    <t>d_1</t>
  </si>
  <si>
    <t>d_2</t>
  </si>
  <si>
    <t>Using bootstrapped curve, price the following bond as of 2/12/07</t>
  </si>
  <si>
    <t>Payment Dates</t>
  </si>
  <si>
    <t>Principal</t>
  </si>
  <si>
    <t>Mar 20, Sep 20</t>
  </si>
  <si>
    <t>Rate Interpolation and Discount Factor Computation</t>
  </si>
  <si>
    <t>Bond Pricing</t>
  </si>
  <si>
    <t>Interp Dates</t>
  </si>
  <si>
    <t>Interp Rates</t>
  </si>
  <si>
    <t>Discount Factors</t>
  </si>
  <si>
    <t>Cash Flows</t>
  </si>
</sst>
</file>

<file path=xl/styles.xml><?xml version="1.0" encoding="utf-8"?>
<styleSheet xmlns="http://schemas.openxmlformats.org/spreadsheetml/2006/main">
  <numFmts count="18">
    <numFmt numFmtId="42" formatCode="_ &quot;￥&quot;* #,##0_ ;_ &quot;￥&quot;* \-#,##0_ ;_ &quot;￥&quot;* &quot;-&quot;_ ;_ @_ "/>
    <numFmt numFmtId="176" formatCode="#\ ?/?"/>
    <numFmt numFmtId="41" formatCode="_ * #,##0_ ;_ * \-#,##0_ ;_ * &quot;-&quot;_ ;_ @_ "/>
    <numFmt numFmtId="177" formatCode="_(&quot;$&quot;* #,##0.000_);_(&quot;$&quot;* \(#,##0.000\);_(&quot;$&quot;* &quot;-&quot;??_);_(@_)"/>
    <numFmt numFmtId="178" formatCode="m/d/yyyy;@"/>
    <numFmt numFmtId="179" formatCode="0.000000"/>
    <numFmt numFmtId="180" formatCode="0.0000000"/>
    <numFmt numFmtId="181" formatCode="_(&quot;$&quot;* #,##0.00_);_(&quot;$&quot;* \(#,##0.00\);_(&quot;$&quot;* &quot;-&quot;??_);_(@_)"/>
    <numFmt numFmtId="182" formatCode="#,##0.000000"/>
    <numFmt numFmtId="183" formatCode="_(* #,##0.00_);_(* \(#,##0.00\);_(* &quot;-&quot;??_);_(@_)"/>
    <numFmt numFmtId="184" formatCode="_(&quot;$&quot;* #,##0.0000_);_(&quot;$&quot;* \(#,##0.0000\);_(&quot;$&quot;* &quot;-&quot;??_);_(@_)"/>
    <numFmt numFmtId="185" formatCode="0.0000%"/>
    <numFmt numFmtId="186" formatCode="0.0000000000"/>
    <numFmt numFmtId="187" formatCode="#,##0.00000"/>
    <numFmt numFmtId="188" formatCode="&quot;$&quot;#,##0.000000"/>
    <numFmt numFmtId="189" formatCode="_(&quot;$&quot;* #,##0.00000_);_(&quot;$&quot;* \(#,##0.00000\);_(&quot;$&quot;* &quot;-&quot;??_);_(@_)"/>
    <numFmt numFmtId="190" formatCode="0.000000000"/>
    <numFmt numFmtId="191" formatCode="0.000%"/>
  </numFmts>
  <fonts count="31">
    <font>
      <sz val="10"/>
      <name val="Arial"/>
      <charset val="134"/>
    </font>
    <font>
      <b/>
      <sz val="11"/>
      <name val="Arial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b/>
      <sz val="10"/>
      <color indexed="10"/>
      <name val="Arial"/>
      <charset val="134"/>
    </font>
    <font>
      <b/>
      <sz val="10"/>
      <color rgb="FFFF0000"/>
      <name val="Arial"/>
      <charset val="134"/>
    </font>
    <font>
      <sz val="10"/>
      <color rgb="FF002060"/>
      <name val="Arial"/>
      <charset val="134"/>
    </font>
    <font>
      <sz val="10"/>
      <color rgb="FF7030A0"/>
      <name val="Arial"/>
      <charset val="134"/>
    </font>
    <font>
      <b/>
      <sz val="12"/>
      <name val="Arial"/>
      <charset val="134"/>
    </font>
    <font>
      <sz val="12"/>
      <name val="Times New Roman"/>
      <charset val="134"/>
    </font>
    <font>
      <b/>
      <sz val="10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2" borderId="25" applyNumberFormat="0" applyAlignment="0" applyProtection="0">
      <alignment vertical="center"/>
    </xf>
    <xf numFmtId="181" fontId="0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183" fontId="0" fillId="0" borderId="0" applyFont="0" applyFill="0" applyBorder="0" applyAlignment="0" applyProtection="0"/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1" fillId="4" borderId="24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9" fillId="20" borderId="30" applyNumberFormat="0" applyAlignment="0" applyProtection="0">
      <alignment vertical="center"/>
    </xf>
    <xf numFmtId="0" fontId="21" fillId="20" borderId="25" applyNumberFormat="0" applyAlignment="0" applyProtection="0">
      <alignment vertical="center"/>
    </xf>
    <xf numFmtId="0" fontId="30" fillId="28" borderId="31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</cellStyleXfs>
  <cellXfs count="151">
    <xf numFmtId="0" fontId="0" fillId="0" borderId="0" xfId="49"/>
    <xf numFmtId="0" fontId="0" fillId="0" borderId="0" xfId="49" applyAlignment="1">
      <alignment horizontal="center"/>
    </xf>
    <xf numFmtId="0" fontId="0" fillId="0" borderId="0" xfId="49" applyFill="1"/>
    <xf numFmtId="0" fontId="1" fillId="0" borderId="0" xfId="49" applyFont="1"/>
    <xf numFmtId="0" fontId="0" fillId="0" borderId="1" xfId="49" applyBorder="1" applyAlignment="1">
      <alignment horizontal="center"/>
    </xf>
    <xf numFmtId="0" fontId="0" fillId="0" borderId="2" xfId="49" applyBorder="1" applyAlignment="1">
      <alignment horizontal="center"/>
    </xf>
    <xf numFmtId="0" fontId="0" fillId="0" borderId="3" xfId="49" applyFont="1" applyBorder="1" applyAlignment="1">
      <alignment horizontal="center"/>
    </xf>
    <xf numFmtId="14" fontId="0" fillId="0" borderId="4" xfId="49" applyNumberFormat="1" applyBorder="1"/>
    <xf numFmtId="10" fontId="0" fillId="0" borderId="5" xfId="49" applyNumberFormat="1" applyBorder="1"/>
    <xf numFmtId="0" fontId="0" fillId="0" borderId="5" xfId="49" applyBorder="1" applyAlignment="1">
      <alignment horizontal="center"/>
    </xf>
    <xf numFmtId="0" fontId="0" fillId="0" borderId="5" xfId="49" applyFont="1" applyBorder="1" applyAlignment="1">
      <alignment horizontal="center"/>
    </xf>
    <xf numFmtId="181" fontId="0" fillId="0" borderId="6" xfId="4" applyFont="1" applyBorder="1"/>
    <xf numFmtId="14" fontId="0" fillId="0" borderId="0" xfId="49" applyNumberFormat="1"/>
    <xf numFmtId="0" fontId="2" fillId="0" borderId="7" xfId="49" applyFont="1" applyBorder="1" applyAlignment="1">
      <alignment horizontal="center"/>
    </xf>
    <xf numFmtId="0" fontId="2" fillId="0" borderId="8" xfId="49" applyFont="1" applyBorder="1" applyAlignment="1">
      <alignment horizontal="center"/>
    </xf>
    <xf numFmtId="0" fontId="2" fillId="0" borderId="9" xfId="49" applyFont="1" applyBorder="1" applyAlignment="1">
      <alignment horizontal="center"/>
    </xf>
    <xf numFmtId="0" fontId="3" fillId="0" borderId="2" xfId="49" applyFont="1" applyBorder="1" applyAlignment="1">
      <alignment horizontal="center"/>
    </xf>
    <xf numFmtId="0" fontId="0" fillId="0" borderId="2" xfId="49" applyFont="1" applyBorder="1" applyAlignment="1">
      <alignment horizontal="center"/>
    </xf>
    <xf numFmtId="0" fontId="0" fillId="0" borderId="3" xfId="49" applyBorder="1" applyAlignment="1">
      <alignment horizontal="center"/>
    </xf>
    <xf numFmtId="178" fontId="0" fillId="2" borderId="10" xfId="49" applyNumberFormat="1" applyFill="1" applyBorder="1"/>
    <xf numFmtId="185" fontId="3" fillId="2" borderId="0" xfId="11" applyNumberFormat="1" applyFont="1" applyFill="1" applyBorder="1"/>
    <xf numFmtId="14" fontId="0" fillId="2" borderId="0" xfId="49" applyNumberFormat="1" applyFill="1" applyBorder="1"/>
    <xf numFmtId="0" fontId="0" fillId="0" borderId="0" xfId="49" applyBorder="1"/>
    <xf numFmtId="0" fontId="0" fillId="0" borderId="11" xfId="49" applyBorder="1"/>
    <xf numFmtId="178" fontId="0" fillId="0" borderId="10" xfId="49" applyNumberFormat="1" applyBorder="1"/>
    <xf numFmtId="185" fontId="3" fillId="0" borderId="0" xfId="11" applyNumberFormat="1" applyFont="1" applyBorder="1"/>
    <xf numFmtId="14" fontId="0" fillId="0" borderId="0" xfId="49" applyNumberFormat="1" applyBorder="1"/>
    <xf numFmtId="186" fontId="0" fillId="0" borderId="11" xfId="49" applyNumberFormat="1" applyBorder="1"/>
    <xf numFmtId="181" fontId="0" fillId="0" borderId="11" xfId="4" applyFont="1" applyBorder="1"/>
    <xf numFmtId="185" fontId="0" fillId="0" borderId="0" xfId="11" applyNumberFormat="1" applyFont="1" applyBorder="1"/>
    <xf numFmtId="185" fontId="0" fillId="2" borderId="0" xfId="11" applyNumberFormat="1" applyFont="1" applyFill="1" applyBorder="1"/>
    <xf numFmtId="184" fontId="0" fillId="0" borderId="11" xfId="4" applyNumberFormat="1" applyFont="1" applyBorder="1"/>
    <xf numFmtId="178" fontId="0" fillId="0" borderId="10" xfId="49" applyNumberFormat="1" applyFill="1" applyBorder="1"/>
    <xf numFmtId="0" fontId="0" fillId="0" borderId="10" xfId="49" applyBorder="1"/>
    <xf numFmtId="178" fontId="0" fillId="2" borderId="4" xfId="49" applyNumberFormat="1" applyFill="1" applyBorder="1"/>
    <xf numFmtId="185" fontId="0" fillId="2" borderId="5" xfId="49" applyNumberFormat="1" applyFill="1" applyBorder="1"/>
    <xf numFmtId="14" fontId="0" fillId="2" borderId="5" xfId="49" applyNumberFormat="1" applyFill="1" applyBorder="1"/>
    <xf numFmtId="0" fontId="0" fillId="0" borderId="5" xfId="49" applyBorder="1"/>
    <xf numFmtId="186" fontId="0" fillId="0" borderId="6" xfId="49" applyNumberFormat="1" applyBorder="1"/>
    <xf numFmtId="0" fontId="0" fillId="0" borderId="0" xfId="49" applyFont="1" applyAlignment="1">
      <alignment horizontal="right"/>
    </xf>
    <xf numFmtId="184" fontId="4" fillId="2" borderId="9" xfId="4" applyNumberFormat="1" applyFont="1" applyFill="1" applyBorder="1"/>
    <xf numFmtId="1" fontId="0" fillId="0" borderId="0" xfId="49" applyNumberFormat="1"/>
    <xf numFmtId="0" fontId="2" fillId="0" borderId="0" xfId="49" applyFont="1" applyAlignment="1">
      <alignment horizontal="center"/>
    </xf>
    <xf numFmtId="0" fontId="2" fillId="0" borderId="0" xfId="49" applyFont="1"/>
    <xf numFmtId="0" fontId="2" fillId="0" borderId="12" xfId="49" applyFont="1" applyBorder="1" applyAlignment="1">
      <alignment horizontal="center"/>
    </xf>
    <xf numFmtId="0" fontId="2" fillId="0" borderId="1" xfId="49" applyFont="1" applyBorder="1" applyAlignment="1">
      <alignment horizontal="center"/>
    </xf>
    <xf numFmtId="0" fontId="2" fillId="0" borderId="3" xfId="49" applyFont="1" applyBorder="1" applyAlignment="1">
      <alignment horizontal="center"/>
    </xf>
    <xf numFmtId="0" fontId="5" fillId="0" borderId="1" xfId="49" applyFont="1" applyBorder="1" applyAlignment="1">
      <alignment horizontal="center"/>
    </xf>
    <xf numFmtId="178" fontId="0" fillId="0" borderId="0" xfId="49" applyNumberFormat="1"/>
    <xf numFmtId="0" fontId="0" fillId="0" borderId="1" xfId="49" applyBorder="1"/>
    <xf numFmtId="0" fontId="0" fillId="0" borderId="2" xfId="49" applyBorder="1"/>
    <xf numFmtId="0" fontId="0" fillId="0" borderId="3" xfId="49" applyBorder="1"/>
    <xf numFmtId="181" fontId="0" fillId="0" borderId="0" xfId="4" applyFont="1" applyBorder="1"/>
    <xf numFmtId="177" fontId="0" fillId="0" borderId="11" xfId="4" applyNumberFormat="1" applyFont="1" applyBorder="1"/>
    <xf numFmtId="185" fontId="3" fillId="0" borderId="10" xfId="11" applyNumberFormat="1" applyFont="1" applyBorder="1"/>
    <xf numFmtId="180" fontId="0" fillId="0" borderId="11" xfId="49" applyNumberFormat="1" applyBorder="1"/>
    <xf numFmtId="0" fontId="3" fillId="0" borderId="10" xfId="49" applyFont="1" applyBorder="1"/>
    <xf numFmtId="177" fontId="0" fillId="0" borderId="0" xfId="4" applyNumberFormat="1" applyFont="1" applyBorder="1"/>
    <xf numFmtId="185" fontId="0" fillId="0" borderId="10" xfId="11" applyNumberFormat="1" applyFont="1" applyBorder="1"/>
    <xf numFmtId="178" fontId="2" fillId="3" borderId="0" xfId="49" applyNumberFormat="1" applyFont="1" applyFill="1"/>
    <xf numFmtId="0" fontId="2" fillId="3" borderId="0" xfId="49" applyFont="1" applyFill="1"/>
    <xf numFmtId="181" fontId="6" fillId="0" borderId="10" xfId="4" applyFont="1" applyBorder="1"/>
    <xf numFmtId="185" fontId="2" fillId="3" borderId="10" xfId="49" applyNumberFormat="1" applyFont="1" applyFill="1" applyBorder="1"/>
    <xf numFmtId="180" fontId="0" fillId="3" borderId="11" xfId="49" applyNumberFormat="1" applyFill="1" applyBorder="1"/>
    <xf numFmtId="185" fontId="5" fillId="3" borderId="10" xfId="49" applyNumberFormat="1" applyFont="1" applyFill="1" applyBorder="1"/>
    <xf numFmtId="180" fontId="7" fillId="0" borderId="11" xfId="49" applyNumberFormat="1" applyFont="1" applyBorder="1"/>
    <xf numFmtId="0" fontId="0" fillId="0" borderId="4" xfId="49" applyBorder="1"/>
    <xf numFmtId="181" fontId="0" fillId="0" borderId="5" xfId="4" applyFont="1" applyBorder="1"/>
    <xf numFmtId="177" fontId="0" fillId="0" borderId="6" xfId="4" applyNumberFormat="1" applyFont="1" applyBorder="1"/>
    <xf numFmtId="185" fontId="2" fillId="3" borderId="4" xfId="49" applyNumberFormat="1" applyFont="1" applyFill="1" applyBorder="1"/>
    <xf numFmtId="180" fontId="0" fillId="3" borderId="6" xfId="49" applyNumberFormat="1" applyFill="1" applyBorder="1"/>
    <xf numFmtId="0" fontId="0" fillId="0" borderId="1" xfId="49" applyFont="1" applyBorder="1" applyAlignment="1">
      <alignment horizontal="right"/>
    </xf>
    <xf numFmtId="180" fontId="0" fillId="0" borderId="2" xfId="49" applyNumberFormat="1" applyFill="1" applyBorder="1"/>
    <xf numFmtId="0" fontId="0" fillId="0" borderId="10" xfId="49" applyFont="1" applyBorder="1" applyAlignment="1">
      <alignment horizontal="right"/>
    </xf>
    <xf numFmtId="180" fontId="0" fillId="0" borderId="0" xfId="49" applyNumberFormat="1" applyFill="1" applyBorder="1"/>
    <xf numFmtId="0" fontId="0" fillId="0" borderId="4" xfId="49" applyFont="1" applyBorder="1" applyAlignment="1">
      <alignment horizontal="right"/>
    </xf>
    <xf numFmtId="180" fontId="0" fillId="0" borderId="5" xfId="49" applyNumberFormat="1" applyBorder="1"/>
    <xf numFmtId="0" fontId="8" fillId="0" borderId="11" xfId="49" applyFont="1" applyBorder="1" applyAlignment="1">
      <alignment horizontal="center" vertical="center" textRotation="90"/>
    </xf>
    <xf numFmtId="0" fontId="2" fillId="0" borderId="13" xfId="49" applyFont="1" applyBorder="1" applyAlignment="1">
      <alignment horizontal="right"/>
    </xf>
    <xf numFmtId="187" fontId="0" fillId="0" borderId="1" xfId="8" applyNumberFormat="1" applyFont="1" applyBorder="1"/>
    <xf numFmtId="187" fontId="0" fillId="0" borderId="2" xfId="8" applyNumberFormat="1" applyFont="1" applyBorder="1"/>
    <xf numFmtId="0" fontId="2" fillId="0" borderId="14" xfId="49" applyFont="1" applyBorder="1" applyAlignment="1">
      <alignment horizontal="right"/>
    </xf>
    <xf numFmtId="187" fontId="0" fillId="0" borderId="4" xfId="8" applyNumberFormat="1" applyFont="1" applyBorder="1"/>
    <xf numFmtId="187" fontId="0" fillId="0" borderId="5" xfId="8" applyNumberFormat="1" applyFont="1" applyBorder="1"/>
    <xf numFmtId="0" fontId="2" fillId="0" borderId="15" xfId="49" applyFont="1" applyBorder="1" applyAlignment="1">
      <alignment horizontal="right"/>
    </xf>
    <xf numFmtId="187" fontId="0" fillId="0" borderId="10" xfId="8" applyNumberFormat="1" applyFont="1" applyBorder="1"/>
    <xf numFmtId="187" fontId="0" fillId="0" borderId="0" xfId="8" applyNumberFormat="1" applyFont="1" applyBorder="1"/>
    <xf numFmtId="187" fontId="3" fillId="0" borderId="2" xfId="8" applyNumberFormat="1" applyFont="1" applyBorder="1"/>
    <xf numFmtId="0" fontId="0" fillId="0" borderId="0" xfId="49" applyAlignment="1">
      <alignment horizontal="right"/>
    </xf>
    <xf numFmtId="179" fontId="3" fillId="0" borderId="11" xfId="49" applyNumberFormat="1" applyFont="1" applyBorder="1"/>
    <xf numFmtId="179" fontId="0" fillId="0" borderId="11" xfId="49" applyNumberFormat="1" applyBorder="1"/>
    <xf numFmtId="179" fontId="5" fillId="3" borderId="11" xfId="8" applyNumberFormat="1" applyFont="1" applyFill="1" applyBorder="1"/>
    <xf numFmtId="179" fontId="2" fillId="3" borderId="11" xfId="8" applyNumberFormat="1" applyFont="1" applyFill="1" applyBorder="1"/>
    <xf numFmtId="179" fontId="7" fillId="0" borderId="11" xfId="49" applyNumberFormat="1" applyFont="1" applyBorder="1"/>
    <xf numFmtId="179" fontId="2" fillId="3" borderId="6" xfId="8" applyNumberFormat="1" applyFont="1" applyFill="1" applyBorder="1"/>
    <xf numFmtId="185" fontId="5" fillId="3" borderId="4" xfId="49" applyNumberFormat="1" applyFont="1" applyFill="1" applyBorder="1"/>
    <xf numFmtId="180" fontId="0" fillId="0" borderId="3" xfId="49" applyNumberFormat="1" applyFill="1" applyBorder="1"/>
    <xf numFmtId="180" fontId="0" fillId="0" borderId="11" xfId="49" applyNumberFormat="1" applyFill="1" applyBorder="1"/>
    <xf numFmtId="180" fontId="0" fillId="0" borderId="6" xfId="49" applyNumberFormat="1" applyBorder="1"/>
    <xf numFmtId="0" fontId="0" fillId="0" borderId="6" xfId="49" applyBorder="1"/>
    <xf numFmtId="185" fontId="0" fillId="0" borderId="0" xfId="11" applyNumberFormat="1" applyFont="1"/>
    <xf numFmtId="185" fontId="2" fillId="3" borderId="0" xfId="49" applyNumberFormat="1" applyFont="1" applyFill="1"/>
    <xf numFmtId="181" fontId="0" fillId="0" borderId="10" xfId="4" applyFont="1" applyBorder="1"/>
    <xf numFmtId="190" fontId="0" fillId="0" borderId="0" xfId="49" applyNumberFormat="1"/>
    <xf numFmtId="0" fontId="2" fillId="0" borderId="0" xfId="49" applyFont="1" applyAlignment="1">
      <alignment horizontal="right"/>
    </xf>
    <xf numFmtId="189" fontId="0" fillId="0" borderId="0" xfId="4" applyNumberFormat="1" applyFont="1"/>
    <xf numFmtId="188" fontId="0" fillId="0" borderId="0" xfId="4" applyNumberFormat="1" applyFont="1"/>
    <xf numFmtId="0" fontId="2" fillId="0" borderId="5" xfId="49" applyFont="1" applyBorder="1" applyAlignment="1">
      <alignment horizontal="center"/>
    </xf>
    <xf numFmtId="0" fontId="2" fillId="0" borderId="2" xfId="49" applyFont="1" applyBorder="1" applyAlignment="1">
      <alignment horizontal="center"/>
    </xf>
    <xf numFmtId="0" fontId="0" fillId="0" borderId="10" xfId="49" applyBorder="1" applyAlignment="1">
      <alignment horizontal="center"/>
    </xf>
    <xf numFmtId="182" fontId="0" fillId="0" borderId="0" xfId="8" applyNumberFormat="1" applyFont="1" applyBorder="1"/>
    <xf numFmtId="182" fontId="0" fillId="0" borderId="11" xfId="8" applyNumberFormat="1" applyFont="1" applyBorder="1"/>
    <xf numFmtId="0" fontId="0" fillId="0" borderId="4" xfId="49" applyBorder="1" applyAlignment="1">
      <alignment horizontal="center"/>
    </xf>
    <xf numFmtId="0" fontId="8" fillId="0" borderId="0" xfId="49" applyFont="1"/>
    <xf numFmtId="14" fontId="2" fillId="0" borderId="0" xfId="49" applyNumberFormat="1" applyFont="1" applyAlignment="1">
      <alignment horizontal="center"/>
    </xf>
    <xf numFmtId="0" fontId="1" fillId="0" borderId="16" xfId="49" applyFont="1" applyBorder="1" applyAlignment="1">
      <alignment horizontal="center"/>
    </xf>
    <xf numFmtId="0" fontId="9" fillId="0" borderId="17" xfId="49" applyFont="1" applyBorder="1" applyAlignment="1">
      <alignment horizontal="center" wrapText="1"/>
    </xf>
    <xf numFmtId="0" fontId="9" fillId="0" borderId="18" xfId="49" applyFont="1" applyBorder="1" applyAlignment="1">
      <alignment horizontal="center" wrapText="1"/>
    </xf>
    <xf numFmtId="0" fontId="9" fillId="0" borderId="19" xfId="49" applyFont="1" applyBorder="1" applyAlignment="1">
      <alignment horizontal="center" wrapText="1"/>
    </xf>
    <xf numFmtId="0" fontId="9" fillId="0" borderId="20" xfId="49" applyFont="1" applyBorder="1" applyAlignment="1">
      <alignment horizontal="center" wrapText="1"/>
    </xf>
    <xf numFmtId="0" fontId="9" fillId="0" borderId="21" xfId="49" applyFont="1" applyBorder="1" applyAlignment="1">
      <alignment horizontal="center" wrapText="1"/>
    </xf>
    <xf numFmtId="0" fontId="0" fillId="0" borderId="0" xfId="49" applyAlignment="1">
      <alignment horizontal="center" vertical="center"/>
    </xf>
    <xf numFmtId="0" fontId="9" fillId="0" borderId="22" xfId="49" applyFont="1" applyBorder="1" applyAlignment="1">
      <alignment horizontal="center" wrapText="1"/>
    </xf>
    <xf numFmtId="14" fontId="9" fillId="0" borderId="21" xfId="49" applyNumberFormat="1" applyFont="1" applyBorder="1" applyAlignment="1">
      <alignment horizontal="center" vertical="center" wrapText="1"/>
    </xf>
    <xf numFmtId="0" fontId="9" fillId="0" borderId="21" xfId="49" applyFont="1" applyBorder="1" applyAlignment="1">
      <alignment horizontal="center" vertical="center" wrapText="1"/>
    </xf>
    <xf numFmtId="10" fontId="9" fillId="0" borderId="21" xfId="49" applyNumberFormat="1" applyFont="1" applyBorder="1" applyAlignment="1">
      <alignment horizontal="center" vertical="center" wrapText="1"/>
    </xf>
    <xf numFmtId="0" fontId="9" fillId="0" borderId="17" xfId="49" applyFont="1" applyBorder="1" applyAlignment="1">
      <alignment horizontal="center" vertical="center" wrapText="1"/>
    </xf>
    <xf numFmtId="0" fontId="9" fillId="0" borderId="23" xfId="49" applyFont="1" applyBorder="1" applyAlignment="1">
      <alignment horizontal="center" wrapText="1"/>
    </xf>
    <xf numFmtId="176" fontId="9" fillId="0" borderId="21" xfId="49" applyNumberFormat="1" applyFont="1" applyBorder="1" applyAlignment="1">
      <alignment horizontal="center" vertical="center" wrapText="1"/>
    </xf>
    <xf numFmtId="14" fontId="9" fillId="0" borderId="23" xfId="49" applyNumberFormat="1" applyFont="1" applyBorder="1" applyAlignment="1">
      <alignment horizontal="center" vertical="center" wrapText="1"/>
    </xf>
    <xf numFmtId="176" fontId="9" fillId="0" borderId="23" xfId="49" applyNumberFormat="1" applyFont="1" applyBorder="1" applyAlignment="1">
      <alignment horizontal="center" vertical="center" wrapText="1"/>
    </xf>
    <xf numFmtId="0" fontId="9" fillId="0" borderId="23" xfId="49" applyFont="1" applyBorder="1" applyAlignment="1">
      <alignment horizontal="center" vertical="center" wrapText="1"/>
    </xf>
    <xf numFmtId="16" fontId="9" fillId="0" borderId="21" xfId="49" applyNumberFormat="1" applyFont="1" applyBorder="1" applyAlignment="1">
      <alignment horizontal="center" vertical="center" wrapText="1"/>
    </xf>
    <xf numFmtId="0" fontId="1" fillId="0" borderId="0" xfId="49" applyFont="1" applyAlignment="1">
      <alignment horizontal="center"/>
    </xf>
    <xf numFmtId="0" fontId="10" fillId="0" borderId="1" xfId="49" applyFont="1" applyFill="1" applyBorder="1" applyAlignment="1">
      <alignment horizontal="center" wrapText="1"/>
    </xf>
    <xf numFmtId="14" fontId="0" fillId="0" borderId="5" xfId="49" applyNumberFormat="1" applyBorder="1"/>
    <xf numFmtId="191" fontId="0" fillId="0" borderId="5" xfId="11" applyNumberFormat="1" applyFont="1" applyBorder="1"/>
    <xf numFmtId="189" fontId="5" fillId="3" borderId="6" xfId="4" applyNumberFormat="1" applyFont="1" applyFill="1" applyBorder="1"/>
    <xf numFmtId="0" fontId="1" fillId="0" borderId="5" xfId="49" applyFont="1" applyBorder="1" applyAlignment="1">
      <alignment horizontal="center"/>
    </xf>
    <xf numFmtId="0" fontId="2" fillId="0" borderId="2" xfId="49" applyFont="1" applyBorder="1" applyAlignment="1">
      <alignment horizontal="center" wrapText="1"/>
    </xf>
    <xf numFmtId="14" fontId="0" fillId="0" borderId="10" xfId="49" applyNumberFormat="1" applyBorder="1"/>
    <xf numFmtId="1" fontId="0" fillId="0" borderId="0" xfId="49" applyNumberFormat="1" applyBorder="1"/>
    <xf numFmtId="191" fontId="0" fillId="0" borderId="0" xfId="11" applyNumberFormat="1" applyFont="1" applyBorder="1"/>
    <xf numFmtId="178" fontId="0" fillId="0" borderId="4" xfId="49" applyNumberFormat="1" applyBorder="1"/>
    <xf numFmtId="178" fontId="0" fillId="0" borderId="5" xfId="49" applyNumberFormat="1" applyBorder="1"/>
    <xf numFmtId="1" fontId="0" fillId="0" borderId="5" xfId="49" applyNumberFormat="1" applyBorder="1"/>
    <xf numFmtId="0" fontId="2" fillId="0" borderId="3" xfId="49" applyFont="1" applyBorder="1" applyAlignment="1">
      <alignment horizontal="center" wrapText="1"/>
    </xf>
    <xf numFmtId="184" fontId="0" fillId="0" borderId="0" xfId="4" applyNumberFormat="1" applyFont="1" applyBorder="1"/>
    <xf numFmtId="184" fontId="5" fillId="3" borderId="11" xfId="4" applyNumberFormat="1" applyFont="1" applyFill="1" applyBorder="1"/>
    <xf numFmtId="184" fontId="0" fillId="0" borderId="5" xfId="4" applyNumberFormat="1" applyFont="1" applyBorder="1"/>
    <xf numFmtId="184" fontId="5" fillId="3" borderId="6" xfId="4" applyNumberFormat="1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"Cont Spot Rate"</c:f>
              <c:strCache>
                <c:ptCount val="1"/>
                <c:pt idx="0">
                  <c:v>Cont Spot Rate</c:v>
                </c:pt>
              </c:strCache>
            </c:strRef>
          </c:tx>
          <c:spPr>
            <a:noFill/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xVal>
            <c:numRef>
              <c:f>'Bootstrapping by Fitting'!$C$5:$C$32</c:f>
              <c:numCache>
                <c:formatCode>General</c:formatCode>
                <c:ptCount val="28"/>
                <c:pt idx="0" c:formatCode="General">
                  <c:v>0.00821917808219178</c:v>
                </c:pt>
                <c:pt idx="1" c:formatCode="General">
                  <c:v>0.463013698630137</c:v>
                </c:pt>
                <c:pt idx="2" c:formatCode="General">
                  <c:v>0.504109589041096</c:v>
                </c:pt>
                <c:pt idx="3" c:formatCode="General">
                  <c:v>0.575342465753425</c:v>
                </c:pt>
                <c:pt idx="4" c:formatCode="General">
                  <c:v>0.967123287671233</c:v>
                </c:pt>
                <c:pt idx="5" c:formatCode="General">
                  <c:v>1.00821917808219</c:v>
                </c:pt>
                <c:pt idx="6" c:formatCode="General">
                  <c:v>1.46575342465753</c:v>
                </c:pt>
                <c:pt idx="7" c:formatCode="General">
                  <c:v>1.50684931506849</c:v>
                </c:pt>
                <c:pt idx="8" c:formatCode="General">
                  <c:v>1.96986301369863</c:v>
                </c:pt>
                <c:pt idx="9" c:formatCode="General">
                  <c:v>2.01095890410959</c:v>
                </c:pt>
                <c:pt idx="10" c:formatCode="General">
                  <c:v>2.46575342465753</c:v>
                </c:pt>
                <c:pt idx="11" c:formatCode="General">
                  <c:v>2.50684931506849</c:v>
                </c:pt>
                <c:pt idx="12" c:formatCode="General">
                  <c:v>2.96986301369863</c:v>
                </c:pt>
                <c:pt idx="13" c:formatCode="General">
                  <c:v>3.01095890410959</c:v>
                </c:pt>
                <c:pt idx="14" c:formatCode="General">
                  <c:v>3.46575342465753</c:v>
                </c:pt>
                <c:pt idx="15" c:formatCode="General">
                  <c:v>3.50684931506849</c:v>
                </c:pt>
                <c:pt idx="16" c:formatCode="General">
                  <c:v>4.01095890410959</c:v>
                </c:pt>
                <c:pt idx="17" c:formatCode="General">
                  <c:v>4.50684931506849</c:v>
                </c:pt>
                <c:pt idx="18" c:formatCode="General">
                  <c:v>5.01095890410959</c:v>
                </c:pt>
                <c:pt idx="19" c:formatCode="General">
                  <c:v>5.50958904109589</c:v>
                </c:pt>
                <c:pt idx="20" c:formatCode="0.000000000">
                  <c:v>6.01369863013699</c:v>
                </c:pt>
                <c:pt idx="21" c:formatCode="General">
                  <c:v>6.50958904109589</c:v>
                </c:pt>
                <c:pt idx="22" c:formatCode="0.000000000">
                  <c:v>7.01369863013699</c:v>
                </c:pt>
                <c:pt idx="23" c:formatCode="General">
                  <c:v>7.50958904109589</c:v>
                </c:pt>
                <c:pt idx="24" c:formatCode="0.000000000">
                  <c:v>8.01369863013699</c:v>
                </c:pt>
                <c:pt idx="25" c:formatCode="General">
                  <c:v>8.50958904109589</c:v>
                </c:pt>
                <c:pt idx="26" c:formatCode="0.000000000">
                  <c:v>9.01369863013699</c:v>
                </c:pt>
                <c:pt idx="27" c:formatCode="General">
                  <c:v>9.51232876712329</c:v>
                </c:pt>
              </c:numCache>
            </c:numRef>
          </c:xVal>
          <c:yVal>
            <c:numRef>
              <c:f>'Bootstrapping by Fitting'!$D$5:$D$32</c:f>
              <c:numCache>
                <c:formatCode>0.0000%</c:formatCode>
                <c:ptCount val="28"/>
                <c:pt idx="0">
                  <c:v>0.0460262854177305</c:v>
                </c:pt>
                <c:pt idx="1">
                  <c:v>0.0460262854177305</c:v>
                </c:pt>
                <c:pt idx="2">
                  <c:v>0.0460262854177305</c:v>
                </c:pt>
                <c:pt idx="3">
                  <c:v>0.0460262854177305</c:v>
                </c:pt>
                <c:pt idx="4">
                  <c:v>0.0462132774581387</c:v>
                </c:pt>
                <c:pt idx="5">
                  <c:v>0.0462318268878355</c:v>
                </c:pt>
                <c:pt idx="6">
                  <c:v>0.0464305720291731</c:v>
                </c:pt>
                <c:pt idx="7">
                  <c:v>0.0464480458782887</c:v>
                </c:pt>
                <c:pt idx="8">
                  <c:v>0.0466471235298501</c:v>
                </c:pt>
                <c:pt idx="9">
                  <c:v>0.0466653162804252</c:v>
                </c:pt>
                <c:pt idx="10">
                  <c:v>0.0468786124382693</c:v>
                </c:pt>
                <c:pt idx="11">
                  <c:v>0.0468992843653379</c:v>
                </c:pt>
                <c:pt idx="12">
                  <c:v>0.047154689089461</c:v>
                </c:pt>
                <c:pt idx="13">
                  <c:v>0.0471796826507035</c:v>
                </c:pt>
                <c:pt idx="14">
                  <c:v>0.0474878512051397</c:v>
                </c:pt>
                <c:pt idx="15">
                  <c:v>0.0475193635900099</c:v>
                </c:pt>
                <c:pt idx="16">
                  <c:v>0.0480242572860618</c:v>
                </c:pt>
                <c:pt idx="17">
                  <c:v>0.0487044729253158</c:v>
                </c:pt>
                <c:pt idx="18">
                  <c:v>0.0495385483645534</c:v>
                </c:pt>
                <c:pt idx="19">
                  <c:v>0.0504614872357405</c:v>
                </c:pt>
                <c:pt idx="20">
                  <c:v>0.0514493622194993</c:v>
                </c:pt>
                <c:pt idx="21">
                  <c:v>0.0524317483792919</c:v>
                </c:pt>
                <c:pt idx="22">
                  <c:v>0.0533972002742382</c:v>
                </c:pt>
                <c:pt idx="23">
                  <c:v>0.0542711791902547</c:v>
                </c:pt>
                <c:pt idx="24">
                  <c:v>0.0550386460761704</c:v>
                </c:pt>
                <c:pt idx="25">
                  <c:v>0.0556315182508052</c:v>
                </c:pt>
                <c:pt idx="26">
                  <c:v>0.0560254382074724</c:v>
                </c:pt>
                <c:pt idx="27">
                  <c:v>0.0561645085576465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3998336"/>
        <c:axId val="73999872"/>
      </c:scatterChart>
      <c:valAx>
        <c:axId val="7399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73999872"/>
        <c:crosses val="autoZero"/>
        <c:crossBetween val="midCat"/>
      </c:valAx>
      <c:valAx>
        <c:axId val="73999872"/>
        <c:scaling>
          <c:orientation val="minMax"/>
          <c:max val="0.06"/>
          <c:min val="0.04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739983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Cont Spot Rate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128246900172"/>
          <c:y val="0.121970665431527"/>
          <c:w val="0.835935016743597"/>
          <c:h val="0.750653388914621"/>
        </c:manualLayout>
      </c:layout>
      <c:scatterChart>
        <c:scatterStyle val="smoothMarker"/>
        <c:varyColors val="0"/>
        <c:ser>
          <c:idx val="0"/>
          <c:order val="0"/>
          <c:spPr>
            <a:noFill/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xVal>
            <c:numRef>
              <c:f>'Pricing New Bond'!$E$9:$E$27</c:f>
              <c:numCache>
                <c:formatCode>General</c:formatCode>
                <c:ptCount val="19"/>
                <c:pt idx="0" c:formatCode="General">
                  <c:v>0</c:v>
                </c:pt>
                <c:pt idx="1" c:formatCode="General">
                  <c:v>0.0986301369863014</c:v>
                </c:pt>
                <c:pt idx="2" c:formatCode="General">
                  <c:v>0.575342465753425</c:v>
                </c:pt>
                <c:pt idx="3" c:formatCode="General">
                  <c:v>0.602739726027397</c:v>
                </c:pt>
                <c:pt idx="4" c:formatCode="General">
                  <c:v>1.1013698630137</c:v>
                </c:pt>
                <c:pt idx="5" c:formatCode="General">
                  <c:v>1.60547945205479</c:v>
                </c:pt>
                <c:pt idx="6" c:formatCode="General">
                  <c:v>2.1013698630137</c:v>
                </c:pt>
                <c:pt idx="7" c:formatCode="General">
                  <c:v>2.60547945205479</c:v>
                </c:pt>
                <c:pt idx="8" c:formatCode="General">
                  <c:v>3.1013698630137</c:v>
                </c:pt>
                <c:pt idx="9" c:formatCode="General">
                  <c:v>3.46575342465753</c:v>
                </c:pt>
                <c:pt idx="10" c:formatCode="General">
                  <c:v>3.60547945205479</c:v>
                </c:pt>
                <c:pt idx="11" c:formatCode="General">
                  <c:v>4.1013698630137</c:v>
                </c:pt>
                <c:pt idx="12" c:formatCode="General">
                  <c:v>4.60547945205479</c:v>
                </c:pt>
                <c:pt idx="13" c:formatCode="General">
                  <c:v>5.1041095890411</c:v>
                </c:pt>
                <c:pt idx="14" c:formatCode="General">
                  <c:v>5.60821917808219</c:v>
                </c:pt>
                <c:pt idx="15" c:formatCode="General">
                  <c:v>6.1041095890411</c:v>
                </c:pt>
                <c:pt idx="16" c:formatCode="General">
                  <c:v>6.60821917808219</c:v>
                </c:pt>
                <c:pt idx="17" c:formatCode="General">
                  <c:v>7.1041095890411</c:v>
                </c:pt>
                <c:pt idx="18" c:formatCode="General">
                  <c:v>9.51232876712329</c:v>
                </c:pt>
              </c:numCache>
            </c:numRef>
          </c:xVal>
          <c:yVal>
            <c:numRef>
              <c:f>'Pricing New Bond'!$C$9:$C$27</c:f>
              <c:numCache>
                <c:formatCode>0.0000%</c:formatCode>
                <c:ptCount val="19"/>
                <c:pt idx="0">
                  <c:v>0.0460262854177305</c:v>
                </c:pt>
                <c:pt idx="1">
                  <c:v>0.0460262854177305</c:v>
                </c:pt>
                <c:pt idx="2">
                  <c:v>0.0460262854177305</c:v>
                </c:pt>
                <c:pt idx="3">
                  <c:v>0.0460400768352031</c:v>
                </c:pt>
                <c:pt idx="4">
                  <c:v>0.0462733141899106</c:v>
                </c:pt>
                <c:pt idx="5">
                  <c:v>0.0464899677954326</c:v>
                </c:pt>
                <c:pt idx="6">
                  <c:v>0.046705845443829</c:v>
                </c:pt>
                <c:pt idx="7">
                  <c:v>0.046950079969798</c:v>
                </c:pt>
                <c:pt idx="8">
                  <c:v>0.0472362074252241</c:v>
                </c:pt>
                <c:pt idx="9">
                  <c:v>0.0474878512051397</c:v>
                </c:pt>
                <c:pt idx="10">
                  <c:v>0.0476012515557058</c:v>
                </c:pt>
                <c:pt idx="11">
                  <c:v>0.0481359699364401</c:v>
                </c:pt>
                <c:pt idx="12">
                  <c:v>0.0488577299359927</c:v>
                </c:pt>
                <c:pt idx="13">
                  <c:v>0.0497048771347198</c:v>
                </c:pt>
                <c:pt idx="14">
                  <c:v>0.0506518184622004</c:v>
                </c:pt>
                <c:pt idx="15">
                  <c:v>0.0516289514111143</c:v>
                </c:pt>
                <c:pt idx="16">
                  <c:v>0.052624656400994</c:v>
                </c:pt>
                <c:pt idx="17">
                  <c:v>0.0535634082037911</c:v>
                </c:pt>
                <c:pt idx="18">
                  <c:v>0.0561645085576465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7109504"/>
        <c:axId val="117294592"/>
      </c:scatterChart>
      <c:valAx>
        <c:axId val="11710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117294592"/>
        <c:crosses val="autoZero"/>
        <c:crossBetween val="midCat"/>
      </c:valAx>
      <c:valAx>
        <c:axId val="117294592"/>
        <c:scaling>
          <c:orientation val="minMax"/>
          <c:max val="0.06"/>
          <c:min val="0.04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117109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390525</xdr:colOff>
      <xdr:row>1</xdr:row>
      <xdr:rowOff>142875</xdr:rowOff>
    </xdr:from>
    <xdr:to>
      <xdr:col>17</xdr:col>
      <xdr:colOff>190500</xdr:colOff>
      <xdr:row>31</xdr:row>
      <xdr:rowOff>152400</xdr:rowOff>
    </xdr:to>
    <xdr:graphicFrame>
      <xdr:nvGraphicFramePr>
        <xdr:cNvPr id="7202" name="Chart 1"/>
        <xdr:cNvGraphicFramePr/>
      </xdr:nvGraphicFramePr>
      <xdr:xfrm>
        <a:off x="6419850" y="304800"/>
        <a:ext cx="5753100" cy="4867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304800</xdr:colOff>
      <xdr:row>0</xdr:row>
      <xdr:rowOff>76200</xdr:rowOff>
    </xdr:from>
    <xdr:to>
      <xdr:col>16</xdr:col>
      <xdr:colOff>342900</xdr:colOff>
      <xdr:row>27</xdr:row>
      <xdr:rowOff>19050</xdr:rowOff>
    </xdr:to>
    <xdr:graphicFrame>
      <xdr:nvGraphicFramePr>
        <xdr:cNvPr id="5126" name="Chart 1"/>
        <xdr:cNvGraphicFramePr/>
      </xdr:nvGraphicFramePr>
      <xdr:xfrm>
        <a:off x="6305550" y="76200"/>
        <a:ext cx="5438775" cy="4362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0"/>
  <sheetViews>
    <sheetView workbookViewId="0">
      <selection activeCell="K16" sqref="K16"/>
    </sheetView>
  </sheetViews>
  <sheetFormatPr defaultColWidth="9" defaultRowHeight="12.75"/>
  <cols>
    <col min="1" max="1" width="5.42857142857143" customWidth="1"/>
    <col min="2" max="2" width="11.8571428571429" customWidth="1"/>
    <col min="3" max="3" width="13.8571428571429" customWidth="1"/>
    <col min="4" max="4" width="14.7142857142857" customWidth="1"/>
    <col min="5" max="5" width="14" customWidth="1"/>
    <col min="6" max="7" width="15.1428571428571" customWidth="1"/>
    <col min="8" max="8" width="15" customWidth="1"/>
    <col min="9" max="9" width="13.1428571428571" customWidth="1"/>
    <col min="10" max="10" width="12.1428571428571" customWidth="1"/>
    <col min="11" max="11" width="13.5714285714286" customWidth="1"/>
  </cols>
  <sheetData>
    <row r="1" customHeight="1" spans="1:1">
      <c r="A1" s="113"/>
    </row>
    <row r="2" spans="2:3">
      <c r="B2" s="43" t="s">
        <v>0</v>
      </c>
      <c r="C2" s="114">
        <v>39125</v>
      </c>
    </row>
    <row r="3" ht="18" customHeight="1" spans="2:8">
      <c r="B3" s="115" t="s">
        <v>1</v>
      </c>
      <c r="C3" s="115"/>
      <c r="D3" s="115"/>
      <c r="E3" s="115"/>
      <c r="F3" s="115"/>
      <c r="G3" s="115"/>
      <c r="H3" s="115"/>
    </row>
    <row r="4" ht="16.5" spans="2:8">
      <c r="B4" s="116" t="s">
        <v>2</v>
      </c>
      <c r="C4" s="116" t="s">
        <v>3</v>
      </c>
      <c r="D4" s="116" t="s">
        <v>4</v>
      </c>
      <c r="E4" s="116" t="s">
        <v>5</v>
      </c>
      <c r="F4" s="116" t="s">
        <v>6</v>
      </c>
      <c r="G4" s="117" t="s">
        <v>7</v>
      </c>
      <c r="H4" s="118"/>
    </row>
    <row r="5" ht="16.5" spans="2:8">
      <c r="B5" s="119"/>
      <c r="C5" s="119"/>
      <c r="D5" s="119"/>
      <c r="E5" s="119"/>
      <c r="F5" s="119"/>
      <c r="G5" s="120" t="s">
        <v>8</v>
      </c>
      <c r="H5" s="120" t="s">
        <v>9</v>
      </c>
    </row>
    <row r="6" ht="31.5" customHeight="1" spans="1:8">
      <c r="A6" s="121">
        <v>1</v>
      </c>
      <c r="B6" s="122" t="s">
        <v>10</v>
      </c>
      <c r="C6" s="123">
        <v>39335</v>
      </c>
      <c r="D6" s="124" t="s">
        <v>11</v>
      </c>
      <c r="E6" s="124" t="s">
        <v>12</v>
      </c>
      <c r="F6" s="124" t="s">
        <v>11</v>
      </c>
      <c r="G6" s="125">
        <v>0.0448</v>
      </c>
      <c r="H6" s="126" t="s">
        <v>13</v>
      </c>
    </row>
    <row r="7" ht="32.25" spans="1:8">
      <c r="A7" s="121">
        <v>2</v>
      </c>
      <c r="B7" s="127" t="s">
        <v>14</v>
      </c>
      <c r="C7" s="123">
        <v>40390</v>
      </c>
      <c r="D7" s="128">
        <v>4.75</v>
      </c>
      <c r="E7" s="124" t="s">
        <v>15</v>
      </c>
      <c r="F7" s="124" t="s">
        <v>16</v>
      </c>
      <c r="G7" s="124" t="s">
        <v>17</v>
      </c>
      <c r="H7" s="126" t="s">
        <v>18</v>
      </c>
    </row>
    <row r="8" ht="32.25" spans="1:8">
      <c r="A8" s="121">
        <v>3</v>
      </c>
      <c r="B8" s="119" t="s">
        <v>14</v>
      </c>
      <c r="C8" s="129">
        <v>42597</v>
      </c>
      <c r="D8" s="130">
        <v>5.5</v>
      </c>
      <c r="E8" s="131" t="s">
        <v>15</v>
      </c>
      <c r="F8" s="132" t="s">
        <v>19</v>
      </c>
      <c r="G8" s="131" t="s">
        <v>20</v>
      </c>
      <c r="H8" s="131" t="s">
        <v>18</v>
      </c>
    </row>
    <row r="10" ht="15.75" customHeight="1" spans="2:8">
      <c r="B10" s="133" t="s">
        <v>21</v>
      </c>
      <c r="C10" s="133"/>
      <c r="D10" s="133"/>
      <c r="E10" s="133"/>
      <c r="F10" s="133"/>
      <c r="G10" s="133"/>
      <c r="H10" s="133"/>
    </row>
    <row r="11" s="1" customFormat="1" spans="2:7">
      <c r="B11" s="134" t="s">
        <v>0</v>
      </c>
      <c r="C11" s="108" t="s">
        <v>3</v>
      </c>
      <c r="D11" s="108" t="s">
        <v>22</v>
      </c>
      <c r="E11" s="108" t="s">
        <v>23</v>
      </c>
      <c r="F11" s="108" t="s">
        <v>24</v>
      </c>
      <c r="G11" s="46" t="s">
        <v>25</v>
      </c>
    </row>
    <row r="12" spans="1:7">
      <c r="A12" s="1">
        <v>1</v>
      </c>
      <c r="B12" s="7">
        <f>AsOfDate</f>
        <v>39125</v>
      </c>
      <c r="C12" s="135">
        <f>_mat1</f>
        <v>39335</v>
      </c>
      <c r="D12" s="136">
        <f>d_yld</f>
        <v>0.0448</v>
      </c>
      <c r="E12" s="37">
        <f>_mat1-AsOfDate</f>
        <v>210</v>
      </c>
      <c r="F12" s="37">
        <f>E12/360</f>
        <v>0.583333333333333</v>
      </c>
      <c r="G12" s="137">
        <f>100*(1-d_yld*F12)</f>
        <v>97.3866666666667</v>
      </c>
    </row>
    <row r="13" spans="1:1">
      <c r="A13" s="1"/>
    </row>
    <row r="14" ht="17.25" customHeight="1" spans="1:11">
      <c r="A14" s="1"/>
      <c r="B14" s="138" t="s">
        <v>26</v>
      </c>
      <c r="C14" s="138"/>
      <c r="D14" s="138"/>
      <c r="E14" s="138"/>
      <c r="F14" s="138"/>
      <c r="G14" s="138"/>
      <c r="H14" s="138"/>
      <c r="I14" s="138"/>
      <c r="J14" s="138"/>
      <c r="K14" s="138"/>
    </row>
    <row r="15" s="1" customFormat="1" ht="25.5" spans="2:11">
      <c r="B15" s="134" t="s">
        <v>0</v>
      </c>
      <c r="C15" s="139" t="s">
        <v>3</v>
      </c>
      <c r="D15" s="139" t="s">
        <v>27</v>
      </c>
      <c r="E15" s="139" t="s">
        <v>28</v>
      </c>
      <c r="F15" s="139" t="s">
        <v>29</v>
      </c>
      <c r="G15" s="139" t="s">
        <v>30</v>
      </c>
      <c r="H15" s="139" t="s">
        <v>4</v>
      </c>
      <c r="I15" s="139" t="s">
        <v>31</v>
      </c>
      <c r="J15" s="139" t="s">
        <v>32</v>
      </c>
      <c r="K15" s="146" t="s">
        <v>33</v>
      </c>
    </row>
    <row r="16" spans="1:11">
      <c r="A16" s="1">
        <v>2</v>
      </c>
      <c r="B16" s="140">
        <f>AsOfDate</f>
        <v>39125</v>
      </c>
      <c r="C16" s="26">
        <f>_mat2</f>
        <v>40390</v>
      </c>
      <c r="D16" s="26">
        <v>39113</v>
      </c>
      <c r="E16" s="26">
        <v>39294</v>
      </c>
      <c r="F16" s="141">
        <f>E16-D16</f>
        <v>181</v>
      </c>
      <c r="G16" s="141">
        <f>E16-AsOfDate</f>
        <v>169</v>
      </c>
      <c r="H16" s="142">
        <f>0.04+0.03/4</f>
        <v>0.0475</v>
      </c>
      <c r="I16" s="147">
        <f>100*_cpn2*0.5*(AsOfDate-D16)/F16</f>
        <v>0.157458563535912</v>
      </c>
      <c r="J16" s="147">
        <f>99+27/32</f>
        <v>99.84375</v>
      </c>
      <c r="K16" s="148">
        <f>J16+I16</f>
        <v>100.001208563536</v>
      </c>
    </row>
    <row r="17" spans="1:11">
      <c r="A17" s="1">
        <v>3</v>
      </c>
      <c r="B17" s="143">
        <f>AsOfDate</f>
        <v>39125</v>
      </c>
      <c r="C17" s="144">
        <f>_mat3</f>
        <v>42597</v>
      </c>
      <c r="D17" s="135">
        <v>38944</v>
      </c>
      <c r="E17" s="135">
        <v>39128</v>
      </c>
      <c r="F17" s="145">
        <f>E17-D17</f>
        <v>184</v>
      </c>
      <c r="G17" s="145">
        <f>E17-AsOfDate</f>
        <v>3</v>
      </c>
      <c r="H17" s="136">
        <f>0.05+0.01/2</f>
        <v>0.055</v>
      </c>
      <c r="I17" s="149">
        <f>100*_cpn3*0.5*(AsOfDate-D17)/F17</f>
        <v>2.70516304347826</v>
      </c>
      <c r="J17" s="149">
        <f>99+11/32</f>
        <v>99.34375</v>
      </c>
      <c r="K17" s="150">
        <f>J17+I17</f>
        <v>102.048913043478</v>
      </c>
    </row>
    <row r="50" ht="15" customHeight="1"/>
  </sheetData>
  <mergeCells count="9">
    <mergeCell ref="B3:H3"/>
    <mergeCell ref="G4:H4"/>
    <mergeCell ref="B10:H10"/>
    <mergeCell ref="B14:K14"/>
    <mergeCell ref="B4:B5"/>
    <mergeCell ref="C4:C5"/>
    <mergeCell ref="D4:D5"/>
    <mergeCell ref="E4:E5"/>
    <mergeCell ref="F4:F5"/>
  </mergeCells>
  <pageMargins left="0.75" right="0.75" top="1" bottom="1" header="0.5" footer="0.5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H41"/>
  <sheetViews>
    <sheetView topLeftCell="A23" workbookViewId="0">
      <selection activeCell="E40" sqref="E40"/>
    </sheetView>
  </sheetViews>
  <sheetFormatPr defaultColWidth="9" defaultRowHeight="12.75" outlineLevelCol="7"/>
  <cols>
    <col min="1" max="1" width="5.57142857142857" customWidth="1"/>
    <col min="3" max="3" width="13.8571428571429" customWidth="1"/>
    <col min="4" max="4" width="14.7142857142857" customWidth="1"/>
    <col min="5" max="5" width="13.1428571428571" customWidth="1"/>
    <col min="6" max="6" width="10.7142857142857" customWidth="1"/>
    <col min="7" max="8" width="11.7142857142857" customWidth="1"/>
    <col min="9" max="10" width="13.1428571428571" customWidth="1"/>
  </cols>
  <sheetData>
    <row r="2" spans="2:8">
      <c r="B2" s="43"/>
      <c r="C2" s="43"/>
      <c r="D2" s="43"/>
      <c r="E2" s="43"/>
      <c r="F2" s="42" t="s">
        <v>34</v>
      </c>
      <c r="G2" s="42"/>
      <c r="H2" s="42"/>
    </row>
    <row r="3" spans="2:8">
      <c r="B3" s="42" t="s">
        <v>35</v>
      </c>
      <c r="C3" s="43" t="s">
        <v>36</v>
      </c>
      <c r="D3" s="42" t="s">
        <v>37</v>
      </c>
      <c r="E3" s="42" t="s">
        <v>38</v>
      </c>
      <c r="F3" s="13" t="s">
        <v>39</v>
      </c>
      <c r="G3" s="14" t="s">
        <v>40</v>
      </c>
      <c r="H3" s="44" t="s">
        <v>41</v>
      </c>
    </row>
    <row r="4" spans="2:8">
      <c r="B4" s="48">
        <f>AsOfDate</f>
        <v>39125</v>
      </c>
      <c r="C4">
        <f t="shared" ref="C4:C32" si="0">(date-AsOfDate)/365</f>
        <v>0</v>
      </c>
      <c r="E4">
        <v>1</v>
      </c>
      <c r="F4" s="49"/>
      <c r="G4" s="50"/>
      <c r="H4" s="51"/>
    </row>
    <row r="5" spans="2:8">
      <c r="B5" s="48">
        <v>39128</v>
      </c>
      <c r="C5">
        <f t="shared" si="0"/>
        <v>0.00821917808219178</v>
      </c>
      <c r="D5" s="100">
        <f>rate1</f>
        <v>0.0460262854177305</v>
      </c>
      <c r="E5">
        <f t="shared" ref="E5:E32" si="1">EXP(-rate*time)</f>
        <v>0.999621773309446</v>
      </c>
      <c r="F5" s="33"/>
      <c r="G5" s="52" t="str">
        <f>IF(DAY(date)=31,100*_cpn2,"")</f>
        <v/>
      </c>
      <c r="H5" s="53">
        <f t="shared" ref="H5:H31" si="2">IF(DAY(date)=15,100*_cpn3/2,"")</f>
        <v>2.75</v>
      </c>
    </row>
    <row r="6" spans="2:8">
      <c r="B6" s="48">
        <v>39294</v>
      </c>
      <c r="C6">
        <f t="shared" si="0"/>
        <v>0.463013698630137</v>
      </c>
      <c r="D6" s="100">
        <f>rate1</f>
        <v>0.0460262854177305</v>
      </c>
      <c r="E6">
        <f t="shared" si="1"/>
        <v>0.978914669973143</v>
      </c>
      <c r="F6" s="33"/>
      <c r="G6" s="57">
        <f t="shared" ref="G6:G17" si="3">IF(DAY(date)=31,100*_cpn2/2,"")</f>
        <v>2.375</v>
      </c>
      <c r="H6" s="53" t="str">
        <f t="shared" si="2"/>
        <v/>
      </c>
    </row>
    <row r="7" spans="2:8">
      <c r="B7" s="48">
        <v>39309</v>
      </c>
      <c r="C7">
        <f t="shared" si="0"/>
        <v>0.504109589041096</v>
      </c>
      <c r="D7" s="100">
        <f>rate1</f>
        <v>0.0460262854177305</v>
      </c>
      <c r="E7">
        <f t="shared" si="1"/>
        <v>0.977064811554367</v>
      </c>
      <c r="F7" s="33"/>
      <c r="G7" s="57" t="str">
        <f t="shared" si="3"/>
        <v/>
      </c>
      <c r="H7" s="53">
        <f t="shared" si="2"/>
        <v>2.75</v>
      </c>
    </row>
    <row r="8" spans="1:8">
      <c r="A8" s="1">
        <v>1</v>
      </c>
      <c r="B8" s="59">
        <f>_mat1</f>
        <v>39335</v>
      </c>
      <c r="C8" s="60">
        <f t="shared" si="0"/>
        <v>0.575342465753425</v>
      </c>
      <c r="D8" s="101">
        <v>0.0460262854177305</v>
      </c>
      <c r="E8">
        <f t="shared" si="1"/>
        <v>0.973866667356057</v>
      </c>
      <c r="F8" s="102">
        <f>100</f>
        <v>100</v>
      </c>
      <c r="G8" s="57" t="str">
        <f t="shared" si="3"/>
        <v/>
      </c>
      <c r="H8" s="53" t="str">
        <f t="shared" si="2"/>
        <v/>
      </c>
    </row>
    <row r="9" spans="1:8">
      <c r="A9" s="1"/>
      <c r="B9" s="48">
        <v>39478</v>
      </c>
      <c r="C9">
        <f t="shared" si="0"/>
        <v>0.967123287671233</v>
      </c>
      <c r="D9" s="100">
        <f t="shared" ref="D9:D18" si="4">a_1+b_1*(time-time1)+c_1*(time-time1)^2+d_1*(time-time1)^3</f>
        <v>0.0462132774581387</v>
      </c>
      <c r="E9">
        <f t="shared" si="1"/>
        <v>0.956290122234437</v>
      </c>
      <c r="F9" s="33"/>
      <c r="G9" s="57">
        <f t="shared" si="3"/>
        <v>2.375</v>
      </c>
      <c r="H9" s="53" t="str">
        <f t="shared" si="2"/>
        <v/>
      </c>
    </row>
    <row r="10" spans="1:8">
      <c r="A10" s="1"/>
      <c r="B10" s="48">
        <v>39493</v>
      </c>
      <c r="C10">
        <f t="shared" si="0"/>
        <v>1.00821917808219</v>
      </c>
      <c r="D10" s="100">
        <f t="shared" si="4"/>
        <v>0.0462318268878355</v>
      </c>
      <c r="E10">
        <f t="shared" si="1"/>
        <v>0.954457832372089</v>
      </c>
      <c r="F10" s="33"/>
      <c r="G10" s="57" t="str">
        <f t="shared" si="3"/>
        <v/>
      </c>
      <c r="H10" s="53">
        <f t="shared" si="2"/>
        <v>2.75</v>
      </c>
    </row>
    <row r="11" spans="1:8">
      <c r="A11" s="1"/>
      <c r="B11" s="48">
        <v>39660</v>
      </c>
      <c r="C11">
        <f t="shared" si="0"/>
        <v>1.46575342465753</v>
      </c>
      <c r="D11" s="100">
        <f t="shared" si="4"/>
        <v>0.0464305720291731</v>
      </c>
      <c r="E11">
        <f t="shared" si="1"/>
        <v>0.934208371360324</v>
      </c>
      <c r="F11" s="33"/>
      <c r="G11" s="57">
        <f t="shared" si="3"/>
        <v>2.375</v>
      </c>
      <c r="H11" s="53" t="str">
        <f t="shared" si="2"/>
        <v/>
      </c>
    </row>
    <row r="12" spans="1:8">
      <c r="A12" s="1"/>
      <c r="B12" s="48">
        <v>39675</v>
      </c>
      <c r="C12">
        <f t="shared" si="0"/>
        <v>1.50684931506849</v>
      </c>
      <c r="D12" s="100">
        <f t="shared" si="4"/>
        <v>0.0464480458782887</v>
      </c>
      <c r="E12">
        <f t="shared" si="1"/>
        <v>0.932402951705744</v>
      </c>
      <c r="F12" s="33"/>
      <c r="G12" s="57" t="str">
        <f t="shared" si="3"/>
        <v/>
      </c>
      <c r="H12" s="53">
        <f t="shared" si="2"/>
        <v>2.75</v>
      </c>
    </row>
    <row r="13" spans="1:8">
      <c r="A13" s="1"/>
      <c r="B13" s="48">
        <v>39844</v>
      </c>
      <c r="C13">
        <f t="shared" si="0"/>
        <v>1.96986301369863</v>
      </c>
      <c r="D13" s="100">
        <f t="shared" si="4"/>
        <v>0.0466471235298501</v>
      </c>
      <c r="E13">
        <f t="shared" si="1"/>
        <v>0.91220690662772</v>
      </c>
      <c r="F13" s="33"/>
      <c r="G13" s="57">
        <f t="shared" si="3"/>
        <v>2.375</v>
      </c>
      <c r="H13" s="53" t="str">
        <f t="shared" si="2"/>
        <v/>
      </c>
    </row>
    <row r="14" spans="1:8">
      <c r="A14" s="1"/>
      <c r="B14" s="48">
        <v>39859</v>
      </c>
      <c r="C14">
        <f t="shared" si="0"/>
        <v>2.01095890410959</v>
      </c>
      <c r="D14" s="100">
        <f t="shared" si="4"/>
        <v>0.0466653162804252</v>
      </c>
      <c r="E14">
        <f t="shared" si="1"/>
        <v>0.910426567974387</v>
      </c>
      <c r="F14" s="33"/>
      <c r="G14" s="57" t="str">
        <f t="shared" si="3"/>
        <v/>
      </c>
      <c r="H14" s="53">
        <f t="shared" si="2"/>
        <v>2.75</v>
      </c>
    </row>
    <row r="15" spans="1:8">
      <c r="A15" s="1"/>
      <c r="B15" s="48">
        <v>40025</v>
      </c>
      <c r="C15">
        <f t="shared" si="0"/>
        <v>2.46575342465753</v>
      </c>
      <c r="D15" s="100">
        <f t="shared" si="4"/>
        <v>0.0468786124382693</v>
      </c>
      <c r="E15">
        <f t="shared" si="1"/>
        <v>0.890839413815565</v>
      </c>
      <c r="F15" s="33"/>
      <c r="G15" s="57">
        <f t="shared" si="3"/>
        <v>2.375</v>
      </c>
      <c r="H15" s="53" t="str">
        <f t="shared" si="2"/>
        <v/>
      </c>
    </row>
    <row r="16" spans="1:8">
      <c r="A16" s="1"/>
      <c r="B16" s="48">
        <v>40040</v>
      </c>
      <c r="C16">
        <f t="shared" si="0"/>
        <v>2.50684931506849</v>
      </c>
      <c r="D16" s="100">
        <f t="shared" si="4"/>
        <v>0.0468992843653379</v>
      </c>
      <c r="E16">
        <f t="shared" si="1"/>
        <v>0.889078772961198</v>
      </c>
      <c r="F16" s="33"/>
      <c r="G16" s="57" t="str">
        <f t="shared" si="3"/>
        <v/>
      </c>
      <c r="H16" s="53">
        <f t="shared" si="2"/>
        <v>2.75</v>
      </c>
    </row>
    <row r="17" spans="1:8">
      <c r="A17" s="1"/>
      <c r="B17" s="48">
        <v>40209</v>
      </c>
      <c r="C17">
        <f t="shared" si="0"/>
        <v>2.96986301369863</v>
      </c>
      <c r="D17" s="100">
        <f t="shared" si="4"/>
        <v>0.047154689089461</v>
      </c>
      <c r="E17">
        <f t="shared" si="1"/>
        <v>0.86932088244317</v>
      </c>
      <c r="F17" s="33"/>
      <c r="G17" s="57">
        <f t="shared" si="3"/>
        <v>2.375</v>
      </c>
      <c r="H17" s="53" t="str">
        <f t="shared" si="2"/>
        <v/>
      </c>
    </row>
    <row r="18" spans="1:8">
      <c r="A18" s="1"/>
      <c r="B18" s="48">
        <v>40224</v>
      </c>
      <c r="C18">
        <f t="shared" si="0"/>
        <v>3.01095890410959</v>
      </c>
      <c r="D18" s="100">
        <f t="shared" si="4"/>
        <v>0.0471796826507035</v>
      </c>
      <c r="E18">
        <f t="shared" si="1"/>
        <v>0.867572596817591</v>
      </c>
      <c r="F18" s="33"/>
      <c r="G18" s="52" t="str">
        <f>IF(DAY(date)=31,100*_cpn2,"")</f>
        <v/>
      </c>
      <c r="H18" s="53">
        <f t="shared" si="2"/>
        <v>2.75</v>
      </c>
    </row>
    <row r="19" spans="1:8">
      <c r="A19" s="1">
        <v>2</v>
      </c>
      <c r="B19" s="59">
        <f>_mat2</f>
        <v>40390</v>
      </c>
      <c r="C19" s="60">
        <f t="shared" si="0"/>
        <v>3.46575342465753</v>
      </c>
      <c r="D19" s="101">
        <v>0.0474878512051397</v>
      </c>
      <c r="E19">
        <f t="shared" si="1"/>
        <v>0.848248890806934</v>
      </c>
      <c r="F19" s="33"/>
      <c r="G19" s="52">
        <f>100*(_cpn2/2+1)</f>
        <v>102.375</v>
      </c>
      <c r="H19" s="53" t="str">
        <f t="shared" si="2"/>
        <v/>
      </c>
    </row>
    <row r="20" spans="1:8">
      <c r="A20" s="1"/>
      <c r="B20" s="48">
        <v>40405</v>
      </c>
      <c r="C20">
        <f t="shared" si="0"/>
        <v>3.50684931506849</v>
      </c>
      <c r="D20" s="100">
        <f t="shared" ref="D20:D31" si="5">a_2+b_2*(time-time2)+c_2*(time-time2)^2+d_2*(time-time2)^3</f>
        <v>0.0475193635900099</v>
      </c>
      <c r="E20">
        <f t="shared" si="1"/>
        <v>0.846501548885495</v>
      </c>
      <c r="F20" s="33"/>
      <c r="G20" s="52"/>
      <c r="H20" s="53">
        <f t="shared" si="2"/>
        <v>2.75</v>
      </c>
    </row>
    <row r="21" spans="1:8">
      <c r="A21" s="1"/>
      <c r="B21" s="48">
        <f t="shared" ref="B21:B31" si="6">DATE(YEAR(B20),MONTH(B20)+6,DAY(B20))</f>
        <v>40589</v>
      </c>
      <c r="C21">
        <f t="shared" si="0"/>
        <v>4.01095890410959</v>
      </c>
      <c r="D21" s="100">
        <f t="shared" si="5"/>
        <v>0.0480242572860618</v>
      </c>
      <c r="E21">
        <f t="shared" si="1"/>
        <v>0.824792596549747</v>
      </c>
      <c r="F21" s="33"/>
      <c r="G21" s="52"/>
      <c r="H21" s="53">
        <f t="shared" si="2"/>
        <v>2.75</v>
      </c>
    </row>
    <row r="22" spans="1:8">
      <c r="A22" s="1"/>
      <c r="B22" s="48">
        <f t="shared" si="6"/>
        <v>40770</v>
      </c>
      <c r="C22">
        <f t="shared" si="0"/>
        <v>4.50684931506849</v>
      </c>
      <c r="D22" s="100">
        <f t="shared" si="5"/>
        <v>0.0487044729253158</v>
      </c>
      <c r="E22">
        <f t="shared" si="1"/>
        <v>0.802917170478919</v>
      </c>
      <c r="F22" s="33"/>
      <c r="G22" s="52"/>
      <c r="H22" s="53">
        <f t="shared" si="2"/>
        <v>2.75</v>
      </c>
    </row>
    <row r="23" spans="1:8">
      <c r="A23" s="1"/>
      <c r="B23" s="48">
        <f t="shared" si="6"/>
        <v>40954</v>
      </c>
      <c r="C23">
        <f t="shared" si="0"/>
        <v>5.01095890410959</v>
      </c>
      <c r="D23" s="100">
        <f t="shared" si="5"/>
        <v>0.0495385483645534</v>
      </c>
      <c r="E23">
        <f t="shared" si="1"/>
        <v>0.780176088707533</v>
      </c>
      <c r="F23" s="33"/>
      <c r="G23" s="52"/>
      <c r="H23" s="53">
        <f t="shared" si="2"/>
        <v>2.75</v>
      </c>
    </row>
    <row r="24" spans="1:8">
      <c r="A24" s="1"/>
      <c r="B24" s="48">
        <f t="shared" si="6"/>
        <v>41136</v>
      </c>
      <c r="C24">
        <f t="shared" si="0"/>
        <v>5.50958904109589</v>
      </c>
      <c r="D24" s="100">
        <f t="shared" si="5"/>
        <v>0.0504614872357405</v>
      </c>
      <c r="E24">
        <f t="shared" si="1"/>
        <v>0.757280117948462</v>
      </c>
      <c r="F24" s="33"/>
      <c r="G24" s="52"/>
      <c r="H24" s="53">
        <f t="shared" si="2"/>
        <v>2.75</v>
      </c>
    </row>
    <row r="25" spans="1:8">
      <c r="A25" s="1"/>
      <c r="B25" s="48">
        <f t="shared" si="6"/>
        <v>41320</v>
      </c>
      <c r="C25" s="103">
        <f t="shared" si="0"/>
        <v>6.01369863013699</v>
      </c>
      <c r="D25" s="100">
        <f t="shared" si="5"/>
        <v>0.0514493622194993</v>
      </c>
      <c r="E25">
        <f t="shared" si="1"/>
        <v>0.733886452573445</v>
      </c>
      <c r="F25" s="33"/>
      <c r="G25" s="52"/>
      <c r="H25" s="53">
        <f t="shared" si="2"/>
        <v>2.75</v>
      </c>
    </row>
    <row r="26" spans="1:8">
      <c r="A26" s="1"/>
      <c r="B26" s="48">
        <f t="shared" si="6"/>
        <v>41501</v>
      </c>
      <c r="C26">
        <f t="shared" si="0"/>
        <v>6.50958904109589</v>
      </c>
      <c r="D26" s="100">
        <f t="shared" si="5"/>
        <v>0.0524317483792919</v>
      </c>
      <c r="E26">
        <f t="shared" si="1"/>
        <v>0.710839129228297</v>
      </c>
      <c r="F26" s="33"/>
      <c r="G26" s="52"/>
      <c r="H26" s="53">
        <f t="shared" si="2"/>
        <v>2.75</v>
      </c>
    </row>
    <row r="27" spans="1:8">
      <c r="A27" s="1"/>
      <c r="B27" s="48">
        <f t="shared" si="6"/>
        <v>41685</v>
      </c>
      <c r="C27" s="103">
        <f t="shared" si="0"/>
        <v>7.01369863013699</v>
      </c>
      <c r="D27" s="100">
        <f t="shared" si="5"/>
        <v>0.0533972002742382</v>
      </c>
      <c r="E27">
        <f t="shared" si="1"/>
        <v>0.687624846914022</v>
      </c>
      <c r="F27" s="33"/>
      <c r="G27" s="52"/>
      <c r="H27" s="53">
        <f t="shared" si="2"/>
        <v>2.75</v>
      </c>
    </row>
    <row r="28" spans="1:8">
      <c r="A28" s="1"/>
      <c r="B28" s="48">
        <f t="shared" si="6"/>
        <v>41866</v>
      </c>
      <c r="C28">
        <f t="shared" si="0"/>
        <v>7.50958904109589</v>
      </c>
      <c r="D28" s="100">
        <f t="shared" si="5"/>
        <v>0.0542711791902547</v>
      </c>
      <c r="E28">
        <f t="shared" si="1"/>
        <v>0.665275357571278</v>
      </c>
      <c r="F28" s="33"/>
      <c r="G28" s="52"/>
      <c r="H28" s="53">
        <f t="shared" si="2"/>
        <v>2.75</v>
      </c>
    </row>
    <row r="29" spans="1:8">
      <c r="A29" s="1"/>
      <c r="B29" s="48">
        <f t="shared" si="6"/>
        <v>42050</v>
      </c>
      <c r="C29" s="103">
        <f t="shared" si="0"/>
        <v>8.01369863013699</v>
      </c>
      <c r="D29" s="100">
        <f t="shared" si="5"/>
        <v>0.0550386460761704</v>
      </c>
      <c r="E29">
        <f t="shared" si="1"/>
        <v>0.643352095192309</v>
      </c>
      <c r="F29" s="33"/>
      <c r="G29" s="52"/>
      <c r="H29" s="53">
        <f t="shared" si="2"/>
        <v>2.75</v>
      </c>
    </row>
    <row r="30" spans="1:8">
      <c r="A30" s="1"/>
      <c r="B30" s="48">
        <f t="shared" si="6"/>
        <v>42231</v>
      </c>
      <c r="C30">
        <f t="shared" si="0"/>
        <v>8.50958904109589</v>
      </c>
      <c r="D30" s="100">
        <f t="shared" si="5"/>
        <v>0.0556315182508052</v>
      </c>
      <c r="E30">
        <f t="shared" si="1"/>
        <v>0.622880023092288</v>
      </c>
      <c r="F30" s="33"/>
      <c r="G30" s="52"/>
      <c r="H30" s="53">
        <f t="shared" si="2"/>
        <v>2.75</v>
      </c>
    </row>
    <row r="31" spans="1:8">
      <c r="A31" s="1"/>
      <c r="B31" s="48">
        <f t="shared" si="6"/>
        <v>42415</v>
      </c>
      <c r="C31" s="103">
        <f t="shared" si="0"/>
        <v>9.01369863013699</v>
      </c>
      <c r="D31" s="100">
        <f t="shared" si="5"/>
        <v>0.0560254382074724</v>
      </c>
      <c r="E31">
        <f t="shared" si="1"/>
        <v>0.603507738622108</v>
      </c>
      <c r="F31" s="33"/>
      <c r="G31" s="52"/>
      <c r="H31" s="53">
        <f t="shared" si="2"/>
        <v>2.75</v>
      </c>
    </row>
    <row r="32" spans="1:8">
      <c r="A32" s="1">
        <v>3</v>
      </c>
      <c r="B32" s="59">
        <f>_mat3</f>
        <v>42597</v>
      </c>
      <c r="C32" s="60">
        <f t="shared" si="0"/>
        <v>9.51232876712329</v>
      </c>
      <c r="D32" s="101">
        <v>0.0561645085576465</v>
      </c>
      <c r="E32">
        <f t="shared" si="1"/>
        <v>0.586105617827958</v>
      </c>
      <c r="F32" s="66"/>
      <c r="G32" s="67"/>
      <c r="H32" s="11">
        <f>100*(_cpn3/2+1)</f>
        <v>102.75</v>
      </c>
    </row>
    <row r="33" spans="2:8">
      <c r="B33" s="48"/>
      <c r="E33" s="104" t="s">
        <v>42</v>
      </c>
      <c r="F33" s="105">
        <f>SUMPRODUCT(dscnt,cf_1)</f>
        <v>97.3866667356057</v>
      </c>
      <c r="G33" s="105">
        <f>SUMPRODUCT(dscnt,cf_2)</f>
        <v>100.001208566689</v>
      </c>
      <c r="H33" s="105">
        <f>SUMPRODUCT(dscnt,cf_3)</f>
        <v>102.048913031084</v>
      </c>
    </row>
    <row r="34" spans="2:8">
      <c r="B34" s="48"/>
      <c r="E34" s="104" t="s">
        <v>43</v>
      </c>
      <c r="F34" s="105">
        <f>price1</f>
        <v>97.3866666666667</v>
      </c>
      <c r="G34" s="105">
        <f>price2</f>
        <v>100.001208563536</v>
      </c>
      <c r="H34" s="105">
        <f>price3</f>
        <v>102.048913043478</v>
      </c>
    </row>
    <row r="35" spans="5:8">
      <c r="E35" s="104" t="s">
        <v>44</v>
      </c>
      <c r="F35" s="106">
        <f t="shared" ref="F35:H35" si="7">F33-F34</f>
        <v>6.89389878516522e-8</v>
      </c>
      <c r="G35" s="106">
        <f t="shared" si="7"/>
        <v>3.15309023335431e-9</v>
      </c>
      <c r="H35" s="106">
        <f t="shared" si="7"/>
        <v>-1.23940395724276e-8</v>
      </c>
    </row>
    <row r="37" spans="1:8">
      <c r="A37" s="107" t="s">
        <v>45</v>
      </c>
      <c r="B37" s="107"/>
      <c r="C37" s="107"/>
      <c r="D37" s="107"/>
      <c r="E37" s="107"/>
      <c r="F37" s="107"/>
      <c r="G37" s="107"/>
      <c r="H37" s="107"/>
    </row>
    <row r="38" spans="1:8">
      <c r="A38" s="45" t="s">
        <v>46</v>
      </c>
      <c r="B38" s="108" t="s">
        <v>47</v>
      </c>
      <c r="C38" s="108" t="s">
        <v>48</v>
      </c>
      <c r="D38" s="108" t="s">
        <v>49</v>
      </c>
      <c r="E38" s="108" t="s">
        <v>50</v>
      </c>
      <c r="F38" s="108" t="s">
        <v>51</v>
      </c>
      <c r="G38" s="108" t="s">
        <v>52</v>
      </c>
      <c r="H38" s="46" t="s">
        <v>53</v>
      </c>
    </row>
    <row r="39" spans="1:8">
      <c r="A39" s="109">
        <v>1</v>
      </c>
      <c r="B39" s="22">
        <f>time2-time1</f>
        <v>2.89041095890411</v>
      </c>
      <c r="C39" s="110">
        <f>(rate2-rate1)/delta1</f>
        <v>0.000505660201331164</v>
      </c>
      <c r="D39" s="110">
        <f>delta1_prime</f>
        <v>0.000505660201331164</v>
      </c>
      <c r="E39" s="110">
        <f>rate1</f>
        <v>0.0460262854177305</v>
      </c>
      <c r="F39" s="110">
        <f>f1_prime</f>
        <v>0.000505660201331164</v>
      </c>
      <c r="G39" s="110">
        <f>(3*delta1_prime-f2_prime-2*f1_prime)/delta1</f>
        <v>-8.37755012077718e-5</v>
      </c>
      <c r="H39" s="111">
        <f>(f2_prime+f1_prime-2*delta1_prime)/delta1^2</f>
        <v>2.89839411761485e-5</v>
      </c>
    </row>
    <row r="40" spans="1:8">
      <c r="A40" s="109">
        <v>2</v>
      </c>
      <c r="B40" s="22">
        <f>time3-time2</f>
        <v>6.04657534246575</v>
      </c>
      <c r="C40" s="110">
        <f>(rate3-rate2)/delta2</f>
        <v>0.0014349705181989</v>
      </c>
      <c r="D40" s="110">
        <f>IF(delta1_prime*delta2_prime&gt;0,2*delta1_prime*delta2_prime/(delta1_prime+delta2_prime),0)</f>
        <v>0.000747805828109792</v>
      </c>
      <c r="E40" s="110">
        <f>rate2</f>
        <v>0.0474878512051397</v>
      </c>
      <c r="F40" s="110">
        <f>f2_prime</f>
        <v>0.000747805828109792</v>
      </c>
      <c r="G40" s="110">
        <f>(3*delta2_prime-f3_prime-2*f2_prime)/delta2</f>
        <v>0.000464610087407181</v>
      </c>
      <c r="H40" s="111">
        <f>(f3_prime+f2_prime-2*delta2_prime)/delta2^2</f>
        <v>-5.80435696372788e-5</v>
      </c>
    </row>
    <row r="41" spans="1:8">
      <c r="A41" s="112">
        <v>3</v>
      </c>
      <c r="B41" s="37"/>
      <c r="C41" s="37"/>
      <c r="D41" s="37">
        <v>0</v>
      </c>
      <c r="E41" s="37"/>
      <c r="F41" s="37"/>
      <c r="G41" s="37"/>
      <c r="H41" s="99"/>
    </row>
  </sheetData>
  <mergeCells count="2">
    <mergeCell ref="F2:H2"/>
    <mergeCell ref="A37:H37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A67"/>
  <sheetViews>
    <sheetView tabSelected="1" topLeftCell="B3" workbookViewId="0">
      <selection activeCell="I8" sqref="I8"/>
    </sheetView>
  </sheetViews>
  <sheetFormatPr defaultColWidth="9" defaultRowHeight="12.75"/>
  <cols>
    <col min="1" max="1" width="10.2857142857143" customWidth="1"/>
    <col min="2" max="2" width="14.7142857142857" customWidth="1"/>
    <col min="3" max="4" width="8.71428571428571" customWidth="1"/>
    <col min="5" max="5" width="12.2857142857143" customWidth="1"/>
    <col min="6" max="6" width="9" customWidth="1"/>
    <col min="7" max="7" width="11.1428571428571" customWidth="1"/>
    <col min="8" max="8" width="9.42857142857143" customWidth="1"/>
    <col min="9" max="9" width="10.5714285714286" customWidth="1"/>
    <col min="10" max="10" width="8.57142857142857" customWidth="1"/>
    <col min="11" max="11" width="11.1428571428571" customWidth="1"/>
    <col min="12" max="12" width="8.28571428571429" customWidth="1"/>
    <col min="13" max="13" width="9.57142857142857" customWidth="1"/>
    <col min="14" max="14" width="9.85714285714286" customWidth="1"/>
    <col min="15" max="15" width="10.1428571428571" customWidth="1"/>
    <col min="16" max="16" width="8.71428571428571" customWidth="1"/>
    <col min="17" max="17" width="10.1428571428571" customWidth="1"/>
    <col min="18" max="18" width="8.42857142857143" customWidth="1"/>
    <col min="19" max="19" width="10.1428571428571" customWidth="1"/>
    <col min="20" max="20" width="8.57142857142857" customWidth="1"/>
    <col min="21" max="21" width="10.1428571428571" customWidth="1"/>
    <col min="22" max="22" width="9" customWidth="1"/>
    <col min="23" max="23" width="11" customWidth="1"/>
    <col min="24" max="24" width="9" customWidth="1"/>
    <col min="25" max="25" width="9.28571428571429" customWidth="1"/>
    <col min="26" max="26" width="8.71428571428571" customWidth="1"/>
    <col min="27" max="27" width="10.1428571428571" customWidth="1"/>
  </cols>
  <sheetData>
    <row r="2" spans="3:27">
      <c r="C2" s="42" t="s">
        <v>34</v>
      </c>
      <c r="D2" s="42"/>
      <c r="E2" s="42"/>
      <c r="F2" s="42" t="s">
        <v>54</v>
      </c>
      <c r="G2" s="42"/>
      <c r="H2" s="42" t="s">
        <v>55</v>
      </c>
      <c r="I2" s="42"/>
      <c r="J2" s="42" t="s">
        <v>56</v>
      </c>
      <c r="K2" s="42"/>
      <c r="L2" s="42" t="s">
        <v>57</v>
      </c>
      <c r="M2" s="42"/>
      <c r="N2" s="42" t="s">
        <v>58</v>
      </c>
      <c r="O2" s="42"/>
      <c r="P2" s="42" t="s">
        <v>59</v>
      </c>
      <c r="Q2" s="42"/>
      <c r="R2" s="42" t="s">
        <v>60</v>
      </c>
      <c r="S2" s="42"/>
      <c r="T2" s="42" t="s">
        <v>61</v>
      </c>
      <c r="U2" s="42"/>
      <c r="V2" s="42" t="s">
        <v>62</v>
      </c>
      <c r="W2" s="42"/>
      <c r="X2" s="42" t="s">
        <v>63</v>
      </c>
      <c r="Y2" s="42"/>
      <c r="Z2" s="42" t="s">
        <v>64</v>
      </c>
      <c r="AA2" s="42"/>
    </row>
    <row r="3" spans="1:27">
      <c r="A3" s="42" t="s">
        <v>35</v>
      </c>
      <c r="B3" s="43" t="s">
        <v>65</v>
      </c>
      <c r="C3" s="13" t="s">
        <v>39</v>
      </c>
      <c r="D3" s="14" t="s">
        <v>40</v>
      </c>
      <c r="E3" s="44" t="s">
        <v>41</v>
      </c>
      <c r="F3" s="45" t="s">
        <v>66</v>
      </c>
      <c r="G3" s="46" t="s">
        <v>67</v>
      </c>
      <c r="H3" s="47" t="s">
        <v>66</v>
      </c>
      <c r="I3" s="46" t="s">
        <v>67</v>
      </c>
      <c r="J3" s="45" t="s">
        <v>66</v>
      </c>
      <c r="K3" s="46" t="s">
        <v>67</v>
      </c>
      <c r="L3" s="45" t="s">
        <v>66</v>
      </c>
      <c r="M3" s="46" t="s">
        <v>67</v>
      </c>
      <c r="N3" s="45" t="s">
        <v>66</v>
      </c>
      <c r="O3" s="46" t="s">
        <v>67</v>
      </c>
      <c r="P3" s="45" t="s">
        <v>66</v>
      </c>
      <c r="Q3" s="46" t="s">
        <v>67</v>
      </c>
      <c r="R3" s="45" t="s">
        <v>66</v>
      </c>
      <c r="S3" s="46" t="s">
        <v>67</v>
      </c>
      <c r="T3" s="45" t="s">
        <v>66</v>
      </c>
      <c r="U3" s="46" t="s">
        <v>67</v>
      </c>
      <c r="V3" s="45" t="s">
        <v>66</v>
      </c>
      <c r="W3" s="46" t="s">
        <v>67</v>
      </c>
      <c r="X3" s="45" t="s">
        <v>66</v>
      </c>
      <c r="Y3" s="46" t="s">
        <v>67</v>
      </c>
      <c r="Z3" s="45" t="s">
        <v>66</v>
      </c>
      <c r="AA3" s="46" t="s">
        <v>67</v>
      </c>
    </row>
    <row r="4" spans="1:27">
      <c r="A4" s="48">
        <f>AsOfDate</f>
        <v>39125</v>
      </c>
      <c r="B4">
        <f t="shared" ref="B4:B32" si="0">(date-AsOfDate)/365</f>
        <v>0</v>
      </c>
      <c r="C4" s="49"/>
      <c r="D4" s="50"/>
      <c r="E4" s="51"/>
      <c r="F4" s="33"/>
      <c r="G4" s="23">
        <v>1</v>
      </c>
      <c r="H4" s="33"/>
      <c r="I4" s="23">
        <v>1</v>
      </c>
      <c r="J4" s="33"/>
      <c r="K4" s="23">
        <v>1</v>
      </c>
      <c r="L4" s="33"/>
      <c r="M4" s="23">
        <v>1</v>
      </c>
      <c r="N4" s="33"/>
      <c r="O4" s="23">
        <v>1</v>
      </c>
      <c r="P4" s="33"/>
      <c r="Q4" s="23">
        <v>1</v>
      </c>
      <c r="R4" s="33"/>
      <c r="S4" s="23">
        <v>1</v>
      </c>
      <c r="T4" s="33"/>
      <c r="U4" s="23">
        <v>1</v>
      </c>
      <c r="V4" s="33"/>
      <c r="W4" s="23">
        <v>1</v>
      </c>
      <c r="X4" s="33"/>
      <c r="Y4" s="23">
        <v>1</v>
      </c>
      <c r="Z4" s="33"/>
      <c r="AA4" s="23">
        <v>1</v>
      </c>
    </row>
    <row r="5" spans="1:27">
      <c r="A5" s="48">
        <v>39128</v>
      </c>
      <c r="B5">
        <f t="shared" si="0"/>
        <v>0.00821917808219178</v>
      </c>
      <c r="C5" s="33"/>
      <c r="D5" s="52" t="str">
        <f>IF(DAY(date)=31,100*_cpn2,"")</f>
        <v/>
      </c>
      <c r="E5" s="53">
        <f t="shared" ref="E5:E31" si="1">IF(DAY(date)=15,100*_cpn3/2,"")</f>
        <v>2.75</v>
      </c>
      <c r="F5" s="54">
        <f t="shared" ref="F5:Z7" si="2">F6</f>
        <v>0.01</v>
      </c>
      <c r="G5" s="55">
        <f t="shared" ref="G5:G32" si="3">EXP(-F5*time)</f>
        <v>0.99991781159683</v>
      </c>
      <c r="H5" s="54">
        <f t="shared" si="2"/>
        <v>0.0460262866481098</v>
      </c>
      <c r="I5" s="89">
        <f>EXP(-H5*time)</f>
        <v>0.999621773299337</v>
      </c>
      <c r="J5" s="58">
        <f t="shared" si="2"/>
        <v>0.0460262866481098</v>
      </c>
      <c r="K5" s="90">
        <f>EXP(-J5*time)</f>
        <v>0.999621773299337</v>
      </c>
      <c r="L5" s="58">
        <f t="shared" si="2"/>
        <v>0.0460262866481098</v>
      </c>
      <c r="M5" s="90">
        <f>EXP(-L5*time)</f>
        <v>0.999621773299337</v>
      </c>
      <c r="N5" s="58">
        <f t="shared" si="2"/>
        <v>0.0460262866481098</v>
      </c>
      <c r="O5" s="90">
        <f>EXP(-N5*time)</f>
        <v>0.999621773299337</v>
      </c>
      <c r="P5" s="58">
        <f t="shared" si="2"/>
        <v>0.0460262866481098</v>
      </c>
      <c r="Q5" s="90">
        <f>EXP(-P5*time)</f>
        <v>0.999621773299337</v>
      </c>
      <c r="R5" s="58">
        <f t="shared" si="2"/>
        <v>0.0460262866481098</v>
      </c>
      <c r="S5" s="90">
        <f>EXP(-R5*time)</f>
        <v>0.999621773299337</v>
      </c>
      <c r="T5" s="58">
        <f t="shared" si="2"/>
        <v>0.0460262866481098</v>
      </c>
      <c r="U5" s="90">
        <f>EXP(-T5*time)</f>
        <v>0.999621773299337</v>
      </c>
      <c r="V5" s="58">
        <f t="shared" si="2"/>
        <v>0.0460262866481098</v>
      </c>
      <c r="W5" s="90">
        <f>EXP(-V5*time)</f>
        <v>0.999621773299337</v>
      </c>
      <c r="X5" s="58">
        <f t="shared" si="2"/>
        <v>0.0460262866481098</v>
      </c>
      <c r="Y5" s="90">
        <f>EXP(-X5*time)</f>
        <v>0.999621773299337</v>
      </c>
      <c r="Z5" s="58">
        <f t="shared" si="2"/>
        <v>0.0460262866481098</v>
      </c>
      <c r="AA5" s="90">
        <f>EXP(-Z5*time)</f>
        <v>0.999621773299337</v>
      </c>
    </row>
    <row r="6" spans="1:27">
      <c r="A6" s="48">
        <v>39294</v>
      </c>
      <c r="B6">
        <f t="shared" si="0"/>
        <v>0.463013698630137</v>
      </c>
      <c r="C6" s="56">
        <v>0</v>
      </c>
      <c r="D6" s="57">
        <f t="shared" ref="D6:D17" si="4">IF(DAY(date)=31,100*_cpn2/2,"")</f>
        <v>2.375</v>
      </c>
      <c r="E6" s="53" t="str">
        <f t="shared" si="1"/>
        <v/>
      </c>
      <c r="F6" s="58">
        <f t="shared" si="2"/>
        <v>0.01</v>
      </c>
      <c r="G6" s="55">
        <f t="shared" si="3"/>
        <v>0.995380565573477</v>
      </c>
      <c r="H6" s="58">
        <f t="shared" si="2"/>
        <v>0.0460262866481098</v>
      </c>
      <c r="I6" s="90">
        <f>EXP(-H6*time)</f>
        <v>0.978914669415473</v>
      </c>
      <c r="J6" s="58">
        <f t="shared" si="2"/>
        <v>0.0460262866481098</v>
      </c>
      <c r="K6" s="90">
        <f>EXP(-J6*time)</f>
        <v>0.978914669415473</v>
      </c>
      <c r="L6" s="58">
        <f t="shared" si="2"/>
        <v>0.0460262866481098</v>
      </c>
      <c r="M6" s="90">
        <f>EXP(-L6*time)</f>
        <v>0.978914669415473</v>
      </c>
      <c r="N6" s="58">
        <f t="shared" si="2"/>
        <v>0.0460262866481098</v>
      </c>
      <c r="O6" s="90">
        <f>EXP(-N6*time)</f>
        <v>0.978914669415473</v>
      </c>
      <c r="P6" s="58">
        <f t="shared" si="2"/>
        <v>0.0460262866481098</v>
      </c>
      <c r="Q6" s="90">
        <f>EXP(-P6*time)</f>
        <v>0.978914669415473</v>
      </c>
      <c r="R6" s="58">
        <f t="shared" si="2"/>
        <v>0.0460262866481098</v>
      </c>
      <c r="S6" s="90">
        <f>EXP(-R6*time)</f>
        <v>0.978914669415473</v>
      </c>
      <c r="T6" s="58">
        <f t="shared" si="2"/>
        <v>0.0460262866481098</v>
      </c>
      <c r="U6" s="90">
        <f>EXP(-T6*time)</f>
        <v>0.978914669415473</v>
      </c>
      <c r="V6" s="58">
        <f t="shared" si="2"/>
        <v>0.0460262866481098</v>
      </c>
      <c r="W6" s="90">
        <f>EXP(-V6*time)</f>
        <v>0.978914669415473</v>
      </c>
      <c r="X6" s="58">
        <f t="shared" si="2"/>
        <v>0.0460262866481098</v>
      </c>
      <c r="Y6" s="90">
        <f>EXP(-X6*time)</f>
        <v>0.978914669415473</v>
      </c>
      <c r="Z6" s="58">
        <f t="shared" si="2"/>
        <v>0.0460262866481098</v>
      </c>
      <c r="AA6" s="90">
        <f>EXP(-Z6*time)</f>
        <v>0.978914669415473</v>
      </c>
    </row>
    <row r="7" spans="1:27">
      <c r="A7" s="48">
        <v>39309</v>
      </c>
      <c r="B7">
        <f t="shared" si="0"/>
        <v>0.504109589041096</v>
      </c>
      <c r="C7" s="56">
        <v>0</v>
      </c>
      <c r="D7" s="57" t="str">
        <f t="shared" si="4"/>
        <v/>
      </c>
      <c r="E7" s="53">
        <f t="shared" si="1"/>
        <v>2.75</v>
      </c>
      <c r="F7" s="58">
        <f>F8</f>
        <v>0.01</v>
      </c>
      <c r="G7" s="55">
        <f t="shared" si="3"/>
        <v>0.994971589109093</v>
      </c>
      <c r="H7" s="58">
        <f t="shared" si="2"/>
        <v>0.0460262866481098</v>
      </c>
      <c r="I7" s="90">
        <f>EXP(-H7*time)</f>
        <v>0.977064810948347</v>
      </c>
      <c r="J7" s="58">
        <f t="shared" si="2"/>
        <v>0.0460262866481098</v>
      </c>
      <c r="K7" s="90">
        <f>EXP(-J7*time)</f>
        <v>0.977064810948347</v>
      </c>
      <c r="L7" s="58">
        <f t="shared" si="2"/>
        <v>0.0460262866481098</v>
      </c>
      <c r="M7" s="90">
        <f>EXP(-L7*time)</f>
        <v>0.977064810948347</v>
      </c>
      <c r="N7" s="58">
        <f t="shared" si="2"/>
        <v>0.0460262866481098</v>
      </c>
      <c r="O7" s="90">
        <f>EXP(-N7*time)</f>
        <v>0.977064810948347</v>
      </c>
      <c r="P7" s="58">
        <f t="shared" si="2"/>
        <v>0.0460262866481098</v>
      </c>
      <c r="Q7" s="90">
        <f>EXP(-P7*time)</f>
        <v>0.977064810948347</v>
      </c>
      <c r="R7" s="58">
        <f t="shared" si="2"/>
        <v>0.0460262866481098</v>
      </c>
      <c r="S7" s="90">
        <f>EXP(-R7*time)</f>
        <v>0.977064810948347</v>
      </c>
      <c r="T7" s="58">
        <f t="shared" si="2"/>
        <v>0.0460262866481098</v>
      </c>
      <c r="U7" s="90">
        <f>EXP(-T7*time)</f>
        <v>0.977064810948347</v>
      </c>
      <c r="V7" s="58">
        <f t="shared" si="2"/>
        <v>0.0460262866481098</v>
      </c>
      <c r="W7" s="90">
        <f>EXP(-V7*time)</f>
        <v>0.977064810948347</v>
      </c>
      <c r="X7" s="58">
        <f t="shared" si="2"/>
        <v>0.0460262866481098</v>
      </c>
      <c r="Y7" s="90">
        <f>EXP(-X7*time)</f>
        <v>0.977064810948347</v>
      </c>
      <c r="Z7" s="58">
        <f t="shared" si="2"/>
        <v>0.0460262866481098</v>
      </c>
      <c r="AA7" s="90">
        <f>EXP(-Z7*time)</f>
        <v>0.977064810948347</v>
      </c>
    </row>
    <row r="8" spans="1:27">
      <c r="A8" s="59">
        <f>_mat1</f>
        <v>39335</v>
      </c>
      <c r="B8" s="60">
        <f t="shared" si="0"/>
        <v>0.575342465753425</v>
      </c>
      <c r="C8" s="61">
        <f>100</f>
        <v>100</v>
      </c>
      <c r="D8" s="57" t="str">
        <f t="shared" si="4"/>
        <v/>
      </c>
      <c r="E8" s="53" t="str">
        <f t="shared" si="1"/>
        <v/>
      </c>
      <c r="F8" s="62">
        <v>0.01</v>
      </c>
      <c r="G8" s="63">
        <f t="shared" si="3"/>
        <v>0.99426309459417</v>
      </c>
      <c r="H8" s="64">
        <f>-LN(I8)/time1</f>
        <v>0.0460262866481098</v>
      </c>
      <c r="I8" s="91">
        <f>(price1-SUMPRODUCT($C$4:$C$7,G4:G7))/$C$8</f>
        <v>0.973866666666667</v>
      </c>
      <c r="J8" s="62">
        <f>-LN(K8)/time1</f>
        <v>0.0460262866481098</v>
      </c>
      <c r="K8" s="92">
        <f>(price1-SUMPRODUCT($C$4:$C$7,I4:I7))/$C$8</f>
        <v>0.973866666666667</v>
      </c>
      <c r="L8" s="62">
        <f>-LN(M8)/time1</f>
        <v>0.0460262866481098</v>
      </c>
      <c r="M8" s="92">
        <f>(price1-SUMPRODUCT($C$4:$C$7,K4:K7))/$C$8</f>
        <v>0.973866666666667</v>
      </c>
      <c r="N8" s="62">
        <f>-LN(O8)/time1</f>
        <v>0.0460262866481098</v>
      </c>
      <c r="O8" s="92">
        <f>(price1-SUMPRODUCT($C$4:$C$7,M4:M7))/$C$8</f>
        <v>0.973866666666667</v>
      </c>
      <c r="P8" s="62">
        <f>-LN(Q8)/time1</f>
        <v>0.0460262866481098</v>
      </c>
      <c r="Q8" s="92">
        <f>(price1-SUMPRODUCT($C$4:$C$7,O4:O7))/$C$8</f>
        <v>0.973866666666667</v>
      </c>
      <c r="R8" s="62">
        <f>-LN(S8)/time1</f>
        <v>0.0460262866481098</v>
      </c>
      <c r="S8" s="92">
        <f>(price1-SUMPRODUCT($C$4:$C$7,Q4:Q7))/$C$8</f>
        <v>0.973866666666667</v>
      </c>
      <c r="T8" s="62">
        <f>-LN(U8)/time1</f>
        <v>0.0460262866481098</v>
      </c>
      <c r="U8" s="92">
        <f>(price1-SUMPRODUCT($C$4:$C$7,S4:S7))/$C$8</f>
        <v>0.973866666666667</v>
      </c>
      <c r="V8" s="62">
        <f>-LN(W8)/time1</f>
        <v>0.0460262866481098</v>
      </c>
      <c r="W8" s="92">
        <f>(price1-SUMPRODUCT($C$4:$C$7,U4:U7))/$C$8</f>
        <v>0.973866666666667</v>
      </c>
      <c r="X8" s="62">
        <f>-LN(Y8)/time1</f>
        <v>0.0460262866481098</v>
      </c>
      <c r="Y8" s="92">
        <f>(price1-SUMPRODUCT($C$4:$C$7,W4:W7))/$C$8</f>
        <v>0.973866666666667</v>
      </c>
      <c r="Z8" s="62">
        <f>-LN(AA8)/time1</f>
        <v>0.0460262866481098</v>
      </c>
      <c r="AA8" s="92">
        <f>(price1-SUMPRODUCT($C$4:$C$7,Y4:Y7))/$C$8</f>
        <v>0.973866666666667</v>
      </c>
    </row>
    <row r="9" spans="1:27">
      <c r="A9" s="48">
        <v>39478</v>
      </c>
      <c r="B9">
        <f t="shared" si="0"/>
        <v>0.967123287671233</v>
      </c>
      <c r="C9" s="33"/>
      <c r="D9" s="57">
        <f>IF(DAY(date)=31,100*_cpn2/2,"")</f>
        <v>2.375</v>
      </c>
      <c r="E9" s="53" t="str">
        <f t="shared" si="1"/>
        <v/>
      </c>
      <c r="F9" s="58">
        <f t="shared" ref="F9:F18" si="5">F$44+F$46*(time-time1)+F$48*(time-time1)^2+F$50*(time-time1)^3</f>
        <v>0.01</v>
      </c>
      <c r="G9" s="55">
        <f t="shared" si="3"/>
        <v>0.99037538309695</v>
      </c>
      <c r="H9" s="58">
        <f t="shared" ref="H9:H18" si="6">H$44+H$46*(time-time1)+H$48*(time-time1)^2+H$50*(time-time1)^3</f>
        <v>0.0465798825639857</v>
      </c>
      <c r="I9" s="90">
        <f t="shared" ref="I9:I18" si="7">EXP(-H9*time)</f>
        <v>0.955951127437677</v>
      </c>
      <c r="J9" s="58">
        <f t="shared" ref="J9:J18" si="8">J$44+J$46*(time-time1)+J$48*(time-time1)^2+J$50*(time-time1)^3</f>
        <v>0.0462021947312936</v>
      </c>
      <c r="K9" s="90">
        <f t="shared" ref="K9:K18" si="9">EXP(-J9*time)</f>
        <v>0.956300372154244</v>
      </c>
      <c r="L9" s="58">
        <f t="shared" ref="L9:L18" si="10">L$44+L$46*(time-time1)+L$48*(time-time1)^2+L$50*(time-time1)^3</f>
        <v>0.0462132873436169</v>
      </c>
      <c r="M9" s="90">
        <f t="shared" ref="M9:M18" si="11">EXP(-L9*time)</f>
        <v>0.956290113091848</v>
      </c>
      <c r="N9" s="58">
        <f t="shared" ref="N9:N18" si="12">N$44+N$46*(time-time1)+N$48*(time-time1)^2+N$50*(time-time1)^3</f>
        <v>0.0462133365288755</v>
      </c>
      <c r="O9" s="90">
        <f t="shared" ref="O9:O18" si="13">EXP(-N9*time)</f>
        <v>0.956290067602841</v>
      </c>
      <c r="P9" s="58">
        <f t="shared" ref="P9:P18" si="14">P$44+P$46*(time-time1)+P$48*(time-time1)^2+P$50*(time-time1)^3</f>
        <v>0.0462132683954961</v>
      </c>
      <c r="Q9" s="90">
        <f t="shared" ref="Q9:Q18" si="15">EXP(-P9*time)</f>
        <v>0.956290130616026</v>
      </c>
      <c r="R9" s="58">
        <f t="shared" ref="R9:R18" si="16">R$44+R$46*(time-time1)+R$48*(time-time1)^2+R$50*(time-time1)^3</f>
        <v>0.0462132799660831</v>
      </c>
      <c r="S9" s="90">
        <f t="shared" ref="S9:S18" si="17">EXP(-R9*time)</f>
        <v>0.956290119914963</v>
      </c>
      <c r="T9" s="58">
        <f t="shared" ref="T9:T18" si="18">T$44+T$46*(time-time1)+T$48*(time-time1)^2+T$50*(time-time1)^3</f>
        <v>0.0462132783223925</v>
      </c>
      <c r="U9" s="90">
        <f t="shared" ref="U9:U18" si="19">EXP(-T9*time)</f>
        <v>0.956290121435131</v>
      </c>
      <c r="V9" s="58">
        <f t="shared" ref="V9:V18" si="20">V$44+V$46*(time-time1)+V$48*(time-time1)^2+V$50*(time-time1)^3</f>
        <v>0.0462132785457835</v>
      </c>
      <c r="W9" s="90">
        <f t="shared" ref="W9:W18" si="21">EXP(-V9*time)</f>
        <v>0.956290121228528</v>
      </c>
      <c r="X9" s="58">
        <f t="shared" ref="X9:X18" si="22">X$44+X$46*(time-time1)+X$48*(time-time1)^2+X$50*(time-time1)^3</f>
        <v>0.0462132785158047</v>
      </c>
      <c r="Y9" s="90">
        <f t="shared" ref="Y9:Y18" si="23">EXP(-X9*time)</f>
        <v>0.956290121256254</v>
      </c>
      <c r="Z9" s="58">
        <f t="shared" ref="Z9:Z18" si="24">Z$44+Z$46*(time-time1)+Z$48*(time-time1)^2+Z$50*(time-time1)^3</f>
        <v>0.0462132785198128</v>
      </c>
      <c r="AA9" s="90">
        <f t="shared" ref="AA9:AA18" si="25">EXP(-Z9*time)</f>
        <v>0.956290121252547</v>
      </c>
    </row>
    <row r="10" spans="1:27">
      <c r="A10" s="48">
        <v>39493</v>
      </c>
      <c r="B10">
        <f t="shared" si="0"/>
        <v>1.00821917808219</v>
      </c>
      <c r="C10" s="33"/>
      <c r="D10" s="57" t="str">
        <f t="shared" si="4"/>
        <v/>
      </c>
      <c r="E10" s="53">
        <f t="shared" si="1"/>
        <v>2.75</v>
      </c>
      <c r="F10" s="58">
        <f t="shared" si="5"/>
        <v>0.01</v>
      </c>
      <c r="G10" s="55">
        <f t="shared" si="3"/>
        <v>0.989968463134273</v>
      </c>
      <c r="H10" s="58">
        <f t="shared" si="6"/>
        <v>0.0466353179807202</v>
      </c>
      <c r="I10" s="90">
        <f t="shared" si="7"/>
        <v>0.95406963077451</v>
      </c>
      <c r="J10" s="58">
        <f t="shared" si="8"/>
        <v>0.0462198606629067</v>
      </c>
      <c r="K10" s="90">
        <f t="shared" si="9"/>
        <v>0.954469347572005</v>
      </c>
      <c r="L10" s="58">
        <f t="shared" si="10"/>
        <v>0.04623180357877</v>
      </c>
      <c r="M10" s="90">
        <f t="shared" si="11"/>
        <v>0.954457854802466</v>
      </c>
      <c r="N10" s="58">
        <f t="shared" si="12"/>
        <v>0.0462318967781904</v>
      </c>
      <c r="O10" s="90">
        <f t="shared" si="13"/>
        <v>0.954457765116415</v>
      </c>
      <c r="P10" s="58">
        <f t="shared" si="14"/>
        <v>0.04623181611146</v>
      </c>
      <c r="Q10" s="90">
        <f t="shared" si="15"/>
        <v>0.954457842742224</v>
      </c>
      <c r="R10" s="58">
        <f t="shared" si="16"/>
        <v>0.046231829614784</v>
      </c>
      <c r="S10" s="90">
        <f t="shared" si="17"/>
        <v>0.954457829747939</v>
      </c>
      <c r="T10" s="58">
        <f t="shared" si="18"/>
        <v>0.0462318277025343</v>
      </c>
      <c r="U10" s="90">
        <f t="shared" si="19"/>
        <v>0.954457831588102</v>
      </c>
      <c r="V10" s="58">
        <f t="shared" si="20"/>
        <v>0.0462318279621952</v>
      </c>
      <c r="W10" s="90">
        <f t="shared" si="21"/>
        <v>0.95445783133823</v>
      </c>
      <c r="X10" s="58">
        <f t="shared" si="22"/>
        <v>0.0462318279273579</v>
      </c>
      <c r="Y10" s="90">
        <f t="shared" si="23"/>
        <v>0.954457831371754</v>
      </c>
      <c r="Z10" s="58">
        <f t="shared" si="24"/>
        <v>0.0462318279320152</v>
      </c>
      <c r="AA10" s="90">
        <f t="shared" si="25"/>
        <v>0.954457831367272</v>
      </c>
    </row>
    <row r="11" spans="1:27">
      <c r="A11" s="48">
        <v>39660</v>
      </c>
      <c r="B11">
        <f t="shared" si="0"/>
        <v>1.46575342465753</v>
      </c>
      <c r="C11" s="33"/>
      <c r="D11" s="57">
        <f t="shared" si="4"/>
        <v>2.375</v>
      </c>
      <c r="E11" s="53" t="str">
        <f t="shared" si="1"/>
        <v/>
      </c>
      <c r="F11" s="58">
        <f t="shared" si="5"/>
        <v>0.01</v>
      </c>
      <c r="G11" s="55">
        <f t="shared" si="3"/>
        <v>0.985449364480601</v>
      </c>
      <c r="H11" s="58">
        <f t="shared" si="6"/>
        <v>0.0472332788718292</v>
      </c>
      <c r="I11" s="90">
        <f t="shared" si="7"/>
        <v>0.933109855900248</v>
      </c>
      <c r="J11" s="58">
        <f t="shared" si="8"/>
        <v>0.046410806429367</v>
      </c>
      <c r="K11" s="90">
        <f t="shared" si="9"/>
        <v>0.934235437166117</v>
      </c>
      <c r="L11" s="58">
        <f t="shared" si="10"/>
        <v>0.0464299303196414</v>
      </c>
      <c r="M11" s="90">
        <f t="shared" si="11"/>
        <v>0.934209250065868</v>
      </c>
      <c r="N11" s="58">
        <f t="shared" si="12"/>
        <v>0.0464307970550445</v>
      </c>
      <c r="O11" s="90">
        <f t="shared" si="13"/>
        <v>0.934208063228147</v>
      </c>
      <c r="P11" s="58">
        <f t="shared" si="14"/>
        <v>0.0464305375468111</v>
      </c>
      <c r="Q11" s="90">
        <f t="shared" si="15"/>
        <v>0.934208418577683</v>
      </c>
      <c r="R11" s="58">
        <f t="shared" si="16"/>
        <v>0.0464305778145392</v>
      </c>
      <c r="S11" s="90">
        <f t="shared" si="17"/>
        <v>0.934208363438312</v>
      </c>
      <c r="T11" s="58">
        <f t="shared" si="18"/>
        <v>0.0464305722108004</v>
      </c>
      <c r="U11" s="90">
        <f t="shared" si="19"/>
        <v>0.934208371111618</v>
      </c>
      <c r="V11" s="58">
        <f t="shared" si="20"/>
        <v>0.0464305729679339</v>
      </c>
      <c r="W11" s="90">
        <f t="shared" si="21"/>
        <v>0.934208370074861</v>
      </c>
      <c r="X11" s="58">
        <f t="shared" si="22"/>
        <v>0.046430572866502</v>
      </c>
      <c r="Y11" s="90">
        <f t="shared" si="23"/>
        <v>0.934208370213754</v>
      </c>
      <c r="Z11" s="58">
        <f t="shared" si="24"/>
        <v>0.0464305728800562</v>
      </c>
      <c r="AA11" s="90">
        <f t="shared" si="25"/>
        <v>0.934208370195194</v>
      </c>
    </row>
    <row r="12" spans="1:27">
      <c r="A12" s="48">
        <v>39675</v>
      </c>
      <c r="B12">
        <f t="shared" si="0"/>
        <v>1.50684931506849</v>
      </c>
      <c r="C12" s="33"/>
      <c r="D12" s="57" t="str">
        <f t="shared" si="4"/>
        <v/>
      </c>
      <c r="E12" s="53">
        <f>IF(DAY(date)=15,100*_cpn3/2,"")</f>
        <v>2.75</v>
      </c>
      <c r="F12" s="58">
        <f t="shared" si="5"/>
        <v>0.01</v>
      </c>
      <c r="G12" s="65">
        <f t="shared" si="3"/>
        <v>0.985044468493223</v>
      </c>
      <c r="H12" s="54">
        <f t="shared" si="6"/>
        <v>0.0472860543341826</v>
      </c>
      <c r="I12" s="90">
        <f t="shared" si="7"/>
        <v>0.931226300643376</v>
      </c>
      <c r="J12" s="58">
        <f t="shared" si="8"/>
        <v>0.0464276786767608</v>
      </c>
      <c r="K12" s="90">
        <f t="shared" si="9"/>
        <v>0.932431567874594</v>
      </c>
      <c r="L12" s="58">
        <f t="shared" si="10"/>
        <v>0.0464473365368708</v>
      </c>
      <c r="M12" s="90">
        <f t="shared" si="11"/>
        <v>0.932403948324407</v>
      </c>
      <c r="N12" s="58">
        <f t="shared" si="12"/>
        <v>0.0464482865228997</v>
      </c>
      <c r="O12" s="90">
        <f t="shared" si="13"/>
        <v>0.932402613602353</v>
      </c>
      <c r="P12" s="58">
        <f t="shared" si="14"/>
        <v>0.0464480090419216</v>
      </c>
      <c r="Q12" s="90">
        <f t="shared" si="15"/>
        <v>0.932403003460501</v>
      </c>
      <c r="R12" s="58">
        <f t="shared" si="16"/>
        <v>0.0464480519684873</v>
      </c>
      <c r="S12" s="90">
        <f t="shared" si="17"/>
        <v>0.932402943149072</v>
      </c>
      <c r="T12" s="58">
        <f t="shared" si="18"/>
        <v>0.0464480459991013</v>
      </c>
      <c r="U12" s="90">
        <f t="shared" si="19"/>
        <v>0.932402951536004</v>
      </c>
      <c r="V12" s="58">
        <f t="shared" si="20"/>
        <v>0.0464480468054679</v>
      </c>
      <c r="W12" s="90">
        <f t="shared" si="21"/>
        <v>0.932402950403066</v>
      </c>
      <c r="X12" s="58">
        <f t="shared" si="22"/>
        <v>0.0464480466974471</v>
      </c>
      <c r="Y12" s="90">
        <f t="shared" si="23"/>
        <v>0.932402950554835</v>
      </c>
      <c r="Z12" s="58">
        <f t="shared" si="24"/>
        <v>0.0464480467118814</v>
      </c>
      <c r="AA12" s="90">
        <f t="shared" si="25"/>
        <v>0.932402950534554</v>
      </c>
    </row>
    <row r="13" spans="1:27">
      <c r="A13" s="48">
        <v>39844</v>
      </c>
      <c r="B13">
        <f t="shared" si="0"/>
        <v>1.96986301369863</v>
      </c>
      <c r="C13" s="33"/>
      <c r="D13" s="57">
        <f t="shared" si="4"/>
        <v>2.375</v>
      </c>
      <c r="E13" s="53" t="str">
        <f t="shared" si="1"/>
        <v/>
      </c>
      <c r="F13" s="58">
        <f t="shared" si="5"/>
        <v>0.01</v>
      </c>
      <c r="G13" s="55">
        <f t="shared" si="3"/>
        <v>0.980494120163809</v>
      </c>
      <c r="H13" s="58">
        <f t="shared" si="6"/>
        <v>0.0478861124599022</v>
      </c>
      <c r="I13" s="90">
        <f t="shared" si="7"/>
        <v>0.90998325403075</v>
      </c>
      <c r="J13" s="58">
        <f t="shared" si="8"/>
        <v>0.0466194002170193</v>
      </c>
      <c r="K13" s="90">
        <f t="shared" si="9"/>
        <v>0.91225672463667</v>
      </c>
      <c r="L13" s="58">
        <f t="shared" si="10"/>
        <v>0.0466457228207747</v>
      </c>
      <c r="M13" s="90">
        <f t="shared" si="11"/>
        <v>0.912209423597051</v>
      </c>
      <c r="N13" s="58">
        <f t="shared" si="12"/>
        <v>0.0466475303043702</v>
      </c>
      <c r="O13" s="90">
        <f t="shared" si="13"/>
        <v>0.912206175685666</v>
      </c>
      <c r="P13" s="58">
        <f t="shared" si="14"/>
        <v>0.0466470614846537</v>
      </c>
      <c r="Q13" s="90">
        <f t="shared" si="15"/>
        <v>0.912207018118146</v>
      </c>
      <c r="R13" s="58">
        <f t="shared" si="16"/>
        <v>0.0466471328784928</v>
      </c>
      <c r="S13" s="90">
        <f t="shared" si="17"/>
        <v>0.912206889828933</v>
      </c>
      <c r="T13" s="58">
        <f t="shared" si="18"/>
        <v>0.0466471229885735</v>
      </c>
      <c r="U13" s="90">
        <f t="shared" si="19"/>
        <v>0.912206907600353</v>
      </c>
      <c r="V13" s="58">
        <f t="shared" si="20"/>
        <v>0.0466471243230497</v>
      </c>
      <c r="W13" s="90">
        <f t="shared" si="21"/>
        <v>0.912206905202402</v>
      </c>
      <c r="X13" s="58">
        <f t="shared" si="22"/>
        <v>0.0466471241443421</v>
      </c>
      <c r="Y13" s="90">
        <f t="shared" si="23"/>
        <v>0.912206905523526</v>
      </c>
      <c r="Z13" s="58">
        <f t="shared" si="24"/>
        <v>0.0466471241682197</v>
      </c>
      <c r="AA13" s="90">
        <f t="shared" si="25"/>
        <v>0.91220690548062</v>
      </c>
    </row>
    <row r="14" spans="1:27">
      <c r="A14" s="48">
        <v>39859</v>
      </c>
      <c r="B14">
        <f t="shared" si="0"/>
        <v>2.01095890410959</v>
      </c>
      <c r="C14" s="33"/>
      <c r="D14" s="57" t="str">
        <f t="shared" si="4"/>
        <v/>
      </c>
      <c r="E14" s="53">
        <f t="shared" si="1"/>
        <v>2.75</v>
      </c>
      <c r="F14" s="58">
        <f t="shared" si="5"/>
        <v>0.01</v>
      </c>
      <c r="G14" s="55">
        <f t="shared" si="3"/>
        <v>0.980091260159824</v>
      </c>
      <c r="H14" s="58">
        <f t="shared" si="6"/>
        <v>0.0479406657947089</v>
      </c>
      <c r="I14" s="90">
        <f t="shared" si="7"/>
        <v>0.908094610930633</v>
      </c>
      <c r="J14" s="58">
        <f t="shared" si="8"/>
        <v>0.0466368029506952</v>
      </c>
      <c r="K14" s="90">
        <f t="shared" si="9"/>
        <v>0.910478772542312</v>
      </c>
      <c r="L14" s="58">
        <f t="shared" si="10"/>
        <v>0.0466638709568518</v>
      </c>
      <c r="M14" s="90">
        <f t="shared" si="11"/>
        <v>0.910429214120588</v>
      </c>
      <c r="N14" s="58">
        <f t="shared" si="12"/>
        <v>0.0466657354660261</v>
      </c>
      <c r="O14" s="90">
        <f t="shared" si="13"/>
        <v>0.910425800516963</v>
      </c>
      <c r="P14" s="58">
        <f t="shared" si="14"/>
        <v>0.0466652523091717</v>
      </c>
      <c r="Q14" s="90">
        <f t="shared" si="15"/>
        <v>0.910426685094911</v>
      </c>
      <c r="R14" s="58">
        <f t="shared" si="16"/>
        <v>0.046665325876534</v>
      </c>
      <c r="S14" s="90">
        <f t="shared" si="17"/>
        <v>0.910426550405539</v>
      </c>
      <c r="T14" s="58">
        <f t="shared" si="18"/>
        <v>0.0466653156858597</v>
      </c>
      <c r="U14" s="90">
        <f t="shared" si="19"/>
        <v>0.910426569062935</v>
      </c>
      <c r="V14" s="58">
        <f t="shared" si="20"/>
        <v>0.0466653170609045</v>
      </c>
      <c r="W14" s="90">
        <f t="shared" si="21"/>
        <v>0.910426566545462</v>
      </c>
      <c r="X14" s="58">
        <f t="shared" si="22"/>
        <v>0.0466653168767647</v>
      </c>
      <c r="Y14" s="90">
        <f t="shared" si="23"/>
        <v>0.91042656688259</v>
      </c>
      <c r="Z14" s="58">
        <f t="shared" si="24"/>
        <v>0.0466653169013681</v>
      </c>
      <c r="AA14" s="90">
        <f t="shared" si="25"/>
        <v>0.910426566837546</v>
      </c>
    </row>
    <row r="15" spans="1:27">
      <c r="A15" s="48">
        <v>40025</v>
      </c>
      <c r="B15">
        <f t="shared" si="0"/>
        <v>2.46575342465753</v>
      </c>
      <c r="C15" s="33"/>
      <c r="D15" s="57">
        <f t="shared" si="4"/>
        <v>2.375</v>
      </c>
      <c r="E15" s="53" t="str">
        <f t="shared" si="1"/>
        <v/>
      </c>
      <c r="F15" s="58">
        <f t="shared" si="5"/>
        <v>0.01</v>
      </c>
      <c r="G15" s="55">
        <f t="shared" si="3"/>
        <v>0.975643979472242</v>
      </c>
      <c r="H15" s="58">
        <f t="shared" si="6"/>
        <v>0.0485739744778604</v>
      </c>
      <c r="I15" s="90">
        <f t="shared" si="7"/>
        <v>0.887123170944397</v>
      </c>
      <c r="J15" s="58">
        <f t="shared" si="8"/>
        <v>0.0468382208870844</v>
      </c>
      <c r="K15" s="90">
        <f t="shared" si="9"/>
        <v>0.890928141924922</v>
      </c>
      <c r="L15" s="58">
        <f t="shared" si="10"/>
        <v>0.0468770564072645</v>
      </c>
      <c r="M15" s="90">
        <f t="shared" si="11"/>
        <v>0.890842831784789</v>
      </c>
      <c r="N15" s="58">
        <f t="shared" si="12"/>
        <v>0.0468791155953517</v>
      </c>
      <c r="O15" s="90">
        <f t="shared" si="13"/>
        <v>0.890838308586266</v>
      </c>
      <c r="P15" s="58">
        <f t="shared" si="14"/>
        <v>0.0468785342733569</v>
      </c>
      <c r="Q15" s="90">
        <f t="shared" si="15"/>
        <v>0.890839585511872</v>
      </c>
      <c r="R15" s="58">
        <f t="shared" si="16"/>
        <v>0.0468786238183833</v>
      </c>
      <c r="S15" s="90">
        <f t="shared" si="17"/>
        <v>0.890839388818117</v>
      </c>
      <c r="T15" s="58">
        <f t="shared" si="18"/>
        <v>0.0468786113792088</v>
      </c>
      <c r="U15" s="90">
        <f t="shared" si="19"/>
        <v>0.890839416141887</v>
      </c>
      <c r="V15" s="58">
        <f t="shared" si="20"/>
        <v>0.0468786130590303</v>
      </c>
      <c r="W15" s="90">
        <f t="shared" si="21"/>
        <v>0.890839412452007</v>
      </c>
      <c r="X15" s="58">
        <f t="shared" si="22"/>
        <v>0.0468786128340216</v>
      </c>
      <c r="Y15" s="90">
        <f t="shared" si="23"/>
        <v>0.890839412946259</v>
      </c>
      <c r="Z15" s="58">
        <f t="shared" si="24"/>
        <v>0.0468786128640877</v>
      </c>
      <c r="AA15" s="90">
        <f t="shared" si="25"/>
        <v>0.890839412880216</v>
      </c>
    </row>
    <row r="16" spans="1:27">
      <c r="A16" s="48">
        <v>40040</v>
      </c>
      <c r="B16">
        <f t="shared" si="0"/>
        <v>2.50684931506849</v>
      </c>
      <c r="C16" s="33"/>
      <c r="D16" s="57" t="str">
        <f t="shared" si="4"/>
        <v/>
      </c>
      <c r="E16" s="53">
        <f t="shared" si="1"/>
        <v>2.75</v>
      </c>
      <c r="F16" s="58">
        <f t="shared" si="5"/>
        <v>0.01</v>
      </c>
      <c r="G16" s="55">
        <f t="shared" si="3"/>
        <v>0.975243112267253</v>
      </c>
      <c r="H16" s="54">
        <f t="shared" si="6"/>
        <v>0.048634658916641</v>
      </c>
      <c r="I16" s="90">
        <f t="shared" si="7"/>
        <v>0.885219394423494</v>
      </c>
      <c r="J16" s="58">
        <f t="shared" si="8"/>
        <v>0.0468574530357704</v>
      </c>
      <c r="K16" s="93">
        <f t="shared" si="9"/>
        <v>0.889172010952969</v>
      </c>
      <c r="L16" s="58">
        <f t="shared" si="10"/>
        <v>0.0468977630967329</v>
      </c>
      <c r="M16" s="90">
        <f t="shared" si="11"/>
        <v>0.889082163550613</v>
      </c>
      <c r="N16" s="58">
        <f t="shared" si="12"/>
        <v>0.0468997888716897</v>
      </c>
      <c r="O16" s="90">
        <f t="shared" si="13"/>
        <v>0.889077648524956</v>
      </c>
      <c r="P16" s="58">
        <f t="shared" si="14"/>
        <v>0.0468992057501742</v>
      </c>
      <c r="Q16" s="90">
        <f t="shared" si="15"/>
        <v>0.889078948177632</v>
      </c>
      <c r="R16" s="58">
        <f t="shared" si="16"/>
        <v>0.0468992957950863</v>
      </c>
      <c r="S16" s="90">
        <f t="shared" si="17"/>
        <v>0.889078747486729</v>
      </c>
      <c r="T16" s="58">
        <f t="shared" si="18"/>
        <v>0.0468992832789418</v>
      </c>
      <c r="U16" s="90">
        <f t="shared" si="19"/>
        <v>0.889078775382543</v>
      </c>
      <c r="V16" s="58">
        <f t="shared" si="20"/>
        <v>0.046899284969452</v>
      </c>
      <c r="W16" s="90">
        <f t="shared" si="21"/>
        <v>0.889078771614757</v>
      </c>
      <c r="X16" s="58">
        <f t="shared" si="22"/>
        <v>0.0468992847429999</v>
      </c>
      <c r="Y16" s="90">
        <f t="shared" si="23"/>
        <v>0.88907877211947</v>
      </c>
      <c r="Z16" s="58">
        <f t="shared" si="24"/>
        <v>0.0468992847732594</v>
      </c>
      <c r="AA16" s="90">
        <f t="shared" si="25"/>
        <v>0.889078772052028</v>
      </c>
    </row>
    <row r="17" spans="1:27">
      <c r="A17" s="48">
        <v>40209</v>
      </c>
      <c r="B17">
        <f t="shared" si="0"/>
        <v>2.96986301369863</v>
      </c>
      <c r="C17" s="33"/>
      <c r="D17" s="57">
        <f t="shared" si="4"/>
        <v>2.375</v>
      </c>
      <c r="E17" s="53" t="str">
        <f t="shared" si="1"/>
        <v/>
      </c>
      <c r="F17" s="58">
        <f t="shared" si="5"/>
        <v>0.01</v>
      </c>
      <c r="G17" s="55">
        <f t="shared" si="3"/>
        <v>0.970738040660216</v>
      </c>
      <c r="H17" s="54">
        <f t="shared" si="6"/>
        <v>0.0493740161762942</v>
      </c>
      <c r="I17" s="90">
        <f t="shared" si="7"/>
        <v>0.863609945155471</v>
      </c>
      <c r="J17" s="58">
        <f t="shared" si="8"/>
        <v>0.0470907390198218</v>
      </c>
      <c r="K17" s="93">
        <f t="shared" si="9"/>
        <v>0.869486002106166</v>
      </c>
      <c r="L17" s="58">
        <f t="shared" si="10"/>
        <v>0.0471542799021635</v>
      </c>
      <c r="M17" s="90">
        <f t="shared" si="11"/>
        <v>0.869321938868819</v>
      </c>
      <c r="N17" s="58">
        <f t="shared" si="12"/>
        <v>0.0471551084005516</v>
      </c>
      <c r="O17" s="90">
        <f t="shared" si="13"/>
        <v>0.869319799881592</v>
      </c>
      <c r="P17" s="58">
        <f t="shared" si="14"/>
        <v>0.047154618795881</v>
      </c>
      <c r="Q17" s="90">
        <f t="shared" si="15"/>
        <v>0.869321063924618</v>
      </c>
      <c r="R17" s="58">
        <f t="shared" si="16"/>
        <v>0.0471546992829029</v>
      </c>
      <c r="S17" s="90">
        <f t="shared" si="17"/>
        <v>0.86932085612611</v>
      </c>
      <c r="T17" s="58">
        <f t="shared" si="18"/>
        <v>0.0471546879306348</v>
      </c>
      <c r="U17" s="90">
        <f t="shared" si="19"/>
        <v>0.869320885434985</v>
      </c>
      <c r="V17" s="58">
        <f t="shared" si="20"/>
        <v>0.0471546894703822</v>
      </c>
      <c r="W17" s="90">
        <f t="shared" si="21"/>
        <v>0.869320881459721</v>
      </c>
      <c r="X17" s="58">
        <f t="shared" si="22"/>
        <v>0.0471546892638718</v>
      </c>
      <c r="Y17" s="90">
        <f t="shared" si="23"/>
        <v>0.869320881992882</v>
      </c>
      <c r="Z17" s="58">
        <f t="shared" si="24"/>
        <v>0.0471546892914768</v>
      </c>
      <c r="AA17" s="90">
        <f t="shared" si="25"/>
        <v>0.869320881921613</v>
      </c>
    </row>
    <row r="18" spans="1:27">
      <c r="A18" s="48">
        <v>40224</v>
      </c>
      <c r="B18">
        <f t="shared" si="0"/>
        <v>3.01095890410959</v>
      </c>
      <c r="C18" s="33"/>
      <c r="D18" s="52" t="str">
        <f>IF(DAY(date)=31,100*_cpn2,"")</f>
        <v/>
      </c>
      <c r="E18" s="53">
        <f t="shared" si="1"/>
        <v>2.75</v>
      </c>
      <c r="F18" s="58">
        <f t="shared" si="5"/>
        <v>0.01</v>
      </c>
      <c r="G18" s="55">
        <f t="shared" si="3"/>
        <v>0.970339189180246</v>
      </c>
      <c r="H18" s="58">
        <f t="shared" si="6"/>
        <v>0.0494453881915849</v>
      </c>
      <c r="I18" s="90">
        <f t="shared" si="7"/>
        <v>0.86167420530508</v>
      </c>
      <c r="J18" s="58">
        <f t="shared" si="8"/>
        <v>0.0471131601558374</v>
      </c>
      <c r="K18" s="90">
        <f t="shared" si="9"/>
        <v>0.867746385974802</v>
      </c>
      <c r="L18" s="58">
        <f t="shared" si="10"/>
        <v>0.0471794465934916</v>
      </c>
      <c r="M18" s="90">
        <f t="shared" si="11"/>
        <v>0.867573213452464</v>
      </c>
      <c r="N18" s="58">
        <f t="shared" si="12"/>
        <v>0.0471800840284096</v>
      </c>
      <c r="O18" s="90">
        <f t="shared" si="13"/>
        <v>0.867571548329172</v>
      </c>
      <c r="P18" s="58">
        <f t="shared" si="14"/>
        <v>0.047179614479457</v>
      </c>
      <c r="Q18" s="90">
        <f t="shared" si="15"/>
        <v>0.867572774896274</v>
      </c>
      <c r="R18" s="58">
        <f t="shared" si="16"/>
        <v>0.0471796925489248</v>
      </c>
      <c r="S18" s="90">
        <f t="shared" si="17"/>
        <v>0.867572570961206</v>
      </c>
      <c r="T18" s="58">
        <f t="shared" si="18"/>
        <v>0.0471796815097826</v>
      </c>
      <c r="U18" s="90">
        <f t="shared" si="19"/>
        <v>0.867572599797934</v>
      </c>
      <c r="V18" s="58">
        <f t="shared" si="20"/>
        <v>0.047179683008133</v>
      </c>
      <c r="W18" s="90">
        <f t="shared" si="21"/>
        <v>0.867572595883905</v>
      </c>
      <c r="X18" s="58">
        <f t="shared" si="22"/>
        <v>0.0471796828071326</v>
      </c>
      <c r="Y18" s="90">
        <f t="shared" si="23"/>
        <v>0.867572596408963</v>
      </c>
      <c r="Z18" s="58">
        <f t="shared" si="24"/>
        <v>0.0471796828340027</v>
      </c>
      <c r="AA18" s="90">
        <f t="shared" si="25"/>
        <v>0.867572596338772</v>
      </c>
    </row>
    <row r="19" spans="1:27">
      <c r="A19" s="59">
        <f>_mat2</f>
        <v>40390</v>
      </c>
      <c r="B19" s="60">
        <f t="shared" si="0"/>
        <v>3.46575342465753</v>
      </c>
      <c r="C19" s="33"/>
      <c r="D19" s="52">
        <f>100*(_cpn2/2+1)</f>
        <v>102.375</v>
      </c>
      <c r="E19" s="53" t="str">
        <f t="shared" si="1"/>
        <v/>
      </c>
      <c r="F19" s="62">
        <v>0.01</v>
      </c>
      <c r="G19" s="63">
        <f t="shared" si="3"/>
        <v>0.96593615967487</v>
      </c>
      <c r="H19" s="64">
        <f>-LN(I19)/time2</f>
        <v>0.0503133201576168</v>
      </c>
      <c r="I19" s="91">
        <f>(price2-SUMPRODUCT($D$4:$D$18,G4:G18))/$D$19</f>
        <v>0.839983053593149</v>
      </c>
      <c r="J19" s="64">
        <f>-LN(K19)/time2</f>
        <v>0.047384585607553</v>
      </c>
      <c r="K19" s="91">
        <f>(price2-SUMPRODUCT($D$4:$D$18,I4:I18))/$D$19</f>
        <v>0.848552527562261</v>
      </c>
      <c r="L19" s="62">
        <f>-LN(M19)/time2</f>
        <v>0.0474905420122654</v>
      </c>
      <c r="M19" s="92">
        <f>(price2-SUMPRODUCT($D$4:$D$18,K4:K18))/$D$19</f>
        <v>0.848240980351184</v>
      </c>
      <c r="N19" s="62">
        <f>-LN(O19)/time2</f>
        <v>0.0474879132441828</v>
      </c>
      <c r="O19" s="92">
        <f>(price2-SUMPRODUCT($D$4:$D$18,M4:M18))/$D$19</f>
        <v>0.848248708423242</v>
      </c>
      <c r="P19" s="62">
        <f>-LN(Q19)/time2</f>
        <v>0.0474878253159306</v>
      </c>
      <c r="Q19" s="92">
        <f>(price2-SUMPRODUCT($D$4:$D$18,O4:O18))/$D$19</f>
        <v>0.848248966916591</v>
      </c>
      <c r="R19" s="62">
        <f>-LN(S19)/time2</f>
        <v>0.0474878553168012</v>
      </c>
      <c r="S19" s="92">
        <f>(price2-SUMPRODUCT($D$4:$D$18,Q4:Q18))/$D$19</f>
        <v>0.848248878719384</v>
      </c>
      <c r="T19" s="62">
        <f>-LN(U19)/time2</f>
        <v>0.047487850592894</v>
      </c>
      <c r="U19" s="92">
        <f>(price2-SUMPRODUCT($D$4:$D$18,S4:S18))/$D$19</f>
        <v>0.848248892606828</v>
      </c>
      <c r="V19" s="62">
        <f>-LN(W19)/time2</f>
        <v>0.0474878512525876</v>
      </c>
      <c r="W19" s="92">
        <f>(price2-SUMPRODUCT($D$4:$D$18,U4:U18))/$D$19</f>
        <v>0.848248890667446</v>
      </c>
      <c r="X19" s="62">
        <f>-LN(Y19)/time2</f>
        <v>0.0474878511633649</v>
      </c>
      <c r="Y19" s="92">
        <f>(price2-SUMPRODUCT($D$4:$D$18,W4:W18))/$D$19</f>
        <v>0.848248890929745</v>
      </c>
      <c r="Z19" s="62">
        <f>-LN(AA19)/time2</f>
        <v>0.0474878511753215</v>
      </c>
      <c r="AA19" s="92">
        <f>(price2-SUMPRODUCT($D$4:$D$18,Y4:Y18))/$D$19</f>
        <v>0.848248890894595</v>
      </c>
    </row>
    <row r="20" spans="1:27">
      <c r="A20" s="48">
        <v>40405</v>
      </c>
      <c r="B20">
        <f t="shared" si="0"/>
        <v>3.50684931506849</v>
      </c>
      <c r="C20" s="33"/>
      <c r="D20" s="52"/>
      <c r="E20" s="53">
        <f t="shared" si="1"/>
        <v>2.75</v>
      </c>
      <c r="F20" s="58">
        <f t="shared" ref="F20:F31" si="26">F$45+F$47*(time-time2)+F$49*(time-time2)^2+F$51*(time-time2)^3</f>
        <v>0.01</v>
      </c>
      <c r="G20" s="55">
        <f t="shared" si="3"/>
        <v>0.965539281165215</v>
      </c>
      <c r="H20" s="58">
        <f t="shared" ref="H20:H31" si="27">H$45+H$47*(time-time2)+H$49*(time-time2)^2+H$51*(time-time2)^3</f>
        <v>0.0504006365072511</v>
      </c>
      <c r="I20" s="90">
        <f t="shared" ref="I20:I31" si="28">EXP(-H20*time)</f>
        <v>0.837991402906219</v>
      </c>
      <c r="J20" s="58">
        <f t="shared" ref="J20:J31" si="29">J$45+J$47*(time-time2)+J$49*(time-time2)^2+J$51*(time-time2)^3</f>
        <v>0.0474117528785804</v>
      </c>
      <c r="K20" s="90">
        <f t="shared" ref="K20:K31" si="30">EXP(-J20*time)</f>
        <v>0.846821057309683</v>
      </c>
      <c r="L20" s="58">
        <f t="shared" ref="L20:L31" si="31">L$45+L$47*(time-time2)+L$49*(time-time2)^2+L$51*(time-time2)^3</f>
        <v>0.0475224547835337</v>
      </c>
      <c r="M20" s="90">
        <f t="shared" ref="M20:M31" si="32">EXP(-L20*time)</f>
        <v>0.846492372562258</v>
      </c>
      <c r="N20" s="58">
        <f t="shared" ref="N20:N31" si="33">N$45+N$47*(time-time2)+N$49*(time-time2)^2+N$51*(time-time2)^3</f>
        <v>0.0475193760608539</v>
      </c>
      <c r="O20" s="90">
        <f t="shared" ref="O20:O31" si="34">EXP(-N20*time)</f>
        <v>0.84650151186513</v>
      </c>
      <c r="P20" s="58">
        <f t="shared" ref="P20:P31" si="35">P$45+P$47*(time-time2)+P$49*(time-time2)^2+P$51*(time-time2)^3</f>
        <v>0.0475193440553136</v>
      </c>
      <c r="Q20" s="90">
        <f t="shared" ref="Q20:Q31" si="36">EXP(-P20*time)</f>
        <v>0.846501606875286</v>
      </c>
      <c r="R20" s="58">
        <f t="shared" ref="R20:R31" si="37">R$45+R$47*(time-time2)+R$49*(time-time2)^2+R$51*(time-time2)^3</f>
        <v>0.0475193668395007</v>
      </c>
      <c r="S20" s="90">
        <f t="shared" ref="S20:S31" si="38">EXP(-R20*time)</f>
        <v>0.846501539239208</v>
      </c>
      <c r="T20" s="58">
        <f t="shared" ref="T20:T31" si="39">T$45+T$47*(time-time2)+T$49*(time-time2)^2+T$51*(time-time2)^3</f>
        <v>0.0475193630706214</v>
      </c>
      <c r="U20" s="90">
        <f t="shared" ref="U20:U31" si="40">EXP(-T20*time)</f>
        <v>0.846501550427327</v>
      </c>
      <c r="V20" s="58">
        <f t="shared" ref="V20:V31" si="41">V$45+V$47*(time-time2)+V$49*(time-time2)^2+V$51*(time-time2)^3</f>
        <v>0.0475193636031982</v>
      </c>
      <c r="W20" s="90">
        <f t="shared" ref="W20:W31" si="42">EXP(-V20*time)</f>
        <v>0.846501548846345</v>
      </c>
      <c r="X20" s="58">
        <f t="shared" ref="X20:X31" si="43">X$45+X$47*(time-time2)+X$49*(time-time2)^2+X$51*(time-time2)^3</f>
        <v>0.0475193635309295</v>
      </c>
      <c r="Y20" s="90">
        <f t="shared" ref="Y20:Y31" si="44">EXP(-X20*time)</f>
        <v>0.846501549060878</v>
      </c>
      <c r="Z20" s="58">
        <f t="shared" ref="Z20:Z31" si="45">Z$45+Z$47*(time-time2)+Z$49*(time-time2)^2+Z$51*(time-time2)^3</f>
        <v>0.0475193635406236</v>
      </c>
      <c r="AA20" s="90">
        <f t="shared" ref="AA20:AA31" si="46">EXP(-Z20*time)</f>
        <v>0.846501549032101</v>
      </c>
    </row>
    <row r="21" spans="1:27">
      <c r="A21" s="48">
        <f t="shared" ref="A21:A31" si="47">DATE(YEAR(A20),MONTH(A20)+6,DAY(A20))</f>
        <v>40589</v>
      </c>
      <c r="B21">
        <f t="shared" si="0"/>
        <v>4.01095890410959</v>
      </c>
      <c r="C21" s="33"/>
      <c r="D21" s="52"/>
      <c r="E21" s="53">
        <f t="shared" si="1"/>
        <v>2.75</v>
      </c>
      <c r="F21" s="58">
        <f t="shared" si="26"/>
        <v>0.01</v>
      </c>
      <c r="G21" s="55">
        <f t="shared" si="3"/>
        <v>0.960684152928205</v>
      </c>
      <c r="H21" s="58">
        <f t="shared" si="27"/>
        <v>0.0517369994822306</v>
      </c>
      <c r="I21" s="90">
        <f t="shared" si="28"/>
        <v>0.81260106993759</v>
      </c>
      <c r="J21" s="58">
        <f t="shared" si="29"/>
        <v>0.0478223830778357</v>
      </c>
      <c r="K21" s="90">
        <f t="shared" si="30"/>
        <v>0.825460709116423</v>
      </c>
      <c r="L21" s="58">
        <f t="shared" si="31"/>
        <v>0.0480389048311506</v>
      </c>
      <c r="M21" s="90">
        <f t="shared" si="32"/>
        <v>0.824744140829611</v>
      </c>
      <c r="N21" s="58">
        <f t="shared" si="33"/>
        <v>0.0480227408672299</v>
      </c>
      <c r="O21" s="90">
        <f t="shared" si="34"/>
        <v>0.824797613195748</v>
      </c>
      <c r="P21" s="58">
        <f t="shared" si="35"/>
        <v>0.0480244403436883</v>
      </c>
      <c r="Q21" s="90">
        <f t="shared" si="36"/>
        <v>0.824791990957044</v>
      </c>
      <c r="R21" s="58">
        <f t="shared" si="37"/>
        <v>0.0480242333085672</v>
      </c>
      <c r="S21" s="90">
        <f t="shared" si="38"/>
        <v>0.82479267587232</v>
      </c>
      <c r="T21" s="58">
        <f t="shared" si="39"/>
        <v>0.0480242601787046</v>
      </c>
      <c r="U21" s="90">
        <f t="shared" si="40"/>
        <v>0.82479258698028</v>
      </c>
      <c r="V21" s="58">
        <f t="shared" si="41"/>
        <v>0.0480242566232832</v>
      </c>
      <c r="W21" s="90">
        <f t="shared" si="42"/>
        <v>0.824792598742358</v>
      </c>
      <c r="X21" s="58">
        <f t="shared" si="43"/>
        <v>0.0480242570966256</v>
      </c>
      <c r="Y21" s="90">
        <f t="shared" si="44"/>
        <v>0.824792597176442</v>
      </c>
      <c r="Z21" s="58">
        <f t="shared" si="45"/>
        <v>0.0480242570334927</v>
      </c>
      <c r="AA21" s="90">
        <f t="shared" si="46"/>
        <v>0.824792597385299</v>
      </c>
    </row>
    <row r="22" spans="1:27">
      <c r="A22" s="48">
        <f t="shared" si="47"/>
        <v>40770</v>
      </c>
      <c r="B22">
        <f t="shared" si="0"/>
        <v>4.50684931506849</v>
      </c>
      <c r="C22" s="33"/>
      <c r="D22" s="52"/>
      <c r="E22" s="53">
        <f t="shared" si="1"/>
        <v>2.75</v>
      </c>
      <c r="F22" s="58">
        <f t="shared" si="26"/>
        <v>0.01</v>
      </c>
      <c r="G22" s="55">
        <f t="shared" si="3"/>
        <v>0.955932004795912</v>
      </c>
      <c r="H22" s="58">
        <f t="shared" si="27"/>
        <v>0.0534609984318497</v>
      </c>
      <c r="I22" s="90">
        <f t="shared" si="28"/>
        <v>0.785888256340464</v>
      </c>
      <c r="J22" s="58">
        <f t="shared" si="29"/>
        <v>0.0483455323918195</v>
      </c>
      <c r="K22" s="90">
        <f t="shared" si="30"/>
        <v>0.804217093430359</v>
      </c>
      <c r="L22" s="58">
        <f t="shared" si="31"/>
        <v>0.0487409626433897</v>
      </c>
      <c r="M22" s="90">
        <f t="shared" si="32"/>
        <v>0.802785138667682</v>
      </c>
      <c r="N22" s="58">
        <f t="shared" si="33"/>
        <v>0.0487000003050919</v>
      </c>
      <c r="O22" s="90">
        <f t="shared" si="34"/>
        <v>0.802933355385002</v>
      </c>
      <c r="P22" s="58">
        <f t="shared" si="35"/>
        <v>0.0487050518858817</v>
      </c>
      <c r="Q22" s="90">
        <f t="shared" si="36"/>
        <v>0.80291507543949</v>
      </c>
      <c r="R22" s="58">
        <f t="shared" si="37"/>
        <v>0.0487043959009328</v>
      </c>
      <c r="S22" s="90">
        <f t="shared" si="38"/>
        <v>0.802917449201456</v>
      </c>
      <c r="T22" s="58">
        <f t="shared" si="39"/>
        <v>0.0487044827625963</v>
      </c>
      <c r="U22" s="90">
        <f t="shared" si="40"/>
        <v>0.802917134881474</v>
      </c>
      <c r="V22" s="58">
        <f t="shared" si="41"/>
        <v>0.0487044711968199</v>
      </c>
      <c r="W22" s="90">
        <f t="shared" si="42"/>
        <v>0.8029171767337</v>
      </c>
      <c r="X22" s="58">
        <f t="shared" si="43"/>
        <v>0.0487044727395105</v>
      </c>
      <c r="Y22" s="90">
        <f t="shared" si="44"/>
        <v>0.802917171151279</v>
      </c>
      <c r="Z22" s="58">
        <f t="shared" si="45"/>
        <v>0.0487044725336337</v>
      </c>
      <c r="AA22" s="90">
        <f t="shared" si="46"/>
        <v>0.80291717189627</v>
      </c>
    </row>
    <row r="23" spans="1:27">
      <c r="A23" s="48">
        <f t="shared" si="47"/>
        <v>40954</v>
      </c>
      <c r="B23">
        <f t="shared" si="0"/>
        <v>5.01095890410959</v>
      </c>
      <c r="C23" s="33"/>
      <c r="D23" s="52"/>
      <c r="E23" s="53">
        <f t="shared" si="1"/>
        <v>2.75</v>
      </c>
      <c r="F23" s="58">
        <f t="shared" si="26"/>
        <v>0.01</v>
      </c>
      <c r="G23" s="55">
        <f t="shared" si="3"/>
        <v>0.95112518589203</v>
      </c>
      <c r="H23" s="58">
        <f t="shared" si="27"/>
        <v>0.0555281268511156</v>
      </c>
      <c r="I23" s="90">
        <f t="shared" si="28"/>
        <v>0.757108155676359</v>
      </c>
      <c r="J23" s="58">
        <f t="shared" si="29"/>
        <v>0.0489685861675044</v>
      </c>
      <c r="K23" s="90">
        <f t="shared" si="30"/>
        <v>0.782407501205056</v>
      </c>
      <c r="L23" s="58">
        <f t="shared" si="31"/>
        <v>0.0496056650614493</v>
      </c>
      <c r="M23" s="90">
        <f t="shared" si="32"/>
        <v>0.77991374477591</v>
      </c>
      <c r="N23" s="58">
        <f t="shared" si="33"/>
        <v>0.0495299015201282</v>
      </c>
      <c r="O23" s="90">
        <f t="shared" si="34"/>
        <v>0.78020989367565</v>
      </c>
      <c r="P23" s="58">
        <f t="shared" si="35"/>
        <v>0.0495396881333178</v>
      </c>
      <c r="Q23" s="90">
        <f t="shared" si="36"/>
        <v>0.780171632873693</v>
      </c>
      <c r="R23" s="58">
        <f t="shared" si="37"/>
        <v>0.0495383962651544</v>
      </c>
      <c r="S23" s="90">
        <f t="shared" si="38"/>
        <v>0.780176683329761</v>
      </c>
      <c r="T23" s="58">
        <f t="shared" si="39"/>
        <v>0.0495385681561061</v>
      </c>
      <c r="U23" s="90">
        <f t="shared" si="40"/>
        <v>0.78017601133384</v>
      </c>
      <c r="V23" s="58">
        <f t="shared" si="41"/>
        <v>0.0495385452342789</v>
      </c>
      <c r="W23" s="90">
        <f t="shared" si="42"/>
        <v>0.780176100945123</v>
      </c>
      <c r="X23" s="58">
        <f t="shared" si="43"/>
        <v>0.0495385482930521</v>
      </c>
      <c r="Y23" s="90">
        <f t="shared" si="44"/>
        <v>0.780176088987062</v>
      </c>
      <c r="Z23" s="58">
        <f t="shared" si="45"/>
        <v>0.0495385478847943</v>
      </c>
      <c r="AA23" s="90">
        <f t="shared" si="46"/>
        <v>0.780176090583117</v>
      </c>
    </row>
    <row r="24" spans="1:27">
      <c r="A24" s="48">
        <f t="shared" si="47"/>
        <v>41136</v>
      </c>
      <c r="B24">
        <f t="shared" si="0"/>
        <v>5.50958904109589</v>
      </c>
      <c r="C24" s="33"/>
      <c r="D24" s="52"/>
      <c r="E24" s="53">
        <f t="shared" si="1"/>
        <v>2.75</v>
      </c>
      <c r="F24" s="58">
        <f t="shared" si="26"/>
        <v>0.01</v>
      </c>
      <c r="G24" s="55">
        <f t="shared" si="3"/>
        <v>0.946394393454993</v>
      </c>
      <c r="H24" s="58">
        <f t="shared" si="27"/>
        <v>0.0577843158748359</v>
      </c>
      <c r="I24" s="90">
        <f t="shared" si="28"/>
        <v>0.727335200957544</v>
      </c>
      <c r="J24" s="58">
        <f t="shared" si="29"/>
        <v>0.0496457527241949</v>
      </c>
      <c r="K24" s="90">
        <f t="shared" si="30"/>
        <v>0.760691268608246</v>
      </c>
      <c r="L24" s="58">
        <f t="shared" si="31"/>
        <v>0.0505650531936183</v>
      </c>
      <c r="M24" s="90">
        <f t="shared" si="32"/>
        <v>0.756848132728907</v>
      </c>
      <c r="N24" s="58">
        <f t="shared" si="33"/>
        <v>0.0504478557198274</v>
      </c>
      <c r="O24" s="90">
        <f t="shared" si="34"/>
        <v>0.757336994888643</v>
      </c>
      <c r="P24" s="58">
        <f t="shared" si="35"/>
        <v>0.0504632977279797</v>
      </c>
      <c r="Q24" s="90">
        <f t="shared" si="36"/>
        <v>0.757272564065314</v>
      </c>
      <c r="R24" s="58">
        <f t="shared" si="37"/>
        <v>0.0504612453859213</v>
      </c>
      <c r="S24" s="90">
        <f t="shared" si="38"/>
        <v>0.757281127019676</v>
      </c>
      <c r="T24" s="58">
        <f t="shared" si="39"/>
        <v>0.0504615189999648</v>
      </c>
      <c r="U24" s="90">
        <f t="shared" si="40"/>
        <v>0.757279985418529</v>
      </c>
      <c r="V24" s="58">
        <f t="shared" si="41"/>
        <v>0.0504614824910931</v>
      </c>
      <c r="W24" s="90">
        <f t="shared" si="42"/>
        <v>0.757280137744565</v>
      </c>
      <c r="X24" s="58">
        <f t="shared" si="43"/>
        <v>0.0504614873638531</v>
      </c>
      <c r="Y24" s="90">
        <f t="shared" si="44"/>
        <v>0.757280117413937</v>
      </c>
      <c r="Z24" s="58">
        <f t="shared" si="45"/>
        <v>0.0504614867134449</v>
      </c>
      <c r="AA24" s="90">
        <f t="shared" si="46"/>
        <v>0.757280120127637</v>
      </c>
    </row>
    <row r="25" spans="1:27">
      <c r="A25" s="48">
        <f t="shared" si="47"/>
        <v>41320</v>
      </c>
      <c r="B25">
        <f t="shared" si="0"/>
        <v>6.01369863013699</v>
      </c>
      <c r="C25" s="33"/>
      <c r="D25" s="52"/>
      <c r="E25" s="53">
        <f t="shared" si="1"/>
        <v>2.75</v>
      </c>
      <c r="F25" s="58">
        <f t="shared" si="26"/>
        <v>0.01</v>
      </c>
      <c r="G25" s="55">
        <f t="shared" si="3"/>
        <v>0.94163553357985</v>
      </c>
      <c r="H25" s="58">
        <f t="shared" si="27"/>
        <v>0.0601770322525048</v>
      </c>
      <c r="I25" s="90">
        <f t="shared" si="28"/>
        <v>0.696361375012242</v>
      </c>
      <c r="J25" s="58">
        <f t="shared" si="29"/>
        <v>0.0503618214359042</v>
      </c>
      <c r="K25" s="90">
        <f t="shared" si="30"/>
        <v>0.738701904272914</v>
      </c>
      <c r="L25" s="58">
        <f t="shared" si="31"/>
        <v>0.0515937655775446</v>
      </c>
      <c r="M25" s="90">
        <f t="shared" si="32"/>
        <v>0.733249423480425</v>
      </c>
      <c r="N25" s="58">
        <f t="shared" si="33"/>
        <v>0.0514301347192509</v>
      </c>
      <c r="O25" s="90">
        <f t="shared" si="34"/>
        <v>0.733971315589989</v>
      </c>
      <c r="P25" s="58">
        <f t="shared" si="35"/>
        <v>0.051451926372822</v>
      </c>
      <c r="Q25" s="90">
        <f t="shared" si="36"/>
        <v>0.733875136098334</v>
      </c>
      <c r="R25" s="58">
        <f t="shared" si="37"/>
        <v>0.0514490195468982</v>
      </c>
      <c r="S25" s="90">
        <f t="shared" si="38"/>
        <v>0.73388796491665</v>
      </c>
      <c r="T25" s="58">
        <f t="shared" si="39"/>
        <v>0.0514494074813101</v>
      </c>
      <c r="U25" s="90">
        <f t="shared" si="40"/>
        <v>0.733886252816265</v>
      </c>
      <c r="V25" s="58">
        <f t="shared" si="41"/>
        <v>0.0514493557018271</v>
      </c>
      <c r="W25" s="90">
        <f t="shared" si="42"/>
        <v>0.733886481338357</v>
      </c>
      <c r="X25" s="58">
        <f t="shared" si="43"/>
        <v>0.0514493626133817</v>
      </c>
      <c r="Y25" s="90">
        <f t="shared" si="44"/>
        <v>0.733886450835095</v>
      </c>
      <c r="Z25" s="58">
        <f t="shared" si="45"/>
        <v>0.0514493616908118</v>
      </c>
      <c r="AA25" s="90">
        <f t="shared" si="46"/>
        <v>0.733886454906739</v>
      </c>
    </row>
    <row r="26" spans="1:27">
      <c r="A26" s="48">
        <f t="shared" si="47"/>
        <v>41501</v>
      </c>
      <c r="B26">
        <f t="shared" si="0"/>
        <v>6.50958904109589</v>
      </c>
      <c r="C26" s="33"/>
      <c r="D26" s="52"/>
      <c r="E26" s="53">
        <f t="shared" si="1"/>
        <v>2.75</v>
      </c>
      <c r="F26" s="58">
        <f t="shared" si="26"/>
        <v>0.01</v>
      </c>
      <c r="G26" s="55">
        <f t="shared" si="3"/>
        <v>0.93697761190126</v>
      </c>
      <c r="H26" s="58">
        <f t="shared" si="27"/>
        <v>0.062540715039797</v>
      </c>
      <c r="I26" s="90">
        <f t="shared" si="28"/>
        <v>0.66556807608014</v>
      </c>
      <c r="J26" s="58">
        <f t="shared" si="29"/>
        <v>0.0510677175306009</v>
      </c>
      <c r="K26" s="90">
        <f t="shared" si="30"/>
        <v>0.717178974055532</v>
      </c>
      <c r="L26" s="58">
        <f t="shared" si="31"/>
        <v>0.0526180543620127</v>
      </c>
      <c r="M26" s="90">
        <f t="shared" si="32"/>
        <v>0.709977563579211</v>
      </c>
      <c r="N26" s="58">
        <f t="shared" si="33"/>
        <v>0.0524067713403816</v>
      </c>
      <c r="O26" s="90">
        <f t="shared" si="34"/>
        <v>0.710954714142498</v>
      </c>
      <c r="P26" s="58">
        <f t="shared" si="35"/>
        <v>0.0524350873343132</v>
      </c>
      <c r="Q26" s="90">
        <f t="shared" si="36"/>
        <v>0.71082367914778</v>
      </c>
      <c r="R26" s="58">
        <f t="shared" si="37"/>
        <v>0.0524313020730736</v>
      </c>
      <c r="S26" s="90">
        <f t="shared" si="38"/>
        <v>0.710841194410943</v>
      </c>
      <c r="T26" s="58">
        <f t="shared" si="39"/>
        <v>0.0524318075473026</v>
      </c>
      <c r="U26" s="90">
        <f t="shared" si="40"/>
        <v>0.710838855441954</v>
      </c>
      <c r="V26" s="58">
        <f t="shared" si="41"/>
        <v>0.0524317400665137</v>
      </c>
      <c r="W26" s="90">
        <f t="shared" si="42"/>
        <v>0.710839167693773</v>
      </c>
      <c r="X26" s="58">
        <f t="shared" si="43"/>
        <v>0.0524317490743905</v>
      </c>
      <c r="Y26" s="90">
        <f t="shared" si="44"/>
        <v>0.710839126011888</v>
      </c>
      <c r="Z26" s="58">
        <f t="shared" si="45"/>
        <v>0.0524317478719785</v>
      </c>
      <c r="AA26" s="90">
        <f t="shared" si="46"/>
        <v>0.710839131575774</v>
      </c>
    </row>
    <row r="27" spans="1:27">
      <c r="A27" s="48">
        <f t="shared" si="47"/>
        <v>41685</v>
      </c>
      <c r="B27">
        <f t="shared" si="0"/>
        <v>7.01369863013699</v>
      </c>
      <c r="C27" s="33"/>
      <c r="D27" s="52"/>
      <c r="E27" s="53">
        <f t="shared" si="1"/>
        <v>2.75</v>
      </c>
      <c r="F27" s="58">
        <f t="shared" si="26"/>
        <v>0.01</v>
      </c>
      <c r="G27" s="55">
        <f t="shared" si="3"/>
        <v>0.93226610347304</v>
      </c>
      <c r="H27" s="58">
        <f t="shared" si="27"/>
        <v>0.0648520627208138</v>
      </c>
      <c r="I27" s="90">
        <f t="shared" si="28"/>
        <v>0.634541350672522</v>
      </c>
      <c r="J27" s="58">
        <f t="shared" si="29"/>
        <v>0.0517568842595906</v>
      </c>
      <c r="K27" s="90">
        <f t="shared" si="30"/>
        <v>0.69558143348065</v>
      </c>
      <c r="L27" s="58">
        <f t="shared" si="31"/>
        <v>0.0536256380779079</v>
      </c>
      <c r="M27" s="90">
        <f t="shared" si="32"/>
        <v>0.686524020675507</v>
      </c>
      <c r="N27" s="58">
        <f t="shared" si="33"/>
        <v>0.0533664368344305</v>
      </c>
      <c r="O27" s="90">
        <f t="shared" si="34"/>
        <v>0.687773228637181</v>
      </c>
      <c r="P27" s="58">
        <f t="shared" si="35"/>
        <v>0.0534013193263959</v>
      </c>
      <c r="Q27" s="90">
        <f t="shared" si="36"/>
        <v>0.687604981863219</v>
      </c>
      <c r="R27" s="58">
        <f t="shared" si="37"/>
        <v>0.0533966496384345</v>
      </c>
      <c r="S27" s="90">
        <f t="shared" si="38"/>
        <v>0.687627502521896</v>
      </c>
      <c r="T27" s="58">
        <f t="shared" si="39"/>
        <v>0.0533972734648602</v>
      </c>
      <c r="U27" s="90">
        <f t="shared" si="40"/>
        <v>0.68762449393086</v>
      </c>
      <c r="V27" s="58">
        <f t="shared" si="41"/>
        <v>0.053397190173783</v>
      </c>
      <c r="W27" s="90">
        <f t="shared" si="42"/>
        <v>0.687624895626433</v>
      </c>
      <c r="X27" s="58">
        <f t="shared" si="43"/>
        <v>0.0533972012925506</v>
      </c>
      <c r="Y27" s="90">
        <f t="shared" si="44"/>
        <v>0.687624842002912</v>
      </c>
      <c r="Z27" s="58">
        <f t="shared" si="45"/>
        <v>0.0533971998083509</v>
      </c>
      <c r="AA27" s="90">
        <f t="shared" si="46"/>
        <v>0.6876248491609</v>
      </c>
    </row>
    <row r="28" spans="1:27">
      <c r="A28" s="48">
        <f t="shared" si="47"/>
        <v>41866</v>
      </c>
      <c r="B28">
        <f t="shared" si="0"/>
        <v>7.50958904109589</v>
      </c>
      <c r="C28" s="33"/>
      <c r="D28" s="52"/>
      <c r="E28" s="53">
        <f t="shared" si="1"/>
        <v>2.75</v>
      </c>
      <c r="F28" s="58">
        <f t="shared" si="26"/>
        <v>0.01</v>
      </c>
      <c r="G28" s="55">
        <f t="shared" si="3"/>
        <v>0.927654528889535</v>
      </c>
      <c r="H28" s="58">
        <f t="shared" si="27"/>
        <v>0.0669362534882904</v>
      </c>
      <c r="I28" s="90">
        <f t="shared" si="28"/>
        <v>0.604917160180638</v>
      </c>
      <c r="J28" s="58">
        <f t="shared" si="29"/>
        <v>0.0523775416270508</v>
      </c>
      <c r="K28" s="90">
        <f t="shared" si="30"/>
        <v>0.674803452088777</v>
      </c>
      <c r="L28" s="58">
        <f t="shared" si="31"/>
        <v>0.0545384273207321</v>
      </c>
      <c r="M28" s="90">
        <f t="shared" si="32"/>
        <v>0.663941539617532</v>
      </c>
      <c r="N28" s="58">
        <f t="shared" si="33"/>
        <v>0.0542350817969861</v>
      </c>
      <c r="O28" s="90">
        <f t="shared" si="34"/>
        <v>0.665455722591151</v>
      </c>
      <c r="P28" s="58">
        <f t="shared" si="35"/>
        <v>0.0542760175681669</v>
      </c>
      <c r="Q28" s="90">
        <f t="shared" si="36"/>
        <v>0.665251185742726</v>
      </c>
      <c r="R28" s="58">
        <f t="shared" si="37"/>
        <v>0.0542705323608573</v>
      </c>
      <c r="S28" s="90">
        <f t="shared" si="38"/>
        <v>0.665278589102919</v>
      </c>
      <c r="T28" s="58">
        <f t="shared" si="39"/>
        <v>0.0542712653257882</v>
      </c>
      <c r="U28" s="90">
        <f t="shared" si="40"/>
        <v>0.665274927243069</v>
      </c>
      <c r="V28" s="58">
        <f t="shared" si="41"/>
        <v>0.0542711674549321</v>
      </c>
      <c r="W28" s="90">
        <f t="shared" si="42"/>
        <v>0.665275416200301</v>
      </c>
      <c r="X28" s="58">
        <f t="shared" si="43"/>
        <v>0.0542711805203128</v>
      </c>
      <c r="Y28" s="90">
        <f t="shared" si="44"/>
        <v>0.665275350926381</v>
      </c>
      <c r="Z28" s="58">
        <f t="shared" si="45"/>
        <v>0.0542711787762547</v>
      </c>
      <c r="AA28" s="90">
        <f t="shared" si="46"/>
        <v>0.665275359639598</v>
      </c>
    </row>
    <row r="29" spans="1:27">
      <c r="A29" s="48">
        <f t="shared" si="47"/>
        <v>42050</v>
      </c>
      <c r="B29">
        <f t="shared" si="0"/>
        <v>8.01369863013699</v>
      </c>
      <c r="C29" s="33"/>
      <c r="D29" s="52"/>
      <c r="E29" s="53">
        <f t="shared" si="1"/>
        <v>2.75</v>
      </c>
      <c r="F29" s="58">
        <f t="shared" si="26"/>
        <v>0.01</v>
      </c>
      <c r="G29" s="55">
        <f t="shared" si="3"/>
        <v>0.922989900753468</v>
      </c>
      <c r="H29" s="58">
        <f t="shared" si="27"/>
        <v>0.0687607208974943</v>
      </c>
      <c r="I29" s="90">
        <f t="shared" si="28"/>
        <v>0.576357186594241</v>
      </c>
      <c r="J29" s="58">
        <f t="shared" si="29"/>
        <v>0.0529203072911191</v>
      </c>
      <c r="K29" s="90">
        <f t="shared" si="30"/>
        <v>0.654366691657578</v>
      </c>
      <c r="L29" s="58">
        <f t="shared" si="31"/>
        <v>0.0553404445039683</v>
      </c>
      <c r="M29" s="90">
        <f t="shared" si="32"/>
        <v>0.641798014269866</v>
      </c>
      <c r="N29" s="58">
        <f t="shared" si="33"/>
        <v>0.0549977976452737</v>
      </c>
      <c r="O29" s="90">
        <f t="shared" si="34"/>
        <v>0.643562729053386</v>
      </c>
      <c r="P29" s="58">
        <f t="shared" si="35"/>
        <v>0.0550441253242961</v>
      </c>
      <c r="Q29" s="90">
        <f t="shared" si="36"/>
        <v>0.643323846837553</v>
      </c>
      <c r="R29" s="58">
        <f t="shared" si="37"/>
        <v>0.0550379135506687</v>
      </c>
      <c r="S29" s="90">
        <f t="shared" si="38"/>
        <v>0.643355871833703</v>
      </c>
      <c r="T29" s="58">
        <f t="shared" si="39"/>
        <v>0.0550387437548477</v>
      </c>
      <c r="U29" s="90">
        <f t="shared" si="40"/>
        <v>0.643351591597406</v>
      </c>
      <c r="V29" s="58">
        <f t="shared" si="41"/>
        <v>0.055038632893612</v>
      </c>
      <c r="W29" s="90">
        <f t="shared" si="42"/>
        <v>0.643352163156703</v>
      </c>
      <c r="X29" s="58">
        <f t="shared" si="43"/>
        <v>0.0550386476934063</v>
      </c>
      <c r="Y29" s="90">
        <f t="shared" si="44"/>
        <v>0.643352086854439</v>
      </c>
      <c r="Z29" s="58">
        <f t="shared" si="45"/>
        <v>0.0550386457178166</v>
      </c>
      <c r="AA29" s="90">
        <f t="shared" si="46"/>
        <v>0.643352097039849</v>
      </c>
    </row>
    <row r="30" spans="1:27">
      <c r="A30" s="48">
        <f t="shared" si="47"/>
        <v>42231</v>
      </c>
      <c r="B30">
        <f t="shared" si="0"/>
        <v>8.50958904109589</v>
      </c>
      <c r="C30" s="33"/>
      <c r="D30" s="52"/>
      <c r="E30" s="53">
        <f t="shared" si="1"/>
        <v>2.75</v>
      </c>
      <c r="F30" s="58">
        <f t="shared" si="26"/>
        <v>0.01</v>
      </c>
      <c r="G30" s="55">
        <f t="shared" si="3"/>
        <v>0.918424212103747</v>
      </c>
      <c r="H30" s="58">
        <f t="shared" si="27"/>
        <v>0.0701665196717633</v>
      </c>
      <c r="I30" s="90">
        <f t="shared" si="28"/>
        <v>0.550411968860119</v>
      </c>
      <c r="J30" s="58">
        <f t="shared" si="29"/>
        <v>0.0533381752037422</v>
      </c>
      <c r="K30" s="90">
        <f t="shared" si="30"/>
        <v>0.635155167809022</v>
      </c>
      <c r="L30" s="58">
        <f t="shared" si="31"/>
        <v>0.055960303479618</v>
      </c>
      <c r="M30" s="90">
        <f t="shared" si="32"/>
        <v>0.621139748063418</v>
      </c>
      <c r="N30" s="58">
        <f t="shared" si="33"/>
        <v>0.0555869572459391</v>
      </c>
      <c r="O30" s="90">
        <f t="shared" si="34"/>
        <v>0.623116261392494</v>
      </c>
      <c r="P30" s="58">
        <f t="shared" si="35"/>
        <v>0.055637498386792</v>
      </c>
      <c r="Q30" s="90">
        <f t="shared" si="36"/>
        <v>0.62284832646895</v>
      </c>
      <c r="R30" s="58">
        <f t="shared" si="37"/>
        <v>0.0556307187510346</v>
      </c>
      <c r="S30" s="90">
        <f t="shared" si="38"/>
        <v>0.622884260817676</v>
      </c>
      <c r="T30" s="58">
        <f t="shared" si="39"/>
        <v>0.0556316249575994</v>
      </c>
      <c r="U30" s="90">
        <f t="shared" si="40"/>
        <v>0.622879457498196</v>
      </c>
      <c r="V30" s="58">
        <f t="shared" si="41"/>
        <v>0.0556315039429217</v>
      </c>
      <c r="W30" s="90">
        <f t="shared" si="42"/>
        <v>0.622880098930557</v>
      </c>
      <c r="X30" s="58">
        <f t="shared" si="43"/>
        <v>0.0556315200983605</v>
      </c>
      <c r="Y30" s="90">
        <f t="shared" si="44"/>
        <v>0.622880013299408</v>
      </c>
      <c r="Z30" s="58">
        <f t="shared" si="45"/>
        <v>0.0556315179418018</v>
      </c>
      <c r="AA30" s="90">
        <f t="shared" si="46"/>
        <v>0.622880024730146</v>
      </c>
    </row>
    <row r="31" spans="1:27">
      <c r="A31" s="48">
        <f t="shared" si="47"/>
        <v>42415</v>
      </c>
      <c r="B31">
        <f t="shared" si="0"/>
        <v>9.01369863013699</v>
      </c>
      <c r="C31" s="33"/>
      <c r="D31" s="52"/>
      <c r="E31" s="53">
        <f t="shared" si="1"/>
        <v>2.75</v>
      </c>
      <c r="F31" s="58">
        <f t="shared" si="26"/>
        <v>0.01</v>
      </c>
      <c r="G31" s="55">
        <f t="shared" si="3"/>
        <v>0.913805997793132</v>
      </c>
      <c r="H31" s="58">
        <f t="shared" si="27"/>
        <v>0.0710985952339935</v>
      </c>
      <c r="I31" s="90">
        <f t="shared" si="28"/>
        <v>0.526838457091249</v>
      </c>
      <c r="J31" s="58">
        <f t="shared" si="29"/>
        <v>0.0536150407206873</v>
      </c>
      <c r="K31" s="90">
        <f t="shared" si="30"/>
        <v>0.616763386379533</v>
      </c>
      <c r="L31" s="58">
        <f t="shared" si="31"/>
        <v>0.0563723162655672</v>
      </c>
      <c r="M31" s="90">
        <f t="shared" si="32"/>
        <v>0.601623725433683</v>
      </c>
      <c r="N31" s="58">
        <f t="shared" si="33"/>
        <v>0.0559783873080785</v>
      </c>
      <c r="O31" s="90">
        <f t="shared" si="34"/>
        <v>0.603763742121764</v>
      </c>
      <c r="P31" s="58">
        <f t="shared" si="35"/>
        <v>0.056031754323774</v>
      </c>
      <c r="Q31" s="90">
        <f t="shared" si="36"/>
        <v>0.603473380957759</v>
      </c>
      <c r="R31" s="58">
        <f t="shared" si="37"/>
        <v>0.0560245937853628</v>
      </c>
      <c r="S31" s="90">
        <f t="shared" si="38"/>
        <v>0.603512332158122</v>
      </c>
      <c r="T31" s="58">
        <f t="shared" si="39"/>
        <v>0.0560255509734505</v>
      </c>
      <c r="U31" s="90">
        <f t="shared" si="40"/>
        <v>0.603507125193894</v>
      </c>
      <c r="V31" s="58">
        <f t="shared" si="41"/>
        <v>0.0560254231478876</v>
      </c>
      <c r="W31" s="90">
        <f t="shared" si="42"/>
        <v>0.603507820543799</v>
      </c>
      <c r="X31" s="58">
        <f t="shared" si="43"/>
        <v>0.0560254402126897</v>
      </c>
      <c r="Y31" s="90">
        <f t="shared" si="44"/>
        <v>0.603507727714053</v>
      </c>
      <c r="Z31" s="58">
        <f t="shared" si="45"/>
        <v>0.0560254379347374</v>
      </c>
      <c r="AA31" s="90">
        <f t="shared" si="46"/>
        <v>0.603507740105742</v>
      </c>
    </row>
    <row r="32" spans="1:27">
      <c r="A32" s="59">
        <f>_mat3</f>
        <v>42597</v>
      </c>
      <c r="B32" s="60">
        <f t="shared" si="0"/>
        <v>9.51232876712329</v>
      </c>
      <c r="C32" s="66"/>
      <c r="D32" s="67"/>
      <c r="E32" s="68">
        <f>100*(_cpn3/2+1)</f>
        <v>102.75</v>
      </c>
      <c r="F32" s="69">
        <v>0.01</v>
      </c>
      <c r="G32" s="70">
        <f t="shared" si="3"/>
        <v>0.909260826907741</v>
      </c>
      <c r="H32" s="69">
        <f>-LN(I32)/time3</f>
        <v>0.071427112458494</v>
      </c>
      <c r="I32" s="94">
        <f>(price3-SUMPRODUCT($E$4:$E$31,G4:G31))/$E$32</f>
        <v>0.506901701621726</v>
      </c>
      <c r="J32" s="95">
        <f>-LN(K32)/time3</f>
        <v>0.0537125715423461</v>
      </c>
      <c r="K32" s="94">
        <f>(price3-SUMPRODUCT($E$4:$E$31,I4:I31))/$E$32</f>
        <v>0.599936393968216</v>
      </c>
      <c r="L32" s="69">
        <f>-LN(M32)/time3</f>
        <v>0.0565178188681485</v>
      </c>
      <c r="M32" s="94">
        <f>(price3-SUMPRODUCT($E$4:$E$31,K4:K31))/$E$32</f>
        <v>0.584139138149763</v>
      </c>
      <c r="N32" s="69">
        <f>-LN(O32)/time3</f>
        <v>0.0561165722298259</v>
      </c>
      <c r="O32" s="94">
        <f>(price3-SUMPRODUCT($E$4:$E$31,M4:M31))/$E$32</f>
        <v>0.586372934790529</v>
      </c>
      <c r="P32" s="69">
        <f>-LN(Q32)/time3</f>
        <v>0.0561709441657783</v>
      </c>
      <c r="Q32" s="94">
        <f>(price3-SUMPRODUCT($E$4:$E$31,O4:O31))/$E$32</f>
        <v>0.586069738934973</v>
      </c>
      <c r="R32" s="69">
        <f>-LN(S32)/time3</f>
        <v>0.0561636481593848</v>
      </c>
      <c r="S32" s="94">
        <f>(price3-SUMPRODUCT($E$4:$E$31,Q4:Q31))/$E$32</f>
        <v>0.586110414765211</v>
      </c>
      <c r="T32" s="69">
        <f>-LN(U32)/time3</f>
        <v>0.0561646234795098</v>
      </c>
      <c r="U32" s="94">
        <f>(price3-SUMPRODUCT($E$4:$E$31,S4:S31))/$E$32</f>
        <v>0.586104977112566</v>
      </c>
      <c r="V32" s="69">
        <f>-LN(W32)/time3</f>
        <v>0.0561644932315742</v>
      </c>
      <c r="W32" s="94">
        <f>(price3-SUMPRODUCT($E$4:$E$31,U4:U31))/$E$32</f>
        <v>0.586105703274333</v>
      </c>
      <c r="X32" s="69">
        <f>-LN(Y32)/time3</f>
        <v>0.056164510619803</v>
      </c>
      <c r="Y32" s="94">
        <f>(price3-SUMPRODUCT($E$4:$E$31,W4:W31))/$E$32</f>
        <v>0.586105606330963</v>
      </c>
      <c r="Z32" s="69">
        <f>-LN(AA32)/time3</f>
        <v>0.0561645082986754</v>
      </c>
      <c r="AA32" s="94">
        <f>(price3-SUMPRODUCT($E$4:$E$31,Y4:Y31))/$E$32</f>
        <v>0.586105619271782</v>
      </c>
    </row>
    <row r="33" spans="6:27">
      <c r="F33" s="71" t="s">
        <v>68</v>
      </c>
      <c r="G33" s="72">
        <f>price1-SUMPRODUCT(cf_1,G4:G32)</f>
        <v>-2.0396427927503</v>
      </c>
      <c r="H33" s="71" t="s">
        <v>68</v>
      </c>
      <c r="I33" s="96">
        <f>price1-SUMPRODUCT(cf_1,I4:I32)</f>
        <v>0</v>
      </c>
      <c r="J33" s="71" t="s">
        <v>68</v>
      </c>
      <c r="K33" s="96">
        <f>price1-SUMPRODUCT(cf_1,K4:K32)</f>
        <v>0</v>
      </c>
      <c r="L33" s="71" t="s">
        <v>68</v>
      </c>
      <c r="M33" s="72">
        <f>price1-SUMPRODUCT(cf_1,M4:M32)</f>
        <v>0</v>
      </c>
      <c r="N33" s="71" t="s">
        <v>68</v>
      </c>
      <c r="O33" s="96">
        <f>price1-SUMPRODUCT(cf_1,O4:O32)</f>
        <v>0</v>
      </c>
      <c r="P33" s="71" t="s">
        <v>68</v>
      </c>
      <c r="Q33" s="72">
        <f>price1-SUMPRODUCT(cf_1,Q4:Q32)</f>
        <v>0</v>
      </c>
      <c r="R33" s="71" t="s">
        <v>68</v>
      </c>
      <c r="S33" s="96">
        <f>price1-SUMPRODUCT(cf_1,S4:S32)</f>
        <v>0</v>
      </c>
      <c r="T33" s="71" t="s">
        <v>68</v>
      </c>
      <c r="U33" s="72">
        <f>price1-SUMPRODUCT(cf_1,U4:U32)</f>
        <v>0</v>
      </c>
      <c r="V33" s="71" t="s">
        <v>68</v>
      </c>
      <c r="W33" s="96">
        <f>price1-SUMPRODUCT(cf_1,W4:W32)</f>
        <v>0</v>
      </c>
      <c r="X33" s="71" t="s">
        <v>68</v>
      </c>
      <c r="Y33" s="72">
        <f>price1-SUMPRODUCT(cf_1,Y4:Y32)</f>
        <v>0</v>
      </c>
      <c r="Z33" s="71" t="s">
        <v>68</v>
      </c>
      <c r="AA33" s="96">
        <f>price1-SUMPRODUCT(cf_1,AA4:AA32)</f>
        <v>0</v>
      </c>
    </row>
    <row r="34" spans="6:27">
      <c r="F34" s="73" t="s">
        <v>69</v>
      </c>
      <c r="G34" s="74">
        <f>price2-SUMPRODUCT(cf_2,G4:G32)</f>
        <v>-12.8944492351161</v>
      </c>
      <c r="H34" s="73" t="s">
        <v>69</v>
      </c>
      <c r="I34" s="97">
        <f>price2-SUMPRODUCT(cf_2,I4:I32)</f>
        <v>0.87729989758779</v>
      </c>
      <c r="J34" s="73" t="s">
        <v>69</v>
      </c>
      <c r="K34" s="97">
        <f>price2-SUMPRODUCT(cf_2,K4:K32)</f>
        <v>-0.031894645733999</v>
      </c>
      <c r="L34" s="73" t="s">
        <v>69</v>
      </c>
      <c r="M34" s="74">
        <f>price2-SUMPRODUCT(cf_2,M4:M32)</f>
        <v>0.000791161376895388</v>
      </c>
      <c r="N34" s="73" t="s">
        <v>69</v>
      </c>
      <c r="O34" s="97">
        <f>price2-SUMPRODUCT(cf_2,O4:O32)</f>
        <v>2.6463256673992e-5</v>
      </c>
      <c r="P34" s="73" t="s">
        <v>69</v>
      </c>
      <c r="Q34" s="74">
        <f>price2-SUMPRODUCT(cf_2,Q4:Q32)</f>
        <v>-9.02918910128392e-6</v>
      </c>
      <c r="R34" s="73" t="s">
        <v>69</v>
      </c>
      <c r="S34" s="97">
        <f>price2-SUMPRODUCT(cf_2,S4:S32)</f>
        <v>1.42172703476717e-6</v>
      </c>
      <c r="T34" s="73" t="s">
        <v>69</v>
      </c>
      <c r="U34" s="74">
        <f>price2-SUMPRODUCT(cf_2,U4:U32)</f>
        <v>-1.98544157115066e-7</v>
      </c>
      <c r="V34" s="73" t="s">
        <v>69</v>
      </c>
      <c r="W34" s="97">
        <f>price2-SUMPRODUCT(cf_2,W4:W32)</f>
        <v>2.68528310698457e-8</v>
      </c>
      <c r="X34" s="73" t="s">
        <v>69</v>
      </c>
      <c r="Y34" s="74">
        <f>price2-SUMPRODUCT(cf_2,Y4:Y32)</f>
        <v>-3.59850105269288e-9</v>
      </c>
      <c r="Z34" s="73" t="s">
        <v>69</v>
      </c>
      <c r="AA34" s="97">
        <f>price2-SUMPRODUCT(cf_2,AA4:AA32)</f>
        <v>4.80909534417151e-10</v>
      </c>
    </row>
    <row r="35" spans="6:27">
      <c r="F35" s="75" t="s">
        <v>70</v>
      </c>
      <c r="G35" s="76">
        <f>price3-SUMPRODUCT(cf_3,G4:G32)</f>
        <v>-41.342400123138</v>
      </c>
      <c r="H35" s="75" t="s">
        <v>70</v>
      </c>
      <c r="I35" s="98">
        <f>price3-SUMPRODUCT(cf_3,I4:I32)</f>
        <v>9.55931463860182</v>
      </c>
      <c r="J35" s="75" t="s">
        <v>70</v>
      </c>
      <c r="K35" s="98">
        <f>price3-SUMPRODUCT(cf_3,K4:K32)</f>
        <v>-1.62316803534611</v>
      </c>
      <c r="L35" s="75" t="s">
        <v>70</v>
      </c>
      <c r="M35" s="76">
        <f>price3-SUMPRODUCT(cf_3,M4:M32)</f>
        <v>0.229522604838763</v>
      </c>
      <c r="N35" s="75" t="s">
        <v>70</v>
      </c>
      <c r="O35" s="98">
        <f>price3-SUMPRODUCT(cf_3,O4:O32)</f>
        <v>-0.0311533741583645</v>
      </c>
      <c r="P35" s="75" t="s">
        <v>70</v>
      </c>
      <c r="Q35" s="76">
        <f>price3-SUMPRODUCT(cf_3,Q4:Q32)</f>
        <v>0.00417944155697114</v>
      </c>
      <c r="R35" s="75" t="s">
        <v>70</v>
      </c>
      <c r="S35" s="98">
        <f>price3-SUMPRODUCT(cf_3,S4:S32)</f>
        <v>-0.000558718809330117</v>
      </c>
      <c r="T35" s="75" t="s">
        <v>70</v>
      </c>
      <c r="U35" s="76">
        <f>price3-SUMPRODUCT(cf_3,U4:U32)</f>
        <v>7.46131215407786e-5</v>
      </c>
      <c r="V35" s="75" t="s">
        <v>70</v>
      </c>
      <c r="W35" s="98">
        <f>price3-SUMPRODUCT(cf_3,W4:W32)</f>
        <v>-9.96093123717401e-6</v>
      </c>
      <c r="X35" s="75" t="s">
        <v>70</v>
      </c>
      <c r="Y35" s="76">
        <f>price3-SUMPRODUCT(cf_3,Y4:Y32)</f>
        <v>1.32966911792209e-6</v>
      </c>
      <c r="Z35" s="75" t="s">
        <v>70</v>
      </c>
      <c r="AA35" s="98">
        <f>price3-SUMPRODUCT(cf_3,AA4:AA32)</f>
        <v>-1.77490392161417e-7</v>
      </c>
    </row>
    <row r="37" spans="4:27">
      <c r="D37" s="77" t="s">
        <v>45</v>
      </c>
      <c r="E37" s="78" t="s">
        <v>71</v>
      </c>
      <c r="F37" s="79">
        <f>time2-time1</f>
        <v>2.89041095890411</v>
      </c>
      <c r="G37" s="50"/>
      <c r="H37" s="80">
        <f>time2-time1</f>
        <v>2.89041095890411</v>
      </c>
      <c r="I37" s="50"/>
      <c r="J37" s="87">
        <f>time2-time1</f>
        <v>2.89041095890411</v>
      </c>
      <c r="K37" s="50"/>
      <c r="L37" s="80">
        <f>time2-time1</f>
        <v>2.89041095890411</v>
      </c>
      <c r="M37" s="50"/>
      <c r="N37" s="80">
        <f>time2-time1</f>
        <v>2.89041095890411</v>
      </c>
      <c r="O37" s="50"/>
      <c r="P37" s="80">
        <f>time2-time1</f>
        <v>2.89041095890411</v>
      </c>
      <c r="Q37" s="50"/>
      <c r="R37" s="80">
        <f>time2-time1</f>
        <v>2.89041095890411</v>
      </c>
      <c r="S37" s="50"/>
      <c r="T37" s="80">
        <f>time2-time1</f>
        <v>2.89041095890411</v>
      </c>
      <c r="U37" s="50"/>
      <c r="V37" s="80">
        <f>time2-time1</f>
        <v>2.89041095890411</v>
      </c>
      <c r="W37" s="50"/>
      <c r="X37" s="80">
        <f>time2-time1</f>
        <v>2.89041095890411</v>
      </c>
      <c r="Y37" s="50"/>
      <c r="Z37" s="80">
        <f>time2-time1</f>
        <v>2.89041095890411</v>
      </c>
      <c r="AA37" s="51"/>
    </row>
    <row r="38" spans="4:27">
      <c r="D38" s="77"/>
      <c r="E38" s="81" t="s">
        <v>72</v>
      </c>
      <c r="F38" s="82">
        <f>time3-time2</f>
        <v>6.04657534246575</v>
      </c>
      <c r="G38" s="37"/>
      <c r="H38" s="83">
        <f>time3-time2</f>
        <v>6.04657534246575</v>
      </c>
      <c r="I38" s="37"/>
      <c r="J38" s="83">
        <f>time3-time2</f>
        <v>6.04657534246575</v>
      </c>
      <c r="K38" s="37"/>
      <c r="L38" s="83">
        <f>time3-time2</f>
        <v>6.04657534246575</v>
      </c>
      <c r="M38" s="37"/>
      <c r="N38" s="83">
        <f>time3-time2</f>
        <v>6.04657534246575</v>
      </c>
      <c r="O38" s="37"/>
      <c r="P38" s="83">
        <f>time3-time2</f>
        <v>6.04657534246575</v>
      </c>
      <c r="Q38" s="37"/>
      <c r="R38" s="83">
        <f>time3-time2</f>
        <v>6.04657534246575</v>
      </c>
      <c r="S38" s="37"/>
      <c r="T38" s="83">
        <f>time3-time2</f>
        <v>6.04657534246575</v>
      </c>
      <c r="U38" s="37"/>
      <c r="V38" s="83">
        <f>time3-time2</f>
        <v>6.04657534246575</v>
      </c>
      <c r="W38" s="37"/>
      <c r="X38" s="83">
        <f>time3-time2</f>
        <v>6.04657534246575</v>
      </c>
      <c r="Y38" s="37"/>
      <c r="Z38" s="83">
        <f>time3-time2</f>
        <v>6.04657534246575</v>
      </c>
      <c r="AA38" s="99"/>
    </row>
    <row r="39" spans="4:27">
      <c r="D39" s="77"/>
      <c r="E39" s="84" t="s">
        <v>73</v>
      </c>
      <c r="F39" s="79">
        <f t="shared" ref="F39:J39" si="48">(F19-F8)/F37</f>
        <v>0</v>
      </c>
      <c r="G39" s="50"/>
      <c r="H39" s="80">
        <f t="shared" si="48"/>
        <v>0.00148319168812329</v>
      </c>
      <c r="I39" s="50"/>
      <c r="J39" s="87">
        <f t="shared" si="48"/>
        <v>0.000469932815352374</v>
      </c>
      <c r="K39" s="50"/>
      <c r="L39" s="80">
        <f t="shared" ref="L39:P39" si="49">(L19-L8)/L37</f>
        <v>0.000506590718404537</v>
      </c>
      <c r="M39" s="50"/>
      <c r="N39" s="80">
        <f t="shared" si="49"/>
        <v>0.000505681239399653</v>
      </c>
      <c r="O39" s="50"/>
      <c r="P39" s="80">
        <f t="shared" si="49"/>
        <v>0.000505650818724745</v>
      </c>
      <c r="Q39" s="50"/>
      <c r="R39" s="80">
        <f t="shared" ref="R39:V39" si="50">(R19-R8)/R37</f>
        <v>0.000505661198172839</v>
      </c>
      <c r="S39" s="50"/>
      <c r="T39" s="80">
        <f t="shared" si="50"/>
        <v>0.000505659563835302</v>
      </c>
      <c r="U39" s="50"/>
      <c r="V39" s="80">
        <f t="shared" si="50"/>
        <v>0.000505659792070513</v>
      </c>
      <c r="W39" s="50"/>
      <c r="X39" s="80">
        <f>(X19-X8)/X37</f>
        <v>0.000505659761202004</v>
      </c>
      <c r="Y39" s="50"/>
      <c r="Z39" s="80">
        <f>(Z19-Z8)/Z37</f>
        <v>0.000505659765338644</v>
      </c>
      <c r="AA39" s="51"/>
    </row>
    <row r="40" spans="4:27">
      <c r="D40" s="77"/>
      <c r="E40" s="81" t="s">
        <v>74</v>
      </c>
      <c r="F40" s="82">
        <f t="shared" ref="F40:J40" si="51">(F32-F19)/F38</f>
        <v>0</v>
      </c>
      <c r="G40" s="37"/>
      <c r="H40" s="83">
        <f t="shared" si="51"/>
        <v>0.0034918596238424</v>
      </c>
      <c r="I40" s="37"/>
      <c r="J40" s="83">
        <f t="shared" si="51"/>
        <v>0.00104654049216108</v>
      </c>
      <c r="K40" s="37"/>
      <c r="L40" s="83">
        <f t="shared" ref="L40:P40" si="52">(L32-L19)/L38</f>
        <v>0.00149295697888416</v>
      </c>
      <c r="M40" s="37"/>
      <c r="N40" s="83">
        <f t="shared" si="52"/>
        <v>0.00142703241040315</v>
      </c>
      <c r="O40" s="37"/>
      <c r="P40" s="83">
        <f t="shared" si="52"/>
        <v>0.00143603913919093</v>
      </c>
      <c r="Q40" s="37"/>
      <c r="R40" s="83">
        <f t="shared" ref="R40:V40" si="53">(R32-R19)/R38</f>
        <v>0.00143482754306436</v>
      </c>
      <c r="S40" s="37"/>
      <c r="T40" s="83">
        <f t="shared" si="53"/>
        <v>0.00143498962556174</v>
      </c>
      <c r="U40" s="37"/>
      <c r="V40" s="83">
        <f t="shared" si="53"/>
        <v>0.00143496797568197</v>
      </c>
      <c r="W40" s="37"/>
      <c r="X40" s="83">
        <f>(X32-X19)/X38</f>
        <v>0.00143497086615311</v>
      </c>
      <c r="Y40" s="37"/>
      <c r="Z40" s="83">
        <f>(Z32-Z19)/Z38</f>
        <v>0.00143497048030094</v>
      </c>
      <c r="AA40" s="99"/>
    </row>
    <row r="41" spans="4:27">
      <c r="D41" s="77"/>
      <c r="E41" s="84" t="s">
        <v>75</v>
      </c>
      <c r="F41" s="79">
        <f t="shared" ref="F41:J41" si="54">F39</f>
        <v>0</v>
      </c>
      <c r="G41" s="50"/>
      <c r="H41" s="80">
        <f>H39</f>
        <v>0.00148319168812329</v>
      </c>
      <c r="I41" s="50"/>
      <c r="J41" s="87">
        <f t="shared" si="54"/>
        <v>0.000469932815352374</v>
      </c>
      <c r="K41" s="50"/>
      <c r="L41" s="80">
        <f t="shared" ref="L41:P41" si="55">L39</f>
        <v>0.000506590718404537</v>
      </c>
      <c r="M41" s="50"/>
      <c r="N41" s="80">
        <f t="shared" si="55"/>
        <v>0.000505681239399653</v>
      </c>
      <c r="O41" s="50"/>
      <c r="P41" s="80">
        <f t="shared" si="55"/>
        <v>0.000505650818724745</v>
      </c>
      <c r="Q41" s="50"/>
      <c r="R41" s="80">
        <f t="shared" ref="R41:V41" si="56">R39</f>
        <v>0.000505661198172839</v>
      </c>
      <c r="S41" s="50"/>
      <c r="T41" s="80">
        <f t="shared" si="56"/>
        <v>0.000505659563835302</v>
      </c>
      <c r="U41" s="50"/>
      <c r="V41" s="80">
        <f t="shared" si="56"/>
        <v>0.000505659792070513</v>
      </c>
      <c r="W41" s="50"/>
      <c r="X41" s="80">
        <f>X39</f>
        <v>0.000505659761202004</v>
      </c>
      <c r="Y41" s="50"/>
      <c r="Z41" s="80">
        <f>Z39</f>
        <v>0.000505659765338644</v>
      </c>
      <c r="AA41" s="51"/>
    </row>
    <row r="42" spans="4:27">
      <c r="D42" s="77"/>
      <c r="E42" s="84" t="s">
        <v>76</v>
      </c>
      <c r="F42" s="85">
        <f t="shared" ref="F42:J42" si="57">IF(F39*F40&gt;0,2*F39*F40/(F39+F40),0)</f>
        <v>0</v>
      </c>
      <c r="G42" s="22"/>
      <c r="H42" s="86">
        <f t="shared" si="57"/>
        <v>0.0020820276396828</v>
      </c>
      <c r="I42" s="22"/>
      <c r="J42" s="86">
        <f t="shared" si="57"/>
        <v>0.00064861506948371</v>
      </c>
      <c r="K42" s="22"/>
      <c r="L42" s="86">
        <f t="shared" ref="L42:P42" si="58">IF(L39*L40&gt;0,2*L39*L40/(L39+L40),0)</f>
        <v>0.00075648922954479</v>
      </c>
      <c r="M42" s="22"/>
      <c r="N42" s="86">
        <f t="shared" si="58"/>
        <v>0.00074674643916316</v>
      </c>
      <c r="O42" s="22"/>
      <c r="P42" s="86">
        <f t="shared" si="58"/>
        <v>0.000747940590095185</v>
      </c>
      <c r="Q42" s="22"/>
      <c r="R42" s="86">
        <f t="shared" ref="R42:V42" si="59">IF(R39*R40&gt;0,2*R39*R40/(R39+R40),0)</f>
        <v>0.000747787502373999</v>
      </c>
      <c r="S42" s="22"/>
      <c r="T42" s="86">
        <f t="shared" si="59"/>
        <v>0.000747807725511874</v>
      </c>
      <c r="U42" s="22"/>
      <c r="V42" s="86">
        <f t="shared" si="59"/>
        <v>0.000747805035327864</v>
      </c>
      <c r="W42" s="22"/>
      <c r="X42" s="86">
        <f>IF(X39*X40&gt;0,2*X39*X40/(X39+X40),0)</f>
        <v>0.00074780539406383</v>
      </c>
      <c r="Y42" s="22"/>
      <c r="Z42" s="86">
        <f>IF(Z39*Z40&gt;0,2*Z39*Z40/(Z39+Z40),0)</f>
        <v>0.000747805346193306</v>
      </c>
      <c r="AA42" s="23"/>
    </row>
    <row r="43" spans="4:27">
      <c r="D43" s="77"/>
      <c r="E43" s="81" t="s">
        <v>77</v>
      </c>
      <c r="F43" s="82">
        <v>0</v>
      </c>
      <c r="G43" s="37"/>
      <c r="H43" s="83">
        <v>0</v>
      </c>
      <c r="I43" s="37"/>
      <c r="J43" s="83">
        <v>0</v>
      </c>
      <c r="K43" s="37"/>
      <c r="L43" s="83">
        <v>0</v>
      </c>
      <c r="M43" s="37"/>
      <c r="N43" s="83">
        <v>0</v>
      </c>
      <c r="O43" s="37"/>
      <c r="P43" s="83">
        <v>0</v>
      </c>
      <c r="Q43" s="37"/>
      <c r="R43" s="83">
        <v>0</v>
      </c>
      <c r="S43" s="37"/>
      <c r="T43" s="83">
        <v>0</v>
      </c>
      <c r="U43" s="37"/>
      <c r="V43" s="83">
        <v>0</v>
      </c>
      <c r="W43" s="37"/>
      <c r="X43" s="83">
        <v>0</v>
      </c>
      <c r="Y43" s="37"/>
      <c r="Z43" s="83">
        <v>0</v>
      </c>
      <c r="AA43" s="99"/>
    </row>
    <row r="44" spans="4:27">
      <c r="D44" s="77"/>
      <c r="E44" s="84" t="s">
        <v>78</v>
      </c>
      <c r="F44" s="79">
        <f t="shared" ref="F44:J44" si="60">F8</f>
        <v>0.01</v>
      </c>
      <c r="G44" s="50"/>
      <c r="H44" s="87">
        <f t="shared" si="60"/>
        <v>0.0460262866481098</v>
      </c>
      <c r="I44" s="50"/>
      <c r="J44" s="80">
        <f t="shared" si="60"/>
        <v>0.0460262866481098</v>
      </c>
      <c r="K44" s="50"/>
      <c r="L44" s="80">
        <f t="shared" ref="L44:P44" si="61">L8</f>
        <v>0.0460262866481098</v>
      </c>
      <c r="M44" s="50"/>
      <c r="N44" s="80">
        <f t="shared" si="61"/>
        <v>0.0460262866481098</v>
      </c>
      <c r="O44" s="50"/>
      <c r="P44" s="80">
        <f t="shared" si="61"/>
        <v>0.0460262866481098</v>
      </c>
      <c r="Q44" s="50"/>
      <c r="R44" s="80">
        <f t="shared" ref="R44:V44" si="62">R8</f>
        <v>0.0460262866481098</v>
      </c>
      <c r="S44" s="50"/>
      <c r="T44" s="80">
        <f t="shared" si="62"/>
        <v>0.0460262866481098</v>
      </c>
      <c r="U44" s="50"/>
      <c r="V44" s="80">
        <f t="shared" si="62"/>
        <v>0.0460262866481098</v>
      </c>
      <c r="W44" s="50"/>
      <c r="X44" s="80">
        <f>X8</f>
        <v>0.0460262866481098</v>
      </c>
      <c r="Y44" s="50"/>
      <c r="Z44" s="80">
        <f>Z8</f>
        <v>0.0460262866481098</v>
      </c>
      <c r="AA44" s="51"/>
    </row>
    <row r="45" spans="4:27">
      <c r="D45" s="77"/>
      <c r="E45" s="81" t="s">
        <v>79</v>
      </c>
      <c r="F45" s="82">
        <f t="shared" ref="F45:J45" si="63">F19</f>
        <v>0.01</v>
      </c>
      <c r="G45" s="37"/>
      <c r="H45" s="83">
        <f t="shared" si="63"/>
        <v>0.0503133201576168</v>
      </c>
      <c r="I45" s="37"/>
      <c r="J45" s="83">
        <f t="shared" si="63"/>
        <v>0.047384585607553</v>
      </c>
      <c r="K45" s="37"/>
      <c r="L45" s="83">
        <f t="shared" ref="L45:P45" si="64">L19</f>
        <v>0.0474905420122654</v>
      </c>
      <c r="M45" s="37"/>
      <c r="N45" s="83">
        <f t="shared" si="64"/>
        <v>0.0474879132441828</v>
      </c>
      <c r="O45" s="37"/>
      <c r="P45" s="83">
        <f t="shared" si="64"/>
        <v>0.0474878253159306</v>
      </c>
      <c r="Q45" s="37"/>
      <c r="R45" s="83">
        <f t="shared" ref="R45:V45" si="65">R19</f>
        <v>0.0474878553168012</v>
      </c>
      <c r="S45" s="37"/>
      <c r="T45" s="83">
        <f t="shared" si="65"/>
        <v>0.047487850592894</v>
      </c>
      <c r="U45" s="37"/>
      <c r="V45" s="83">
        <f t="shared" si="65"/>
        <v>0.0474878512525876</v>
      </c>
      <c r="W45" s="37"/>
      <c r="X45" s="83">
        <f>X19</f>
        <v>0.0474878511633649</v>
      </c>
      <c r="Y45" s="37"/>
      <c r="Z45" s="83">
        <f>Z19</f>
        <v>0.0474878511753215</v>
      </c>
      <c r="AA45" s="99"/>
    </row>
    <row r="46" spans="4:27">
      <c r="D46" s="77"/>
      <c r="E46" s="84" t="s">
        <v>80</v>
      </c>
      <c r="F46" s="79">
        <f t="shared" ref="F46:J46" si="66">F41</f>
        <v>0</v>
      </c>
      <c r="G46" s="50"/>
      <c r="H46" s="87">
        <f t="shared" si="66"/>
        <v>0.00148319168812329</v>
      </c>
      <c r="I46" s="50"/>
      <c r="J46" s="80">
        <f t="shared" si="66"/>
        <v>0.000469932815352374</v>
      </c>
      <c r="K46" s="50"/>
      <c r="L46" s="80">
        <f t="shared" ref="L46:P46" si="67">L41</f>
        <v>0.000506590718404537</v>
      </c>
      <c r="M46" s="50"/>
      <c r="N46" s="80">
        <f t="shared" si="67"/>
        <v>0.000505681239399653</v>
      </c>
      <c r="O46" s="50"/>
      <c r="P46" s="80">
        <f t="shared" si="67"/>
        <v>0.000505650818724745</v>
      </c>
      <c r="Q46" s="50"/>
      <c r="R46" s="80">
        <f t="shared" ref="R46:V46" si="68">R41</f>
        <v>0.000505661198172839</v>
      </c>
      <c r="S46" s="50"/>
      <c r="T46" s="80">
        <f t="shared" si="68"/>
        <v>0.000505659563835302</v>
      </c>
      <c r="U46" s="50"/>
      <c r="V46" s="80">
        <f t="shared" si="68"/>
        <v>0.000505659792070513</v>
      </c>
      <c r="W46" s="50"/>
      <c r="X46" s="80">
        <f>X41</f>
        <v>0.000505659761202004</v>
      </c>
      <c r="Y46" s="50"/>
      <c r="Z46" s="80">
        <f>Z41</f>
        <v>0.000505659765338644</v>
      </c>
      <c r="AA46" s="51"/>
    </row>
    <row r="47" spans="4:27">
      <c r="D47" s="77"/>
      <c r="E47" s="81" t="s">
        <v>81</v>
      </c>
      <c r="F47" s="82">
        <f t="shared" ref="F47:J47" si="69">F42</f>
        <v>0</v>
      </c>
      <c r="G47" s="37"/>
      <c r="H47" s="83">
        <f t="shared" si="69"/>
        <v>0.0020820276396828</v>
      </c>
      <c r="I47" s="37"/>
      <c r="J47" s="83">
        <f t="shared" si="69"/>
        <v>0.00064861506948371</v>
      </c>
      <c r="K47" s="37"/>
      <c r="L47" s="83">
        <f t="shared" ref="L47:P47" si="70">L42</f>
        <v>0.00075648922954479</v>
      </c>
      <c r="M47" s="37"/>
      <c r="N47" s="83">
        <f t="shared" si="70"/>
        <v>0.00074674643916316</v>
      </c>
      <c r="O47" s="37"/>
      <c r="P47" s="83">
        <f t="shared" si="70"/>
        <v>0.000747940590095185</v>
      </c>
      <c r="Q47" s="37"/>
      <c r="R47" s="83">
        <f t="shared" ref="R47:V47" si="71">R42</f>
        <v>0.000747787502373999</v>
      </c>
      <c r="S47" s="37"/>
      <c r="T47" s="83">
        <f t="shared" si="71"/>
        <v>0.000747807725511874</v>
      </c>
      <c r="U47" s="37"/>
      <c r="V47" s="83">
        <f t="shared" si="71"/>
        <v>0.000747805035327864</v>
      </c>
      <c r="W47" s="37"/>
      <c r="X47" s="83">
        <f>X42</f>
        <v>0.00074780539406383</v>
      </c>
      <c r="Y47" s="37"/>
      <c r="Z47" s="83">
        <f>Z42</f>
        <v>0.000747805346193306</v>
      </c>
      <c r="AA47" s="99"/>
    </row>
    <row r="48" spans="4:27">
      <c r="D48" s="77"/>
      <c r="E48" s="84" t="s">
        <v>82</v>
      </c>
      <c r="F48" s="79">
        <f t="shared" ref="F48:J48" si="72">(3*F39-F42-2*F41)/F37</f>
        <v>0</v>
      </c>
      <c r="G48" s="50"/>
      <c r="H48" s="80">
        <f t="shared" si="72"/>
        <v>-0.000207180210729119</v>
      </c>
      <c r="I48" s="50"/>
      <c r="J48" s="80">
        <f t="shared" si="72"/>
        <v>-6.18189789174762e-5</v>
      </c>
      <c r="K48" s="50"/>
      <c r="L48" s="80">
        <f t="shared" ref="L48:P48" si="73">(3*L39-L42-2*L41)/L37</f>
        <v>-8.64577787357277e-5</v>
      </c>
      <c r="M48" s="50"/>
      <c r="N48" s="80">
        <f t="shared" si="73"/>
        <v>-8.34017041835831e-5</v>
      </c>
      <c r="O48" s="50"/>
      <c r="P48" s="80">
        <f t="shared" si="73"/>
        <v>-8.38253711376402e-5</v>
      </c>
      <c r="Q48" s="50"/>
      <c r="R48" s="80">
        <f t="shared" ref="R48:V48" si="74">(3*R39-R42-2*R41)/R37</f>
        <v>-8.3768816145425e-5</v>
      </c>
      <c r="S48" s="50"/>
      <c r="T48" s="80">
        <f t="shared" si="74"/>
        <v>-8.37763782103781e-5</v>
      </c>
      <c r="U48" s="50"/>
      <c r="V48" s="80">
        <f t="shared" si="74"/>
        <v>-8.37753685203157e-5</v>
      </c>
      <c r="W48" s="50"/>
      <c r="X48" s="80">
        <f>(3*X39-X42-2*X41)/X37</f>
        <v>-8.37755033123854e-5</v>
      </c>
      <c r="Y48" s="50"/>
      <c r="Z48" s="80">
        <f>(3*Z39-Z42-2*Z41)/Z37</f>
        <v>-8.37754853193855e-5</v>
      </c>
      <c r="AA48" s="51"/>
    </row>
    <row r="49" spans="4:27">
      <c r="D49" s="77"/>
      <c r="E49" s="81" t="s">
        <v>83</v>
      </c>
      <c r="F49" s="82">
        <f t="shared" ref="F49:J49" si="75">(3*F40-F43-2*F42)/F38</f>
        <v>0</v>
      </c>
      <c r="G49" s="37"/>
      <c r="H49" s="83">
        <f t="shared" si="75"/>
        <v>0.00104381790264567</v>
      </c>
      <c r="I49" s="37"/>
      <c r="J49" s="83">
        <f t="shared" si="75"/>
        <v>0.000304699971995138</v>
      </c>
      <c r="K49" s="37"/>
      <c r="L49" s="83">
        <f t="shared" ref="L49:P49" si="76">(3*L40-L43-2*L42)/L38</f>
        <v>0.000490507817992958</v>
      </c>
      <c r="M49" s="37"/>
      <c r="N49" s="83">
        <f t="shared" si="76"/>
        <v>0.000461022015769073</v>
      </c>
      <c r="O49" s="37"/>
      <c r="P49" s="83">
        <f t="shared" si="76"/>
        <v>0.000465095707587035</v>
      </c>
      <c r="Q49" s="37"/>
      <c r="R49" s="83">
        <f t="shared" ref="R49:V49" si="77">(3*R40-R43-2*R42)/R38</f>
        <v>0.000464545212017425</v>
      </c>
      <c r="S49" s="37"/>
      <c r="T49" s="83">
        <f t="shared" si="77"/>
        <v>0.000464618939903233</v>
      </c>
      <c r="U49" s="37"/>
      <c r="V49" s="83">
        <f t="shared" si="77"/>
        <v>0.000464609088166023</v>
      </c>
      <c r="W49" s="37"/>
      <c r="X49" s="83">
        <f>(3*X40-X43-2*X42)/X38</f>
        <v>0.000464610403611718</v>
      </c>
      <c r="Y49" s="37"/>
      <c r="Z49" s="83">
        <f>(3*Z40-Z43-2*Z42)/Z38</f>
        <v>0.000464610228005628</v>
      </c>
      <c r="AA49" s="99"/>
    </row>
    <row r="50" spans="4:27">
      <c r="D50" s="77"/>
      <c r="E50" s="84" t="s">
        <v>84</v>
      </c>
      <c r="F50" s="85">
        <f t="shared" ref="F50:J50" si="78">(F42+F41-2*F39)/F37^2</f>
        <v>0</v>
      </c>
      <c r="G50" s="22"/>
      <c r="H50" s="86">
        <f t="shared" si="78"/>
        <v>7.16784615318752e-5</v>
      </c>
      <c r="I50" s="22"/>
      <c r="J50" s="86">
        <f t="shared" si="78"/>
        <v>2.13876088197904e-5</v>
      </c>
      <c r="K50" s="22"/>
      <c r="L50" s="86">
        <f t="shared" ref="L50:P50" si="79">(L42+L41-2*L39)/L37^2</f>
        <v>2.99119329275266e-5</v>
      </c>
      <c r="M50" s="22"/>
      <c r="N50" s="86">
        <f t="shared" si="79"/>
        <v>2.88546180350785e-5</v>
      </c>
      <c r="O50" s="22"/>
      <c r="P50" s="86">
        <f t="shared" si="79"/>
        <v>2.90011947537807e-5</v>
      </c>
      <c r="Q50" s="22"/>
      <c r="R50" s="86">
        <f t="shared" ref="R50:V50" si="80">(R42+R41-2*R39)/R37^2</f>
        <v>2.89816283346731e-5</v>
      </c>
      <c r="S50" s="22"/>
      <c r="T50" s="86">
        <f t="shared" si="80"/>
        <v>2.89842445941119e-5</v>
      </c>
      <c r="U50" s="22"/>
      <c r="V50" s="86">
        <f t="shared" si="80"/>
        <v>2.89838952700618e-5</v>
      </c>
      <c r="W50" s="22"/>
      <c r="X50" s="86">
        <f>(X42+X41-2*X39)/X37^2</f>
        <v>2.8983941904285e-5</v>
      </c>
      <c r="Y50" s="22"/>
      <c r="Z50" s="86">
        <f>(Z42+Z41-2*Z39)/Z37^2</f>
        <v>2.89839356792187e-5</v>
      </c>
      <c r="AA50" s="23"/>
    </row>
    <row r="51" spans="4:27">
      <c r="D51" s="77"/>
      <c r="E51" s="81" t="s">
        <v>85</v>
      </c>
      <c r="F51" s="82">
        <f t="shared" ref="F51:J51" si="81">(F43+F42-2*F40)/F38^2</f>
        <v>0</v>
      </c>
      <c r="G51" s="37"/>
      <c r="H51" s="83">
        <f t="shared" si="81"/>
        <v>-0.000134068591425451</v>
      </c>
      <c r="I51" s="37"/>
      <c r="J51" s="83">
        <f t="shared" si="81"/>
        <v>-3.95083016337299e-5</v>
      </c>
      <c r="K51" s="37"/>
      <c r="L51" s="83">
        <f t="shared" ref="L51:P51" si="82">(L43+L42-2*L40)/L38^2</f>
        <v>-6.09780983597684e-5</v>
      </c>
      <c r="M51" s="37"/>
      <c r="N51" s="83">
        <f t="shared" si="82"/>
        <v>-5.76383072836805e-5</v>
      </c>
      <c r="O51" s="37"/>
      <c r="P51" s="83">
        <f t="shared" si="82"/>
        <v>-5.80983404580995e-5</v>
      </c>
      <c r="Q51" s="37"/>
      <c r="R51" s="83">
        <f t="shared" ref="R51:V51" si="83">(R43+R42-2*R40)/R38^2</f>
        <v>-5.80362497063086e-5</v>
      </c>
      <c r="S51" s="37"/>
      <c r="T51" s="83">
        <f t="shared" si="83"/>
        <v>-5.80445629703581e-5</v>
      </c>
      <c r="U51" s="37"/>
      <c r="V51" s="83">
        <f t="shared" si="83"/>
        <v>-5.80434522377733e-5</v>
      </c>
      <c r="W51" s="37"/>
      <c r="X51" s="83">
        <f>(X43+X42-2*X40)/X38^2</f>
        <v>-5.80436005432201e-5</v>
      </c>
      <c r="Y51" s="37"/>
      <c r="Z51" s="83">
        <f>(Z43+Z42-2*Z40)/Z38^2</f>
        <v>-5.80435807452836e-5</v>
      </c>
      <c r="AA51" s="99"/>
    </row>
    <row r="52" spans="5:5">
      <c r="E52" s="88"/>
    </row>
    <row r="53" spans="5:5">
      <c r="E53" s="88"/>
    </row>
    <row r="54" spans="5:5">
      <c r="E54" s="88"/>
    </row>
    <row r="55" spans="5:5">
      <c r="E55" s="88"/>
    </row>
    <row r="56" spans="5:5">
      <c r="E56" s="88"/>
    </row>
    <row r="57" spans="5:5">
      <c r="E57" s="88"/>
    </row>
    <row r="58" spans="5:5">
      <c r="E58" s="88"/>
    </row>
    <row r="59" spans="5:5">
      <c r="E59" s="88"/>
    </row>
    <row r="60" spans="5:5">
      <c r="E60" s="88"/>
    </row>
    <row r="61" spans="5:5">
      <c r="E61" s="88"/>
    </row>
    <row r="62" spans="5:5">
      <c r="E62" s="88"/>
    </row>
    <row r="63" spans="5:5">
      <c r="E63" s="88"/>
    </row>
    <row r="64" spans="5:5">
      <c r="E64" s="88"/>
    </row>
    <row r="65" spans="5:5">
      <c r="E65" s="88"/>
    </row>
    <row r="66" spans="5:5">
      <c r="E66" s="88"/>
    </row>
    <row r="67" spans="5:5">
      <c r="E67" s="88"/>
    </row>
  </sheetData>
  <mergeCells count="13">
    <mergeCell ref="C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D37:D5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workbookViewId="0">
      <selection activeCell="C1" sqref="C1"/>
    </sheetView>
  </sheetViews>
  <sheetFormatPr defaultColWidth="9" defaultRowHeight="12.75"/>
  <cols>
    <col min="2" max="2" width="11.1428571428571" customWidth="1"/>
    <col min="3" max="3" width="11.4285714285714" customWidth="1"/>
    <col min="4" max="4" width="14.5714285714286" customWidth="1"/>
    <col min="5" max="5" width="13.2857142857143" customWidth="1"/>
    <col min="6" max="6" width="16.1428571428571" customWidth="1"/>
    <col min="7" max="7" width="14.4285714285714" customWidth="1"/>
  </cols>
  <sheetData>
    <row r="1" ht="16.5" customHeight="1" spans="1:1">
      <c r="A1" s="3" t="s">
        <v>86</v>
      </c>
    </row>
    <row r="3" s="1" customFormat="1" spans="2:6">
      <c r="B3" s="4" t="s">
        <v>3</v>
      </c>
      <c r="C3" s="5" t="s">
        <v>4</v>
      </c>
      <c r="D3" s="5" t="s">
        <v>87</v>
      </c>
      <c r="E3" s="5" t="s">
        <v>5</v>
      </c>
      <c r="F3" s="6" t="s">
        <v>88</v>
      </c>
    </row>
    <row r="4" spans="2:6">
      <c r="B4" s="7">
        <v>41718</v>
      </c>
      <c r="C4" s="8">
        <v>0.0435</v>
      </c>
      <c r="D4" s="9" t="s">
        <v>89</v>
      </c>
      <c r="E4" s="10" t="s">
        <v>15</v>
      </c>
      <c r="F4" s="11">
        <v>1000000</v>
      </c>
    </row>
    <row r="6" spans="4:4">
      <c r="D6" s="12"/>
    </row>
    <row r="7" spans="2:7">
      <c r="B7" s="13" t="s">
        <v>90</v>
      </c>
      <c r="C7" s="14"/>
      <c r="D7" s="14"/>
      <c r="E7" s="14"/>
      <c r="F7" s="14"/>
      <c r="G7" s="15" t="s">
        <v>91</v>
      </c>
    </row>
    <row r="8" s="1" customFormat="1" spans="2:7">
      <c r="B8" s="4" t="s">
        <v>92</v>
      </c>
      <c r="C8" s="16" t="s">
        <v>93</v>
      </c>
      <c r="D8" s="17" t="s">
        <v>35</v>
      </c>
      <c r="E8" s="5" t="s">
        <v>36</v>
      </c>
      <c r="F8" s="18" t="s">
        <v>94</v>
      </c>
      <c r="G8" s="18" t="s">
        <v>95</v>
      </c>
    </row>
    <row r="9" spans="2:7">
      <c r="B9" s="19">
        <f>AsOfDate</f>
        <v>39125</v>
      </c>
      <c r="C9" s="20">
        <f t="shared" ref="C9:C27" si="0">IF(t&lt;=time1,rate1,IF(t&lt;=time2,a_1+b_1*(t-time1)+c_1*(t-time1)^2+d_1*(t-time1)^3,a_2+b_2*(t-time2)+c_2*(t-time2)^2+d_2*(t-time2)^3))</f>
        <v>0.0460262854177305</v>
      </c>
      <c r="D9" s="21">
        <f>B9</f>
        <v>39125</v>
      </c>
      <c r="E9" s="22">
        <v>0</v>
      </c>
      <c r="F9" s="23">
        <v>1</v>
      </c>
      <c r="G9" s="23"/>
    </row>
    <row r="10" spans="2:9">
      <c r="B10" s="24"/>
      <c r="C10" s="25">
        <f t="shared" si="0"/>
        <v>0.0460262854177305</v>
      </c>
      <c r="D10" s="26">
        <v>39161</v>
      </c>
      <c r="E10" s="22">
        <f t="shared" ref="E10:E27" si="1">(D10-AsOfDate)/365</f>
        <v>0.0986301369863014</v>
      </c>
      <c r="F10" s="27">
        <f>EXP(-C10*E10)</f>
        <v>0.99547070947819</v>
      </c>
      <c r="G10" s="28">
        <f>principal*coupon/2</f>
        <v>21750</v>
      </c>
      <c r="I10" s="41"/>
    </row>
    <row r="11" spans="1:7">
      <c r="A11">
        <v>1</v>
      </c>
      <c r="B11" s="19">
        <f>_mat1</f>
        <v>39335</v>
      </c>
      <c r="C11" s="20">
        <f t="shared" si="0"/>
        <v>0.0460262854177305</v>
      </c>
      <c r="D11" s="21">
        <f>B11</f>
        <v>39335</v>
      </c>
      <c r="E11" s="22">
        <f t="shared" si="1"/>
        <v>0.575342465753425</v>
      </c>
      <c r="F11" s="27">
        <f t="shared" ref="F11:F27" si="2">EXP(-C11*E11)</f>
        <v>0.973866667356057</v>
      </c>
      <c r="G11" s="23"/>
    </row>
    <row r="12" spans="2:7">
      <c r="B12" s="24"/>
      <c r="C12" s="25">
        <f t="shared" si="0"/>
        <v>0.0460400768352031</v>
      </c>
      <c r="D12" s="26">
        <f>DATE(YEAR(D10),MONTH(D10)+6,DAY(D10))</f>
        <v>39345</v>
      </c>
      <c r="E12" s="22">
        <f t="shared" si="1"/>
        <v>0.602739726027397</v>
      </c>
      <c r="F12" s="27">
        <f t="shared" si="2"/>
        <v>0.972631316001292</v>
      </c>
      <c r="G12" s="28">
        <f t="shared" ref="G12:G17" si="3">principal*coupon/2</f>
        <v>21750</v>
      </c>
    </row>
    <row r="13" spans="2:7">
      <c r="B13" s="24"/>
      <c r="C13" s="25">
        <f t="shared" si="0"/>
        <v>0.0462733141899106</v>
      </c>
      <c r="D13" s="26">
        <f t="shared" ref="D13:D17" si="4">DATE(YEAR(D12),MONTH(D12)+6,DAY(D12))</f>
        <v>39527</v>
      </c>
      <c r="E13" s="22">
        <f t="shared" si="1"/>
        <v>1.1013698630137</v>
      </c>
      <c r="F13" s="27">
        <f t="shared" si="2"/>
        <v>0.950312849144802</v>
      </c>
      <c r="G13" s="28">
        <f t="shared" si="3"/>
        <v>21750</v>
      </c>
    </row>
    <row r="14" spans="2:7">
      <c r="B14" s="24"/>
      <c r="C14" s="29">
        <f t="shared" si="0"/>
        <v>0.0464899677954326</v>
      </c>
      <c r="D14" s="26">
        <f t="shared" si="4"/>
        <v>39711</v>
      </c>
      <c r="E14" s="22">
        <f t="shared" si="1"/>
        <v>1.60547945205479</v>
      </c>
      <c r="F14" s="27">
        <f t="shared" si="2"/>
        <v>0.928078751726492</v>
      </c>
      <c r="G14" s="28">
        <f t="shared" si="3"/>
        <v>21750</v>
      </c>
    </row>
    <row r="15" spans="2:7">
      <c r="B15" s="24"/>
      <c r="C15" s="29">
        <f t="shared" si="0"/>
        <v>0.046705845443829</v>
      </c>
      <c r="D15" s="26">
        <f t="shared" si="4"/>
        <v>39892</v>
      </c>
      <c r="E15" s="22">
        <f t="shared" si="1"/>
        <v>2.1013698630137</v>
      </c>
      <c r="F15" s="27">
        <f t="shared" si="2"/>
        <v>0.906516310570072</v>
      </c>
      <c r="G15" s="28">
        <f t="shared" si="3"/>
        <v>21750</v>
      </c>
    </row>
    <row r="16" spans="2:7">
      <c r="B16" s="24"/>
      <c r="C16" s="29">
        <f t="shared" si="0"/>
        <v>0.046950079969798</v>
      </c>
      <c r="D16" s="26">
        <f t="shared" si="4"/>
        <v>40076</v>
      </c>
      <c r="E16" s="22">
        <f t="shared" si="1"/>
        <v>2.60547945205479</v>
      </c>
      <c r="F16" s="27">
        <f t="shared" si="2"/>
        <v>0.884858557630402</v>
      </c>
      <c r="G16" s="28">
        <f t="shared" si="3"/>
        <v>21750</v>
      </c>
    </row>
    <row r="17" spans="2:7">
      <c r="B17" s="24"/>
      <c r="C17" s="29">
        <f t="shared" si="0"/>
        <v>0.0472362074252241</v>
      </c>
      <c r="D17" s="26">
        <f t="shared" si="4"/>
        <v>40257</v>
      </c>
      <c r="E17" s="22">
        <f t="shared" si="1"/>
        <v>3.1013698630137</v>
      </c>
      <c r="F17" s="27">
        <f t="shared" si="2"/>
        <v>0.863728366571275</v>
      </c>
      <c r="G17" s="28">
        <f t="shared" si="3"/>
        <v>21750</v>
      </c>
    </row>
    <row r="18" spans="1:7">
      <c r="A18">
        <v>2</v>
      </c>
      <c r="B18" s="19">
        <f>_mat2</f>
        <v>40390</v>
      </c>
      <c r="C18" s="30">
        <f t="shared" si="0"/>
        <v>0.0474878512051397</v>
      </c>
      <c r="D18" s="21">
        <f>B18</f>
        <v>40390</v>
      </c>
      <c r="E18" s="22">
        <f t="shared" si="1"/>
        <v>3.46575342465753</v>
      </c>
      <c r="F18" s="27">
        <f t="shared" si="2"/>
        <v>0.848248890806934</v>
      </c>
      <c r="G18" s="31"/>
    </row>
    <row r="19" s="2" customFormat="1" spans="2:7">
      <c r="B19" s="32"/>
      <c r="C19" s="29">
        <f t="shared" si="0"/>
        <v>0.0476012515557058</v>
      </c>
      <c r="D19" s="26">
        <f>DATE(YEAR(D17),MONTH(D17)+6,DAY(D17))</f>
        <v>40441</v>
      </c>
      <c r="E19" s="22">
        <f t="shared" si="1"/>
        <v>3.60547945205479</v>
      </c>
      <c r="F19" s="27">
        <f t="shared" si="2"/>
        <v>0.842294692924163</v>
      </c>
      <c r="G19" s="28">
        <f t="shared" ref="G19:G25" si="5">principal*coupon/2</f>
        <v>21750</v>
      </c>
    </row>
    <row r="20" spans="2:7">
      <c r="B20" s="33"/>
      <c r="C20" s="29">
        <f t="shared" si="0"/>
        <v>0.0481359699364401</v>
      </c>
      <c r="D20" s="26">
        <f t="shared" ref="D20:D26" si="6">DATE(YEAR(D19),MONTH(D19)+6,DAY(D19))</f>
        <v>40622</v>
      </c>
      <c r="E20" s="22">
        <f t="shared" si="1"/>
        <v>4.1013698630137</v>
      </c>
      <c r="F20" s="27">
        <f t="shared" si="2"/>
        <v>0.820843001312817</v>
      </c>
      <c r="G20" s="28">
        <f t="shared" si="5"/>
        <v>21750</v>
      </c>
    </row>
    <row r="21" spans="2:7">
      <c r="B21" s="33"/>
      <c r="C21" s="29">
        <f t="shared" si="0"/>
        <v>0.0488577299359927</v>
      </c>
      <c r="D21" s="26">
        <f t="shared" si="6"/>
        <v>40806</v>
      </c>
      <c r="E21" s="22">
        <f t="shared" si="1"/>
        <v>4.60547945205479</v>
      </c>
      <c r="F21" s="27">
        <f t="shared" si="2"/>
        <v>0.798505621485989</v>
      </c>
      <c r="G21" s="28">
        <f t="shared" si="5"/>
        <v>21750</v>
      </c>
    </row>
    <row r="22" spans="2:7">
      <c r="B22" s="33"/>
      <c r="C22" s="29">
        <f t="shared" si="0"/>
        <v>0.0497048771347198</v>
      </c>
      <c r="D22" s="26">
        <f t="shared" si="6"/>
        <v>40988</v>
      </c>
      <c r="E22" s="22">
        <f t="shared" si="1"/>
        <v>5.1041095890411</v>
      </c>
      <c r="F22" s="27">
        <f t="shared" si="2"/>
        <v>0.775925211787892</v>
      </c>
      <c r="G22" s="28">
        <f t="shared" si="5"/>
        <v>21750</v>
      </c>
    </row>
    <row r="23" spans="2:7">
      <c r="B23" s="33"/>
      <c r="C23" s="29">
        <f t="shared" si="0"/>
        <v>0.0506518184622004</v>
      </c>
      <c r="D23" s="26">
        <f t="shared" si="6"/>
        <v>41172</v>
      </c>
      <c r="E23" s="22">
        <f t="shared" si="1"/>
        <v>5.60821917808219</v>
      </c>
      <c r="F23" s="27">
        <f t="shared" si="2"/>
        <v>0.752716587611213</v>
      </c>
      <c r="G23" s="28">
        <f t="shared" si="5"/>
        <v>21750</v>
      </c>
    </row>
    <row r="24" spans="2:7">
      <c r="B24" s="33"/>
      <c r="C24" s="29">
        <f t="shared" si="0"/>
        <v>0.0516289514111143</v>
      </c>
      <c r="D24" s="26">
        <f t="shared" si="6"/>
        <v>41353</v>
      </c>
      <c r="E24" s="22">
        <f t="shared" si="1"/>
        <v>6.1041095890411</v>
      </c>
      <c r="F24" s="27">
        <f t="shared" si="2"/>
        <v>0.729680306268296</v>
      </c>
      <c r="G24" s="28">
        <f t="shared" si="5"/>
        <v>21750</v>
      </c>
    </row>
    <row r="25" spans="2:7">
      <c r="B25" s="33"/>
      <c r="C25" s="29">
        <f t="shared" si="0"/>
        <v>0.052624656400994</v>
      </c>
      <c r="D25" s="26">
        <f t="shared" si="6"/>
        <v>41537</v>
      </c>
      <c r="E25" s="22">
        <f t="shared" si="1"/>
        <v>6.60821917808219</v>
      </c>
      <c r="F25" s="27">
        <f t="shared" si="2"/>
        <v>0.706271705410577</v>
      </c>
      <c r="G25" s="28">
        <f t="shared" si="5"/>
        <v>21750</v>
      </c>
    </row>
    <row r="26" spans="2:7">
      <c r="B26" s="33"/>
      <c r="C26" s="29">
        <f t="shared" si="0"/>
        <v>0.0535634082037911</v>
      </c>
      <c r="D26" s="26">
        <f t="shared" si="6"/>
        <v>41718</v>
      </c>
      <c r="E26" s="22">
        <f t="shared" si="1"/>
        <v>7.1041095890411</v>
      </c>
      <c r="F26" s="27">
        <f t="shared" si="2"/>
        <v>0.683505673740548</v>
      </c>
      <c r="G26" s="28">
        <f>principal*(coupon/2+1)</f>
        <v>1021750</v>
      </c>
    </row>
    <row r="27" spans="1:7">
      <c r="A27">
        <v>3</v>
      </c>
      <c r="B27" s="34">
        <f>_mat3</f>
        <v>42597</v>
      </c>
      <c r="C27" s="35">
        <f t="shared" si="0"/>
        <v>0.0561645085576465</v>
      </c>
      <c r="D27" s="36">
        <f>B27</f>
        <v>42597</v>
      </c>
      <c r="E27" s="37">
        <f t="shared" si="1"/>
        <v>9.51232876712329</v>
      </c>
      <c r="F27" s="38">
        <f t="shared" si="2"/>
        <v>0.586105617827958</v>
      </c>
      <c r="G27" s="31"/>
    </row>
    <row r="28" spans="4:7">
      <c r="D28" s="26"/>
      <c r="F28" s="39" t="s">
        <v>42</v>
      </c>
      <c r="G28" s="40">
        <f>SUMPRODUCT(G9:G27,F9:F27)</f>
        <v>957802.31138174</v>
      </c>
    </row>
  </sheetData>
  <mergeCells count="1">
    <mergeCell ref="B7:F7"/>
  </mergeCells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Treasury Bond Pricing</vt:lpstr>
      <vt:lpstr>Bootstrapping by Fitting</vt:lpstr>
      <vt:lpstr>Bootstrapping by Iteration</vt:lpstr>
      <vt:lpstr>Pricing New Bond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Lyashenko</dc:creator>
  <cp:lastModifiedBy>Andrei</cp:lastModifiedBy>
  <dcterms:created xsi:type="dcterms:W3CDTF">2006-02-23T04:22:00Z</dcterms:created>
  <dcterms:modified xsi:type="dcterms:W3CDTF">2016-02-13T21:53:38Z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