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740" activeTab="1"/>
  </bookViews>
  <sheets>
    <sheet name="Inputs" sheetId="1" r:id="rId1"/>
    <sheet name="Bootstrapping" sheetId="2" r:id="rId2"/>
  </sheets>
  <definedNames>
    <definedName name="a_0">Bootstrapping!$G$32</definedName>
    <definedName name="a_1">Bootstrapping!$G$33</definedName>
    <definedName name="a_2">Bootstrapping!$G$34</definedName>
    <definedName name="a_3">Bootstrapping!$G$35</definedName>
    <definedName name="AsOfDate">Inputs!$C$2</definedName>
    <definedName name="b_0">Bootstrapping!$H$32</definedName>
    <definedName name="b_1">Bootstrapping!$H$33</definedName>
    <definedName name="b_2">Bootstrapping!$H$34</definedName>
    <definedName name="b_3">Bootstrapping!$H$35</definedName>
    <definedName name="c_0">Bootstrapping!$I$32</definedName>
    <definedName name="c_1">Bootstrapping!$I$33</definedName>
    <definedName name="c_2">Bootstrapping!$I$34</definedName>
    <definedName name="c_3">Bootstrapping!$I$35</definedName>
    <definedName name="cap_fctr0">Bootstrapping!$D$4</definedName>
    <definedName name="cap_fctr1">Bootstrapping!$D$6</definedName>
    <definedName name="cap_fctr2">Bootstrapping!$D$7</definedName>
    <definedName name="cap_fctr3">Bootstrapping!$D$15</definedName>
    <definedName name="cap_fctr4">Bootstrapping!$D$25</definedName>
    <definedName name="Capit_Factor">Bootstrapping!$D$4:$D$25</definedName>
    <definedName name="d_0">Bootstrapping!$J$32</definedName>
    <definedName name="d_1">Bootstrapping!$J$33</definedName>
    <definedName name="d_2">Bootstrapping!$J$34</definedName>
    <definedName name="d_3">Bootstrapping!$J$35</definedName>
    <definedName name="date">Bootstrapping!$B$4:$B$25</definedName>
    <definedName name="dscnt">Bootstrapping!$E$4:$E$25</definedName>
    <definedName name="libor12M">Inputs!$G$7</definedName>
    <definedName name="libor6M">Inputs!$G$6</definedName>
    <definedName name="month">Bootstrapping!$A$6:$A$25</definedName>
    <definedName name="swap10Y">Inputs!$J$13</definedName>
    <definedName name="swap5Y">Inputs!$J$12</definedName>
    <definedName name="time">Bootstrapping!$C$4:$C$25</definedName>
    <definedName name="time0">Bootstrapping!$C$4</definedName>
    <definedName name="time1">Bootstrapping!$C$6</definedName>
    <definedName name="time2">Bootstrapping!$C$7</definedName>
    <definedName name="time3">Bootstrapping!$C$15</definedName>
    <definedName name="time4">Bootstrapping!$C$25</definedName>
  </definedNames>
  <calcPr calcId="144525" iterate="1" iterateCount="1000" iterateDelta="1e-7" concurrentCalc="0"/>
</workbook>
</file>

<file path=xl/sharedStrings.xml><?xml version="1.0" encoding="utf-8"?>
<sst xmlns="http://schemas.openxmlformats.org/spreadsheetml/2006/main" count="47">
  <si>
    <t>As-Of Date</t>
  </si>
  <si>
    <t>Libor Rate Quotes as of 8/25/2015</t>
  </si>
  <si>
    <t>Month</t>
  </si>
  <si>
    <t>Name</t>
  </si>
  <si>
    <t>Settlement</t>
  </si>
  <si>
    <t>Maturity</t>
  </si>
  <si>
    <t>Day Count</t>
  </si>
  <si>
    <t>Compounding</t>
  </si>
  <si>
    <t>Rate Quote</t>
  </si>
  <si>
    <t>Libor 6M</t>
  </si>
  <si>
    <t>Act/360</t>
  </si>
  <si>
    <t>Simple</t>
  </si>
  <si>
    <t xml:space="preserve">Libor 12M </t>
  </si>
  <si>
    <t>Swap Rate Quotes as of 8/25/2015</t>
  </si>
  <si>
    <t>Fixed Leg</t>
  </si>
  <si>
    <t>Floating Leg</t>
  </si>
  <si>
    <t>Swap Rate Quote</t>
  </si>
  <si>
    <t>Pay Frequency</t>
  </si>
  <si>
    <t>Tenor</t>
  </si>
  <si>
    <t>Swap 5Y</t>
  </si>
  <si>
    <t>30/360</t>
  </si>
  <si>
    <t>Semiannual</t>
  </si>
  <si>
    <t>3M</t>
  </si>
  <si>
    <t>Swap 10Y</t>
  </si>
  <si>
    <t>Libor Rates</t>
  </si>
  <si>
    <t>Swap Rates</t>
  </si>
  <si>
    <t>Cont Spot Rates</t>
  </si>
  <si>
    <t>CF Dates</t>
  </si>
  <si>
    <t>Time (Act/365)</t>
  </si>
  <si>
    <t>Capit Factor</t>
  </si>
  <si>
    <t xml:space="preserve">Zero Bond </t>
  </si>
  <si>
    <t>Computed</t>
  </si>
  <si>
    <t>Input</t>
  </si>
  <si>
    <t>Error</t>
  </si>
  <si>
    <t>Asof</t>
  </si>
  <si>
    <t>Settle</t>
  </si>
  <si>
    <t>Butland Monotone Cubic Spline</t>
  </si>
  <si>
    <t>Node</t>
  </si>
  <si>
    <t>Time</t>
  </si>
  <si>
    <t>Function</t>
  </si>
  <si>
    <t>Delta</t>
  </si>
  <si>
    <t>Delta_Prime</t>
  </si>
  <si>
    <t>Slope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</si>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</sst>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14">
    <numFmt numFmtId="176" formatCode="_(&quot;$&quot;* #,##0.00_);_(&quot;$&quot;* \(#,##0.00\);_(&quot;$&quot;* &quot;-&quot;??_);_(@_)"/>
    <numFmt numFmtId="177" formatCode="_(* #,##0.000000_);_(* \(#,##0.000000\);_(* &quot;-&quot;??_);_(@_)"/>
    <numFmt numFmtId="178" formatCode="0.000000"/>
    <numFmt numFmtId="179" formatCode="0.00000"/>
    <numFmt numFmtId="42" formatCode="_ &quot;￥&quot;* #,##0_ ;_ &quot;￥&quot;* \-#,##0_ ;_ &quot;￥&quot;* &quot;-&quot;_ ;_ @_ "/>
    <numFmt numFmtId="180" formatCode="m/d/yyyy;@"/>
    <numFmt numFmtId="181" formatCode="#,##0.000000"/>
    <numFmt numFmtId="182" formatCode="_(&quot;$&quot;* #,##0.00000_);_(&quot;$&quot;* \(#,##0.00000\);_(&quot;$&quot;* &quot;-&quot;??_);_(@_)"/>
    <numFmt numFmtId="183" formatCode="0.0000%"/>
    <numFmt numFmtId="41" formatCode="_ * #,##0_ ;_ * \-#,##0_ ;_ * &quot;-&quot;_ ;_ @_ "/>
    <numFmt numFmtId="184" formatCode="_(* #,##0.00_);_(* \(#,##0.00\);_(* &quot;-&quot;??_);_(@_)"/>
    <numFmt numFmtId="185" formatCode="0.000000000"/>
    <numFmt numFmtId="186" formatCode="&quot;$&quot;#,##0.000000"/>
    <numFmt numFmtId="187" formatCode="_(&quot;$&quot;* #,##0.000_);_(&quot;$&quot;* \(#,##0.000\);_(&quot;$&quot;* &quot;-&quot;??_);_(@_)"/>
  </numFmts>
  <fonts count="28">
    <font>
      <sz val="10"/>
      <name val="Arial"/>
      <charset val="134"/>
    </font>
    <font>
      <b/>
      <sz val="10"/>
      <name val="Arial"/>
      <charset val="134"/>
    </font>
    <font>
      <sz val="10"/>
      <color theme="9" tint="-0.25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sz val="12"/>
      <color theme="9" tint="-0.25"/>
      <name val="Times New Roman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20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0" fillId="4" borderId="23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" borderId="21" applyNumberFormat="0" applyAlignment="0" applyProtection="0">
      <alignment vertical="center"/>
    </xf>
    <xf numFmtId="0" fontId="8" fillId="3" borderId="20" applyNumberFormat="0" applyAlignment="0" applyProtection="0">
      <alignment vertical="center"/>
    </xf>
    <xf numFmtId="0" fontId="27" fillId="20" borderId="2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</cellStyleXfs>
  <cellXfs count="91">
    <xf numFmtId="0" fontId="0" fillId="0" borderId="0" xfId="49"/>
    <xf numFmtId="0" fontId="1" fillId="0" borderId="0" xfId="49" applyFont="1"/>
    <xf numFmtId="0" fontId="1" fillId="0" borderId="0" xfId="49" applyFont="1" applyBorder="1" applyAlignment="1">
      <alignment horizontal="center"/>
    </xf>
    <xf numFmtId="0" fontId="1" fillId="0" borderId="0" xfId="49" applyFont="1" applyAlignment="1">
      <alignment horizontal="center"/>
    </xf>
    <xf numFmtId="0" fontId="1" fillId="0" borderId="1" xfId="49" applyFont="1" applyBorder="1" applyAlignment="1">
      <alignment horizontal="center"/>
    </xf>
    <xf numFmtId="0" fontId="1" fillId="0" borderId="2" xfId="49" applyFont="1" applyBorder="1"/>
    <xf numFmtId="0" fontId="1" fillId="0" borderId="2" xfId="49" applyFont="1" applyBorder="1" applyAlignment="1">
      <alignment horizontal="center"/>
    </xf>
    <xf numFmtId="0" fontId="1" fillId="0" borderId="3" xfId="49" applyFont="1" applyBorder="1" applyAlignment="1">
      <alignment horizontal="center"/>
    </xf>
    <xf numFmtId="0" fontId="1" fillId="0" borderId="4" xfId="49" applyFont="1" applyBorder="1" applyAlignment="1">
      <alignment horizontal="center"/>
    </xf>
    <xf numFmtId="0" fontId="1" fillId="0" borderId="5" xfId="49" applyFont="1" applyBorder="1" applyAlignment="1">
      <alignment horizontal="center"/>
    </xf>
    <xf numFmtId="0" fontId="0" fillId="2" borderId="0" xfId="49" applyFont="1" applyFill="1" applyAlignment="1">
      <alignment horizontal="center"/>
    </xf>
    <xf numFmtId="180" fontId="1" fillId="2" borderId="3" xfId="49" applyNumberFormat="1" applyFont="1" applyFill="1" applyBorder="1"/>
    <xf numFmtId="0" fontId="1" fillId="2" borderId="4" xfId="49" applyFont="1" applyFill="1" applyBorder="1"/>
    <xf numFmtId="0" fontId="0" fillId="0" borderId="5" xfId="49" applyBorder="1"/>
    <xf numFmtId="0" fontId="0" fillId="0" borderId="6" xfId="49" applyBorder="1"/>
    <xf numFmtId="0" fontId="0" fillId="0" borderId="0" xfId="49" applyBorder="1"/>
    <xf numFmtId="0" fontId="0" fillId="0" borderId="7" xfId="49" applyBorder="1"/>
    <xf numFmtId="0" fontId="0" fillId="0" borderId="0" xfId="49" applyFont="1" applyAlignment="1">
      <alignment horizontal="center"/>
    </xf>
    <xf numFmtId="180" fontId="0" fillId="0" borderId="6" xfId="49" applyNumberFormat="1" applyBorder="1"/>
    <xf numFmtId="178" fontId="0" fillId="0" borderId="0" xfId="49" applyNumberFormat="1" applyBorder="1"/>
    <xf numFmtId="177" fontId="0" fillId="0" borderId="0" xfId="8" applyNumberFormat="1" applyFont="1" applyBorder="1"/>
    <xf numFmtId="185" fontId="0" fillId="0" borderId="7" xfId="49" applyNumberFormat="1" applyBorder="1"/>
    <xf numFmtId="176" fontId="0" fillId="0" borderId="0" xfId="4" applyFont="1" applyBorder="1"/>
    <xf numFmtId="187" fontId="0" fillId="0" borderId="7" xfId="4" applyNumberFormat="1" applyFont="1" applyBorder="1"/>
    <xf numFmtId="0" fontId="0" fillId="2" borderId="0" xfId="49" applyFill="1" applyAlignment="1">
      <alignment horizontal="center"/>
    </xf>
    <xf numFmtId="180" fontId="0" fillId="2" borderId="6" xfId="49" applyNumberFormat="1" applyFill="1" applyBorder="1"/>
    <xf numFmtId="178" fontId="0" fillId="2" borderId="0" xfId="49" applyNumberFormat="1" applyFill="1" applyBorder="1"/>
    <xf numFmtId="177" fontId="0" fillId="2" borderId="0" xfId="8" applyNumberFormat="1" applyFont="1" applyFill="1" applyBorder="1"/>
    <xf numFmtId="183" fontId="0" fillId="0" borderId="6" xfId="11" applyNumberFormat="1" applyFont="1" applyBorder="1"/>
    <xf numFmtId="183" fontId="0" fillId="0" borderId="0" xfId="11" applyNumberFormat="1" applyFont="1" applyBorder="1"/>
    <xf numFmtId="183" fontId="0" fillId="0" borderId="7" xfId="11" applyNumberFormat="1" applyFont="1" applyBorder="1"/>
    <xf numFmtId="0" fontId="0" fillId="0" borderId="0" xfId="49" applyAlignment="1">
      <alignment horizontal="center"/>
    </xf>
    <xf numFmtId="177" fontId="0" fillId="0" borderId="0" xfId="8" applyNumberFormat="1" applyFont="1" applyFill="1" applyBorder="1"/>
    <xf numFmtId="187" fontId="0" fillId="0" borderId="0" xfId="4" applyNumberFormat="1" applyFont="1" applyBorder="1"/>
    <xf numFmtId="180" fontId="0" fillId="2" borderId="8" xfId="49" applyNumberFormat="1" applyFill="1" applyBorder="1"/>
    <xf numFmtId="178" fontId="0" fillId="2" borderId="9" xfId="49" applyNumberFormat="1" applyFill="1" applyBorder="1"/>
    <xf numFmtId="177" fontId="0" fillId="2" borderId="9" xfId="8" applyNumberFormat="1" applyFont="1" applyFill="1" applyBorder="1"/>
    <xf numFmtId="185" fontId="0" fillId="0" borderId="10" xfId="49" applyNumberFormat="1" applyBorder="1"/>
    <xf numFmtId="0" fontId="0" fillId="0" borderId="8" xfId="49" applyBorder="1"/>
    <xf numFmtId="176" fontId="0" fillId="0" borderId="9" xfId="4" applyFont="1" applyBorder="1"/>
    <xf numFmtId="187" fontId="0" fillId="0" borderId="10" xfId="4" applyNumberFormat="1" applyFont="1" applyBorder="1"/>
    <xf numFmtId="180" fontId="0" fillId="0" borderId="0" xfId="49" applyNumberFormat="1"/>
    <xf numFmtId="0" fontId="1" fillId="0" borderId="0" xfId="49" applyFont="1" applyAlignment="1">
      <alignment horizontal="right"/>
    </xf>
    <xf numFmtId="182" fontId="0" fillId="0" borderId="0" xfId="4" applyNumberFormat="1" applyFont="1"/>
    <xf numFmtId="186" fontId="0" fillId="0" borderId="0" xfId="4" applyNumberFormat="1" applyFont="1"/>
    <xf numFmtId="0" fontId="1" fillId="0" borderId="9" xfId="49" applyFont="1" applyBorder="1" applyAlignment="1">
      <alignment horizontal="center"/>
    </xf>
    <xf numFmtId="0" fontId="0" fillId="0" borderId="6" xfId="49" applyFont="1" applyBorder="1" applyAlignment="1">
      <alignment horizontal="center"/>
    </xf>
    <xf numFmtId="179" fontId="0" fillId="0" borderId="0" xfId="49" applyNumberFormat="1" applyFont="1" applyBorder="1" applyAlignment="1">
      <alignment horizontal="center"/>
    </xf>
    <xf numFmtId="181" fontId="0" fillId="0" borderId="0" xfId="8" applyNumberFormat="1" applyFont="1" applyBorder="1"/>
    <xf numFmtId="178" fontId="0" fillId="0" borderId="0" xfId="49" applyNumberFormat="1" applyFont="1" applyBorder="1" applyAlignment="1">
      <alignment horizontal="right"/>
    </xf>
    <xf numFmtId="178" fontId="0" fillId="0" borderId="0" xfId="49" applyNumberFormat="1" applyFont="1" applyBorder="1" applyAlignment="1">
      <alignment horizontal="center"/>
    </xf>
    <xf numFmtId="0" fontId="0" fillId="0" borderId="6" xfId="49" applyBorder="1" applyAlignment="1">
      <alignment horizontal="center"/>
    </xf>
    <xf numFmtId="179" fontId="0" fillId="0" borderId="0" xfId="49" applyNumberFormat="1" applyBorder="1"/>
    <xf numFmtId="0" fontId="0" fillId="0" borderId="8" xfId="49" applyBorder="1" applyAlignment="1">
      <alignment horizontal="center"/>
    </xf>
    <xf numFmtId="179" fontId="0" fillId="0" borderId="9" xfId="49" applyNumberFormat="1" applyBorder="1"/>
    <xf numFmtId="178" fontId="0" fillId="0" borderId="9" xfId="49" applyNumberFormat="1" applyBorder="1"/>
    <xf numFmtId="0" fontId="0" fillId="0" borderId="9" xfId="49" applyBorder="1"/>
    <xf numFmtId="0" fontId="1" fillId="0" borderId="0" xfId="49" applyFont="1" applyFill="1" applyBorder="1" applyAlignment="1">
      <alignment horizontal="center" wrapText="1"/>
    </xf>
    <xf numFmtId="10" fontId="0" fillId="0" borderId="0" xfId="11" applyNumberFormat="1" applyFont="1"/>
    <xf numFmtId="183" fontId="0" fillId="0" borderId="8" xfId="11" applyNumberFormat="1" applyFont="1" applyBorder="1"/>
    <xf numFmtId="183" fontId="0" fillId="0" borderId="9" xfId="11" applyNumberFormat="1" applyFont="1" applyBorder="1"/>
    <xf numFmtId="183" fontId="0" fillId="0" borderId="10" xfId="11" applyNumberFormat="1" applyFont="1" applyBorder="1"/>
    <xf numFmtId="181" fontId="0" fillId="0" borderId="7" xfId="8" applyNumberFormat="1" applyFont="1" applyBorder="1"/>
    <xf numFmtId="0" fontId="0" fillId="0" borderId="10" xfId="49" applyBorder="1"/>
    <xf numFmtId="0" fontId="2" fillId="0" borderId="0" xfId="49" applyFont="1"/>
    <xf numFmtId="0" fontId="3" fillId="0" borderId="0" xfId="49" applyFont="1"/>
    <xf numFmtId="14" fontId="3" fillId="0" borderId="0" xfId="49" applyNumberFormat="1" applyFont="1" applyAlignment="1">
      <alignment horizontal="center"/>
    </xf>
    <xf numFmtId="14" fontId="1" fillId="0" borderId="0" xfId="49" applyNumberFormat="1" applyFont="1" applyAlignment="1">
      <alignment horizontal="center"/>
    </xf>
    <xf numFmtId="0" fontId="4" fillId="0" borderId="11" xfId="49" applyFont="1" applyBorder="1" applyAlignment="1">
      <alignment horizontal="left"/>
    </xf>
    <xf numFmtId="0" fontId="5" fillId="0" borderId="0" xfId="49" applyFont="1" applyAlignment="1">
      <alignment horizontal="center"/>
    </xf>
    <xf numFmtId="0" fontId="6" fillId="0" borderId="12" xfId="49" applyFont="1" applyBorder="1" applyAlignment="1">
      <alignment horizontal="center" wrapText="1"/>
    </xf>
    <xf numFmtId="0" fontId="0" fillId="0" borderId="0" xfId="49" applyAlignment="1">
      <alignment horizontal="center" vertical="center"/>
    </xf>
    <xf numFmtId="14" fontId="6" fillId="0" borderId="13" xfId="49" applyNumberFormat="1" applyFont="1" applyBorder="1" applyAlignment="1">
      <alignment horizontal="center" vertical="center" wrapText="1"/>
    </xf>
    <xf numFmtId="0" fontId="6" fillId="0" borderId="13" xfId="49" applyFont="1" applyBorder="1" applyAlignment="1">
      <alignment horizontal="center" vertical="center" wrapText="1"/>
    </xf>
    <xf numFmtId="183" fontId="6" fillId="0" borderId="13" xfId="49" applyNumberFormat="1" applyFont="1" applyBorder="1" applyAlignment="1">
      <alignment horizontal="center" vertical="center" wrapText="1"/>
    </xf>
    <xf numFmtId="0" fontId="6" fillId="0" borderId="14" xfId="49" applyFont="1" applyBorder="1" applyAlignment="1">
      <alignment horizontal="center" wrapText="1"/>
    </xf>
    <xf numFmtId="0" fontId="6" fillId="0" borderId="15" xfId="49" applyFont="1" applyBorder="1" applyAlignment="1">
      <alignment horizontal="center" wrapText="1"/>
    </xf>
    <xf numFmtId="0" fontId="6" fillId="0" borderId="16" xfId="49" applyFont="1" applyBorder="1" applyAlignment="1">
      <alignment horizontal="center" wrapText="1"/>
    </xf>
    <xf numFmtId="0" fontId="6" fillId="0" borderId="17" xfId="49" applyFont="1" applyBorder="1" applyAlignment="1">
      <alignment horizontal="center"/>
    </xf>
    <xf numFmtId="0" fontId="6" fillId="0" borderId="18" xfId="49" applyFont="1" applyBorder="1" applyAlignment="1">
      <alignment horizontal="center"/>
    </xf>
    <xf numFmtId="0" fontId="6" fillId="0" borderId="19" xfId="49" applyFont="1" applyBorder="1" applyAlignment="1">
      <alignment horizontal="center"/>
    </xf>
    <xf numFmtId="0" fontId="6" fillId="0" borderId="11" xfId="49" applyFont="1" applyBorder="1" applyAlignment="1">
      <alignment horizontal="center" wrapText="1"/>
    </xf>
    <xf numFmtId="0" fontId="6" fillId="0" borderId="12" xfId="49" applyFont="1" applyFill="1" applyBorder="1" applyAlignment="1">
      <alignment horizontal="center" wrapText="1"/>
    </xf>
    <xf numFmtId="0" fontId="6" fillId="0" borderId="12" xfId="49" applyFont="1" applyBorder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7" fillId="0" borderId="14" xfId="49" applyFont="1" applyBorder="1" applyAlignment="1">
      <alignment horizontal="center" wrapText="1"/>
    </xf>
    <xf numFmtId="14" fontId="7" fillId="0" borderId="13" xfId="49" applyNumberFormat="1" applyFont="1" applyBorder="1" applyAlignment="1">
      <alignment horizontal="center" vertical="center" wrapText="1"/>
    </xf>
    <xf numFmtId="0" fontId="7" fillId="0" borderId="13" xfId="49" applyFont="1" applyBorder="1" applyAlignment="1">
      <alignment horizontal="center" vertical="center" wrapText="1"/>
    </xf>
    <xf numFmtId="0" fontId="2" fillId="0" borderId="12" xfId="49" applyFont="1" applyBorder="1" applyAlignment="1">
      <alignment horizontal="center"/>
    </xf>
    <xf numFmtId="0" fontId="5" fillId="0" borderId="0" xfId="49" applyFont="1"/>
    <xf numFmtId="183" fontId="7" fillId="0" borderId="13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600" b="1">
                <a:solidFill>
                  <a:srgbClr val="000000"/>
                </a:solidFill>
              </a:defRPr>
            </a:pPr>
            <a:r>
              <a:rPr lang="en-US" sz="1600" b="1"/>
              <a:t>Continuous Spot Rates</a:t>
            </a:r>
            <a:endParaRPr lang="en-US" sz="1600" b="1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666920112891"/>
          <c:y val="0.138558433620455"/>
          <c:w val="0.887264885669979"/>
          <c:h val="0.796075216625319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Bootstrapping!$C$5:$C$25</c:f>
              <c:numCache>
                <c:formatCode>0.000000</c:formatCode>
                <c:ptCount val="21"/>
                <c:pt idx="0">
                  <c:v>0.00547945205479452</c:v>
                </c:pt>
                <c:pt idx="1">
                  <c:v>0.50958904109589</c:v>
                </c:pt>
                <c:pt idx="2">
                  <c:v>1.00821917808219</c:v>
                </c:pt>
                <c:pt idx="3">
                  <c:v>1.51232876712329</c:v>
                </c:pt>
                <c:pt idx="4">
                  <c:v>2.00821917808219</c:v>
                </c:pt>
                <c:pt idx="5">
                  <c:v>2.51232876712329</c:v>
                </c:pt>
                <c:pt idx="6">
                  <c:v>3.00821917808219</c:v>
                </c:pt>
                <c:pt idx="7">
                  <c:v>3.51232876712329</c:v>
                </c:pt>
                <c:pt idx="8">
                  <c:v>4.00821917808219</c:v>
                </c:pt>
                <c:pt idx="9">
                  <c:v>4.51232876712329</c:v>
                </c:pt>
                <c:pt idx="10">
                  <c:v>5.01095890410959</c:v>
                </c:pt>
                <c:pt idx="11">
                  <c:v>5.51506849315069</c:v>
                </c:pt>
                <c:pt idx="12">
                  <c:v>6.01095890410959</c:v>
                </c:pt>
                <c:pt idx="13">
                  <c:v>6.51506849315069</c:v>
                </c:pt>
                <c:pt idx="14">
                  <c:v>7.01095890410959</c:v>
                </c:pt>
                <c:pt idx="15">
                  <c:v>7.51506849315069</c:v>
                </c:pt>
                <c:pt idx="16">
                  <c:v>8.01095890410959</c:v>
                </c:pt>
                <c:pt idx="17">
                  <c:v>8.51506849315068</c:v>
                </c:pt>
                <c:pt idx="18">
                  <c:v>9.01369863013699</c:v>
                </c:pt>
                <c:pt idx="19">
                  <c:v>9.51780821917808</c:v>
                </c:pt>
                <c:pt idx="20">
                  <c:v>10.013698630137</c:v>
                </c:pt>
              </c:numCache>
            </c:numRef>
          </c:xVal>
          <c:yVal>
            <c:numRef>
              <c:f>Bootstrapping!$L$5:$L$25</c:f>
              <c:numCache>
                <c:formatCode>0.00%</c:formatCode>
                <c:ptCount val="21"/>
                <c:pt idx="0">
                  <c:v>0.0036003337953822</c:v>
                </c:pt>
                <c:pt idx="1">
                  <c:v>0.00361086686051909</c:v>
                </c:pt>
                <c:pt idx="2">
                  <c:v>0.00496041944293355</c:v>
                </c:pt>
                <c:pt idx="3">
                  <c:v>0.00700314423305767</c:v>
                </c:pt>
                <c:pt idx="4">
                  <c:v>0.00875258259528439</c:v>
                </c:pt>
                <c:pt idx="5">
                  <c:v>0.0103314073637744</c:v>
                </c:pt>
                <c:pt idx="6">
                  <c:v>0.0117093430990257</c:v>
                </c:pt>
                <c:pt idx="7">
                  <c:v>0.012941401259821</c:v>
                </c:pt>
                <c:pt idx="8">
                  <c:v>0.0139919812350776</c:v>
                </c:pt>
                <c:pt idx="9">
                  <c:v>0.0148985126623767</c:v>
                </c:pt>
                <c:pt idx="10">
                  <c:v>0.0156365911965063</c:v>
                </c:pt>
                <c:pt idx="11">
                  <c:v>0.0163995997632522</c:v>
                </c:pt>
                <c:pt idx="12">
                  <c:v>0.0172664479161082</c:v>
                </c:pt>
                <c:pt idx="13">
                  <c:v>0.018181882156056</c:v>
                </c:pt>
                <c:pt idx="14">
                  <c:v>0.0190573232828846</c:v>
                </c:pt>
                <c:pt idx="15">
                  <c:v>0.0198777377082164</c:v>
                </c:pt>
                <c:pt idx="16">
                  <c:v>0.0205840340509102</c:v>
                </c:pt>
                <c:pt idx="17">
                  <c:v>0.0211743340510314</c:v>
                </c:pt>
                <c:pt idx="18">
                  <c:v>0.0216121164957518</c:v>
                </c:pt>
                <c:pt idx="19">
                  <c:v>0.0218913994857293</c:v>
                </c:pt>
                <c:pt idx="20">
                  <c:v>0.0219937413681408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5724800"/>
        <c:axId val="235726336"/>
      </c:scatterChart>
      <c:valAx>
        <c:axId val="23572480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235726336"/>
        <c:crosses val="autoZero"/>
        <c:crossBetween val="midCat"/>
      </c:valAx>
      <c:valAx>
        <c:axId val="23572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2357248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600" b="1">
                <a:solidFill>
                  <a:srgbClr val="000000"/>
                </a:solidFill>
              </a:defRPr>
            </a:pPr>
            <a:r>
              <a:rPr lang="en-US" sz="1600" b="1"/>
              <a:t>Capitalization</a:t>
            </a:r>
            <a:r>
              <a:rPr lang="en-US" sz="1600" b="1" baseline="0"/>
              <a:t> Factor</a:t>
            </a:r>
            <a:endParaRPr lang="en-US" sz="1600" b="1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666920112891"/>
          <c:y val="0.138558433620455"/>
          <c:w val="0.887264885669979"/>
          <c:h val="0.796075216625319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Bootstrapping!$C$4:$C$25</c:f>
              <c:numCache>
                <c:formatCode>General</c:formatCode>
                <c:ptCount val="22"/>
                <c:pt idx="0" c:formatCode="General">
                  <c:v>0</c:v>
                </c:pt>
                <c:pt idx="1" c:formatCode="0.000000">
                  <c:v>0.00547945205479452</c:v>
                </c:pt>
                <c:pt idx="2" c:formatCode="0.000000">
                  <c:v>0.50958904109589</c:v>
                </c:pt>
                <c:pt idx="3" c:formatCode="0.000000">
                  <c:v>1.00821917808219</c:v>
                </c:pt>
                <c:pt idx="4" c:formatCode="0.000000">
                  <c:v>1.51232876712329</c:v>
                </c:pt>
                <c:pt idx="5" c:formatCode="0.000000">
                  <c:v>2.00821917808219</c:v>
                </c:pt>
                <c:pt idx="6" c:formatCode="0.000000">
                  <c:v>2.51232876712329</c:v>
                </c:pt>
                <c:pt idx="7" c:formatCode="0.000000">
                  <c:v>3.00821917808219</c:v>
                </c:pt>
                <c:pt idx="8" c:formatCode="0.000000">
                  <c:v>3.51232876712329</c:v>
                </c:pt>
                <c:pt idx="9" c:formatCode="0.000000">
                  <c:v>4.00821917808219</c:v>
                </c:pt>
                <c:pt idx="10" c:formatCode="0.000000">
                  <c:v>4.51232876712329</c:v>
                </c:pt>
                <c:pt idx="11" c:formatCode="0.000000">
                  <c:v>5.01095890410959</c:v>
                </c:pt>
                <c:pt idx="12" c:formatCode="0.000000">
                  <c:v>5.51506849315069</c:v>
                </c:pt>
                <c:pt idx="13" c:formatCode="0.000000">
                  <c:v>6.01095890410959</c:v>
                </c:pt>
                <c:pt idx="14" c:formatCode="0.000000">
                  <c:v>6.51506849315069</c:v>
                </c:pt>
                <c:pt idx="15" c:formatCode="0.000000">
                  <c:v>7.01095890410959</c:v>
                </c:pt>
                <c:pt idx="16" c:formatCode="0.000000">
                  <c:v>7.51506849315069</c:v>
                </c:pt>
                <c:pt idx="17" c:formatCode="0.000000">
                  <c:v>8.01095890410959</c:v>
                </c:pt>
                <c:pt idx="18" c:formatCode="0.000000">
                  <c:v>8.51506849315068</c:v>
                </c:pt>
                <c:pt idx="19" c:formatCode="0.000000">
                  <c:v>9.01369863013699</c:v>
                </c:pt>
                <c:pt idx="20" c:formatCode="0.000000">
                  <c:v>9.51780821917808</c:v>
                </c:pt>
                <c:pt idx="21" c:formatCode="0.000000">
                  <c:v>10.013698630137</c:v>
                </c:pt>
              </c:numCache>
            </c:numRef>
          </c:xVal>
          <c:yVal>
            <c:numRef>
              <c:f>Bootstrapping!$D$4:$D$25</c:f>
              <c:numCache>
                <c:formatCode>General</c:formatCode>
                <c:ptCount val="22"/>
                <c:pt idx="0" c:formatCode="General">
                  <c:v>0</c:v>
                </c:pt>
                <c:pt idx="1" c:formatCode="_(* #,##0.000000_);_(* \(#,##0.000000\);_(* &quot;-&quot;??_);_(@_)">
                  <c:v>1.97278564130532e-5</c:v>
                </c:pt>
                <c:pt idx="2" c:formatCode="_(* #,##0.000000_);_(* \(#,##0.000000\);_(* &quot;-&quot;??_);_(@_)">
                  <c:v>0.00184005818097685</c:v>
                </c:pt>
                <c:pt idx="3" c:formatCode="_(* #,##0.000000_);_(* \(#,##0.000000\);_(* &quot;-&quot;??_);_(@_)">
                  <c:v>0.00500119001369738</c:v>
                </c:pt>
                <c:pt idx="4" c:formatCode="_(* #,##0.000000_);_(* \(#,##0.000000\);_(* &quot;-&quot;??_);_(@_)">
                  <c:v>0.0105910564839667</c:v>
                </c:pt>
                <c:pt idx="5" c:formatCode="_(* #,##0.000000_);_(* \(#,##0.000000\);_(* &quot;-&quot;??_);_(@_)">
                  <c:v>0.0175771042255985</c:v>
                </c:pt>
                <c:pt idx="6" c:formatCode="_(* #,##0.000000_);_(* \(#,##0.000000\);_(* &quot;-&quot;??_);_(@_)">
                  <c:v>0.0259558919248799</c:v>
                </c:pt>
                <c:pt idx="7" c:formatCode="_(* #,##0.000000_);_(* \(#,##0.000000\);_(* &quot;-&quot;??_);_(@_)">
                  <c:v>0.0352242704732334</c:v>
                </c:pt>
                <c:pt idx="8" c:formatCode="_(* #,##0.000000_);_(* \(#,##0.000000\);_(* &quot;-&quot;??_);_(@_)">
                  <c:v>0.0454544559317547</c:v>
                </c:pt>
                <c:pt idx="9" c:formatCode="_(* #,##0.000000_);_(* \(#,##0.000000\);_(* &quot;-&quot;??_);_(@_)">
                  <c:v>0.056082927525804</c:v>
                </c:pt>
                <c:pt idx="10" c:formatCode="_(* #,##0.000000_);_(* \(#,##0.000000\);_(* &quot;-&quot;??_);_(@_)">
                  <c:v>0.0672269872737929</c:v>
                </c:pt>
                <c:pt idx="11" c:formatCode="_(* #,##0.000000_);_(* \(#,##0.000000\);_(* &quot;-&quot;??_);_(@_)">
                  <c:v>0.078354315886055</c:v>
                </c:pt>
                <c:pt idx="12" c:formatCode="_(* #,##0.000000_);_(* \(#,##0.000000\);_(* &quot;-&quot;??_);_(@_)">
                  <c:v>0.0904449159545936</c:v>
                </c:pt>
                <c:pt idx="13" c:formatCode="_(* #,##0.000000_);_(* \(#,##0.000000\);_(* &quot;-&quot;??_);_(@_)">
                  <c:v>0.103787908843675</c:v>
                </c:pt>
                <c:pt idx="14" c:formatCode="_(* #,##0.000000_);_(* \(#,##0.000000\);_(* &quot;-&quot;??_);_(@_)">
                  <c:v>0.118456207581099</c:v>
                </c:pt>
                <c:pt idx="15" c:formatCode="_(* #,##0.000000_);_(* \(#,##0.000000\);_(* &quot;-&quot;??_);_(@_)">
                  <c:v>0.133610110358635</c:v>
                </c:pt>
                <c:pt idx="16" c:formatCode="_(* #,##0.000000_);_(* \(#,##0.000000\);_(* &quot;-&quot;??_);_(@_)">
                  <c:v>0.14938256036613</c:v>
                </c:pt>
                <c:pt idx="17" c:formatCode="_(* #,##0.000000_);_(* \(#,##0.000000\);_(* &quot;-&quot;??_);_(@_)">
                  <c:v>0.164897850862634</c:v>
                </c:pt>
                <c:pt idx="18" c:formatCode="_(* #,##0.000000_);_(* \(#,##0.000000\);_(* &quot;-&quot;??_);_(@_)">
                  <c:v>0.180300904741385</c:v>
                </c:pt>
                <c:pt idx="19" c:formatCode="_(* #,##0.000000_);_(* \(#,##0.000000\);_(* &quot;-&quot;??_);_(@_)">
                  <c:v>0.194805104852119</c:v>
                </c:pt>
                <c:pt idx="20" c:formatCode="_(* #,##0.000000_);_(* \(#,##0.000000\);_(* &quot;-&quot;??_);_(@_)">
                  <c:v>0.208358141954585</c:v>
                </c:pt>
                <c:pt idx="21" c:formatCode="_(* #,##0.000000_);_(* \(#,##0.000000\);_(* &quot;-&quot;??_);_(@_)">
                  <c:v>0.220238697809739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5897984"/>
        <c:axId val="235899520"/>
      </c:scatterChart>
      <c:valAx>
        <c:axId val="23589798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235899520"/>
        <c:crosses val="autoZero"/>
        <c:crossBetween val="midCat"/>
      </c:valAx>
      <c:valAx>
        <c:axId val="235899520"/>
        <c:scaling>
          <c:orientation val="minMax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235897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200025</xdr:colOff>
      <xdr:row>27</xdr:row>
      <xdr:rowOff>38100</xdr:rowOff>
    </xdr:from>
    <xdr:to>
      <xdr:col>22</xdr:col>
      <xdr:colOff>276225</xdr:colOff>
      <xdr:row>50</xdr:row>
      <xdr:rowOff>38100</xdr:rowOff>
    </xdr:to>
    <xdr:graphicFrame>
      <xdr:nvGraphicFramePr>
        <xdr:cNvPr id="7202" name="Chart 1"/>
        <xdr:cNvGraphicFramePr/>
      </xdr:nvGraphicFramePr>
      <xdr:xfrm>
        <a:off x="9048750" y="4410075"/>
        <a:ext cx="6076950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</xdr:row>
      <xdr:rowOff>142876</xdr:rowOff>
    </xdr:from>
    <xdr:to>
      <xdr:col>22</xdr:col>
      <xdr:colOff>276225</xdr:colOff>
      <xdr:row>24</xdr:row>
      <xdr:rowOff>123825</xdr:rowOff>
    </xdr:to>
    <xdr:graphicFrame>
      <xdr:nvGraphicFramePr>
        <xdr:cNvPr id="4" name="Chart 1"/>
        <xdr:cNvGraphicFramePr/>
      </xdr:nvGraphicFramePr>
      <xdr:xfrm>
        <a:off x="9067800" y="304800"/>
        <a:ext cx="6057900" cy="370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workbookViewId="0">
      <selection activeCell="F17" sqref="F17"/>
    </sheetView>
  </sheetViews>
  <sheetFormatPr defaultColWidth="9" defaultRowHeight="12.75"/>
  <cols>
    <col min="1" max="1" width="7.42857142857143" customWidth="1"/>
    <col min="2" max="2" width="12.4285714285714" customWidth="1"/>
    <col min="3" max="3" width="13.8571428571429" customWidth="1"/>
    <col min="4" max="4" width="14.7142857142857" customWidth="1"/>
    <col min="5" max="5" width="14" customWidth="1"/>
    <col min="6" max="7" width="15.1428571428571" customWidth="1"/>
    <col min="8" max="8" width="13.1428571428571" customWidth="1"/>
    <col min="9" max="9" width="14.7142857142857" customWidth="1"/>
    <col min="10" max="10" width="13.5714285714286" customWidth="1"/>
    <col min="13" max="13" width="16.7142857142857" customWidth="1"/>
  </cols>
  <sheetData>
    <row r="1" customHeight="1" spans="1:1">
      <c r="A1" s="65"/>
    </row>
    <row r="2" ht="15.75" spans="2:3">
      <c r="B2" s="65" t="s">
        <v>0</v>
      </c>
      <c r="C2" s="66">
        <v>42241</v>
      </c>
    </row>
    <row r="3" spans="2:3">
      <c r="B3" s="1"/>
      <c r="C3" s="67"/>
    </row>
    <row r="4" ht="18" customHeight="1" spans="2:7">
      <c r="B4" s="68" t="s">
        <v>1</v>
      </c>
      <c r="C4" s="68"/>
      <c r="D4" s="68"/>
      <c r="E4" s="68"/>
      <c r="F4" s="68"/>
      <c r="G4" s="68"/>
    </row>
    <row r="5" ht="16.5" spans="1:7">
      <c r="A5" s="69" t="s">
        <v>2</v>
      </c>
      <c r="B5" s="70" t="s">
        <v>3</v>
      </c>
      <c r="C5" s="70" t="s">
        <v>4</v>
      </c>
      <c r="D5" s="70" t="s">
        <v>5</v>
      </c>
      <c r="E5" s="70" t="s">
        <v>6</v>
      </c>
      <c r="F5" s="70" t="s">
        <v>7</v>
      </c>
      <c r="G5" s="70" t="s">
        <v>8</v>
      </c>
    </row>
    <row r="6" ht="16.5" spans="1:7">
      <c r="A6" s="71">
        <v>6</v>
      </c>
      <c r="B6" s="70" t="s">
        <v>9</v>
      </c>
      <c r="C6" s="72">
        <f>AsOfDate+2</f>
        <v>42243</v>
      </c>
      <c r="D6" s="72">
        <f t="shared" ref="D6:D7" si="0">DATE(YEAR(C6),MONTH(C6)+A6,DAY(C6))</f>
        <v>42427</v>
      </c>
      <c r="E6" s="73" t="s">
        <v>10</v>
      </c>
      <c r="F6" s="73" t="s">
        <v>11</v>
      </c>
      <c r="G6" s="74">
        <v>0.003565</v>
      </c>
    </row>
    <row r="7" ht="16.5" spans="1:7">
      <c r="A7" s="71">
        <v>12</v>
      </c>
      <c r="B7" s="75" t="s">
        <v>12</v>
      </c>
      <c r="C7" s="72">
        <f>AsOfDate+2</f>
        <v>42243</v>
      </c>
      <c r="D7" s="72">
        <f t="shared" si="0"/>
        <v>42609</v>
      </c>
      <c r="E7" s="73" t="s">
        <v>10</v>
      </c>
      <c r="F7" s="73" t="s">
        <v>11</v>
      </c>
      <c r="G7" s="74">
        <v>0.004912</v>
      </c>
    </row>
    <row r="9" ht="15.75" spans="2:10">
      <c r="B9" s="68" t="s">
        <v>13</v>
      </c>
      <c r="C9" s="68"/>
      <c r="D9" s="68"/>
      <c r="E9" s="68"/>
      <c r="F9" s="68"/>
      <c r="G9" s="68"/>
      <c r="H9" s="68"/>
      <c r="I9" s="68"/>
      <c r="J9" s="68"/>
    </row>
    <row r="10" ht="16.5" spans="2:10">
      <c r="B10" s="76" t="s">
        <v>3</v>
      </c>
      <c r="C10" s="77" t="s">
        <v>4</v>
      </c>
      <c r="D10" s="76" t="s">
        <v>5</v>
      </c>
      <c r="E10" s="78" t="s">
        <v>14</v>
      </c>
      <c r="F10" s="79"/>
      <c r="G10" s="78" t="s">
        <v>15</v>
      </c>
      <c r="H10" s="80"/>
      <c r="I10" s="79"/>
      <c r="J10" s="76" t="s">
        <v>16</v>
      </c>
    </row>
    <row r="11" ht="18.75" customHeight="1" spans="1:10">
      <c r="A11" s="69" t="s">
        <v>2</v>
      </c>
      <c r="B11" s="75"/>
      <c r="C11" s="81"/>
      <c r="D11" s="75"/>
      <c r="E11" s="70" t="s">
        <v>6</v>
      </c>
      <c r="F11" s="70" t="s">
        <v>17</v>
      </c>
      <c r="G11" s="82" t="s">
        <v>18</v>
      </c>
      <c r="H11" s="82" t="s">
        <v>6</v>
      </c>
      <c r="I11" s="82" t="s">
        <v>7</v>
      </c>
      <c r="J11" s="75"/>
    </row>
    <row r="12" ht="16.5" spans="1:10">
      <c r="A12" s="71">
        <v>60</v>
      </c>
      <c r="B12" s="70" t="s">
        <v>19</v>
      </c>
      <c r="C12" s="72">
        <f>AsOfDate+2</f>
        <v>42243</v>
      </c>
      <c r="D12" s="72">
        <f t="shared" ref="D12:D13" si="1">DATE(YEAR(C12),MONTH(C12)+A12,DAY(C12))</f>
        <v>44070</v>
      </c>
      <c r="E12" s="73" t="s">
        <v>20</v>
      </c>
      <c r="F12" s="73" t="s">
        <v>21</v>
      </c>
      <c r="G12" s="17" t="s">
        <v>22</v>
      </c>
      <c r="H12" s="83" t="s">
        <v>10</v>
      </c>
      <c r="I12" s="73" t="s">
        <v>11</v>
      </c>
      <c r="J12" s="74">
        <v>0.01559</v>
      </c>
    </row>
    <row r="13" s="64" customFormat="1" ht="16.5" spans="1:10">
      <c r="A13" s="84">
        <v>120</v>
      </c>
      <c r="B13" s="85" t="s">
        <v>23</v>
      </c>
      <c r="C13" s="86">
        <f>AsOfDate+2</f>
        <v>42243</v>
      </c>
      <c r="D13" s="86">
        <f t="shared" si="1"/>
        <v>45896</v>
      </c>
      <c r="E13" s="87" t="s">
        <v>20</v>
      </c>
      <c r="F13" s="87" t="s">
        <v>21</v>
      </c>
      <c r="G13" s="88" t="s">
        <v>22</v>
      </c>
      <c r="H13" s="87" t="s">
        <v>10</v>
      </c>
      <c r="I13" s="87" t="s">
        <v>11</v>
      </c>
      <c r="J13" s="90">
        <v>0.02169</v>
      </c>
    </row>
    <row r="27" ht="15" spans="7:7">
      <c r="G27" s="89"/>
    </row>
    <row r="39" ht="15" customHeight="1"/>
  </sheetData>
  <mergeCells count="8">
    <mergeCell ref="B4:G4"/>
    <mergeCell ref="B9:J9"/>
    <mergeCell ref="E10:F10"/>
    <mergeCell ref="G10:I10"/>
    <mergeCell ref="B10:B11"/>
    <mergeCell ref="C10:C11"/>
    <mergeCell ref="D10:D11"/>
    <mergeCell ref="J10:J11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36"/>
  <sheetViews>
    <sheetView tabSelected="1" workbookViewId="0">
      <selection activeCell="I25" sqref="I25"/>
    </sheetView>
  </sheetViews>
  <sheetFormatPr defaultColWidth="9" defaultRowHeight="12.75"/>
  <cols>
    <col min="1" max="1" width="7.71428571428571" customWidth="1"/>
    <col min="3" max="3" width="13.8571428571429" customWidth="1"/>
    <col min="4" max="4" width="14.7142857142857" customWidth="1"/>
    <col min="5" max="5" width="13.1428571428571" customWidth="1"/>
    <col min="6" max="6" width="10.7142857142857" customWidth="1"/>
    <col min="7" max="7" width="11.7142857142857" customWidth="1"/>
    <col min="8" max="8" width="9.28571428571429" customWidth="1"/>
    <col min="9" max="9" width="11.7142857142857" customWidth="1"/>
    <col min="10" max="10" width="11" customWidth="1"/>
    <col min="12" max="12" width="10.8571428571429" customWidth="1"/>
  </cols>
  <sheetData>
    <row r="2" spans="2:12">
      <c r="B2" s="1"/>
      <c r="C2" s="1"/>
      <c r="D2" s="1"/>
      <c r="E2" s="1"/>
      <c r="F2" s="2" t="s">
        <v>24</v>
      </c>
      <c r="G2" s="2"/>
      <c r="H2" s="2"/>
      <c r="I2" s="2" t="s">
        <v>25</v>
      </c>
      <c r="J2" s="2"/>
      <c r="K2" s="2"/>
      <c r="L2" s="57" t="s">
        <v>26</v>
      </c>
    </row>
    <row r="3" spans="1:12">
      <c r="A3" s="3" t="s">
        <v>2</v>
      </c>
      <c r="B3" s="4" t="s">
        <v>27</v>
      </c>
      <c r="C3" s="5" t="s">
        <v>28</v>
      </c>
      <c r="D3" s="6" t="s">
        <v>29</v>
      </c>
      <c r="E3" s="6" t="s">
        <v>30</v>
      </c>
      <c r="F3" s="7" t="s">
        <v>31</v>
      </c>
      <c r="G3" s="8" t="s">
        <v>32</v>
      </c>
      <c r="H3" s="9" t="s">
        <v>33</v>
      </c>
      <c r="I3" s="7" t="s">
        <v>31</v>
      </c>
      <c r="J3" s="8" t="s">
        <v>32</v>
      </c>
      <c r="K3" s="9" t="s">
        <v>33</v>
      </c>
      <c r="L3" s="57"/>
    </row>
    <row r="4" spans="1:11">
      <c r="A4" s="10" t="s">
        <v>34</v>
      </c>
      <c r="B4" s="11">
        <f>AsOfDate</f>
        <v>42241</v>
      </c>
      <c r="C4" s="12">
        <f t="shared" ref="C4:C25" si="0">(date-AsOfDate)/365</f>
        <v>0</v>
      </c>
      <c r="D4" s="12">
        <v>0</v>
      </c>
      <c r="E4" s="13">
        <f t="shared" ref="E4:E25" si="1">EXP(-Capit_Factor)</f>
        <v>1</v>
      </c>
      <c r="F4" s="14"/>
      <c r="G4" s="15"/>
      <c r="H4" s="16"/>
      <c r="I4" s="14"/>
      <c r="J4" s="15"/>
      <c r="K4" s="16"/>
    </row>
    <row r="5" spans="1:12">
      <c r="A5" s="17" t="s">
        <v>35</v>
      </c>
      <c r="B5" s="18">
        <f>AsOfDate+2</f>
        <v>42243</v>
      </c>
      <c r="C5" s="19">
        <f t="shared" si="0"/>
        <v>0.00547945205479452</v>
      </c>
      <c r="D5" s="20">
        <f>a_0+b_0*(time-time0)+c_0*(time-time0)^2+d_0*(time-time0)^3</f>
        <v>1.97278564130532e-5</v>
      </c>
      <c r="E5" s="21">
        <f t="shared" si="1"/>
        <v>0.99998027233818</v>
      </c>
      <c r="F5" s="14"/>
      <c r="G5" s="22"/>
      <c r="H5" s="23"/>
      <c r="I5" s="14"/>
      <c r="J5" s="15"/>
      <c r="K5" s="16"/>
      <c r="L5" s="58">
        <f>Capit_Factor/time</f>
        <v>0.0036003337953822</v>
      </c>
    </row>
    <row r="6" spans="1:12">
      <c r="A6" s="24">
        <v>6</v>
      </c>
      <c r="B6" s="25">
        <f>DATE(YEAR($B$5),MONTH($B$5)+month,DAY($B$5))</f>
        <v>42427</v>
      </c>
      <c r="C6" s="26">
        <f t="shared" si="0"/>
        <v>0.50958904109589</v>
      </c>
      <c r="D6" s="27">
        <v>0.00184005818097685</v>
      </c>
      <c r="E6" s="21">
        <f t="shared" si="1"/>
        <v>0.998161633688206</v>
      </c>
      <c r="F6" s="28">
        <f>($E$5/E6-1)*360/(B6-$B$5)</f>
        <v>0.00356475938786472</v>
      </c>
      <c r="G6" s="29">
        <f>libor6M</f>
        <v>0.003565</v>
      </c>
      <c r="H6" s="30">
        <f>F6-G6</f>
        <v>-2.40612135277238e-7</v>
      </c>
      <c r="I6" s="14"/>
      <c r="J6" s="15"/>
      <c r="K6" s="16"/>
      <c r="L6" s="58">
        <f t="shared" ref="L5:L25" si="2">Capit_Factor/time</f>
        <v>0.00361086686051909</v>
      </c>
    </row>
    <row r="7" spans="1:12">
      <c r="A7" s="24">
        <f>A6+6</f>
        <v>12</v>
      </c>
      <c r="B7" s="25">
        <f>DATE(YEAR($B$5),MONTH($B$5)+month,DAY($B$5))</f>
        <v>42609</v>
      </c>
      <c r="C7" s="26">
        <f t="shared" si="0"/>
        <v>1.00821917808219</v>
      </c>
      <c r="D7" s="27">
        <v>0.00500119001369738</v>
      </c>
      <c r="E7" s="21">
        <f>EXP(-Capit_Factor)</f>
        <v>0.995011295114907</v>
      </c>
      <c r="F7" s="28">
        <f>($E$5/E7-1)*360/(B7-$B$5)</f>
        <v>0.00491202321447363</v>
      </c>
      <c r="G7" s="29">
        <f>libor12M</f>
        <v>0.004912</v>
      </c>
      <c r="H7" s="30">
        <f>F7-G7</f>
        <v>2.32144736350692e-8</v>
      </c>
      <c r="I7" s="14"/>
      <c r="J7" s="15"/>
      <c r="K7" s="16"/>
      <c r="L7" s="58">
        <f t="shared" si="2"/>
        <v>0.00496041944293355</v>
      </c>
    </row>
    <row r="8" spans="1:12">
      <c r="A8" s="31">
        <f t="shared" ref="A8:A25" si="3">A7+6</f>
        <v>18</v>
      </c>
      <c r="B8" s="18">
        <f>DATE(YEAR($B$5),MONTH($B$5)+month,DAY($B$5))</f>
        <v>42793</v>
      </c>
      <c r="C8" s="19">
        <f t="shared" si="0"/>
        <v>1.51232876712329</v>
      </c>
      <c r="D8" s="32">
        <f t="shared" ref="D8:D14" si="4">a_2+b_2*(time-time2)+c_2*(time-time2)^2+d_2*(time-time2)^3</f>
        <v>0.0105910564839667</v>
      </c>
      <c r="E8" s="21">
        <f t="shared" si="1"/>
        <v>0.989464831277263</v>
      </c>
      <c r="F8" s="14"/>
      <c r="G8" s="33"/>
      <c r="H8" s="23"/>
      <c r="I8" s="14"/>
      <c r="J8" s="15"/>
      <c r="K8" s="16"/>
      <c r="L8" s="58">
        <f>Capit_Factor/time</f>
        <v>0.00700314423305767</v>
      </c>
    </row>
    <row r="9" spans="1:12">
      <c r="A9" s="31">
        <f t="shared" si="3"/>
        <v>24</v>
      </c>
      <c r="B9" s="18">
        <f>DATE(YEAR($B$5),MONTH($B$5)+month,DAY($B$5))</f>
        <v>42974</v>
      </c>
      <c r="C9" s="19">
        <f t="shared" si="0"/>
        <v>2.00821917808219</v>
      </c>
      <c r="D9" s="32">
        <f t="shared" si="4"/>
        <v>0.0175771042255985</v>
      </c>
      <c r="E9" s="21">
        <f t="shared" si="1"/>
        <v>0.982576471946298</v>
      </c>
      <c r="F9" s="14"/>
      <c r="G9" s="33"/>
      <c r="H9" s="23"/>
      <c r="I9" s="14"/>
      <c r="J9" s="15"/>
      <c r="K9" s="16"/>
      <c r="L9" s="58">
        <f t="shared" si="2"/>
        <v>0.00875258259528439</v>
      </c>
    </row>
    <row r="10" spans="1:12">
      <c r="A10" s="31">
        <f t="shared" si="3"/>
        <v>30</v>
      </c>
      <c r="B10" s="18">
        <f>DATE(YEAR($B$5),MONTH($B$5)+month,DAY($B$5))</f>
        <v>43158</v>
      </c>
      <c r="C10" s="19">
        <f t="shared" si="0"/>
        <v>2.51232876712329</v>
      </c>
      <c r="D10" s="32">
        <f t="shared" si="4"/>
        <v>0.0259558919248799</v>
      </c>
      <c r="E10" s="21">
        <f t="shared" si="1"/>
        <v>0.974378066601883</v>
      </c>
      <c r="F10" s="14"/>
      <c r="G10" s="33"/>
      <c r="H10" s="23"/>
      <c r="I10" s="14"/>
      <c r="J10" s="15"/>
      <c r="K10" s="16"/>
      <c r="L10" s="58">
        <f t="shared" si="2"/>
        <v>0.0103314073637744</v>
      </c>
    </row>
    <row r="11" spans="1:12">
      <c r="A11" s="31">
        <f t="shared" si="3"/>
        <v>36</v>
      </c>
      <c r="B11" s="18">
        <f>DATE(YEAR($B$5),MONTH($B$5)+month,DAY($B$5))</f>
        <v>43339</v>
      </c>
      <c r="C11" s="19">
        <f t="shared" si="0"/>
        <v>3.00821917808219</v>
      </c>
      <c r="D11" s="32">
        <f t="shared" si="4"/>
        <v>0.0352242704732334</v>
      </c>
      <c r="E11" s="21">
        <f t="shared" si="1"/>
        <v>0.965388883755737</v>
      </c>
      <c r="F11" s="14"/>
      <c r="G11" s="33"/>
      <c r="H11" s="23"/>
      <c r="I11" s="14"/>
      <c r="J11" s="15"/>
      <c r="K11" s="16"/>
      <c r="L11" s="58">
        <f t="shared" si="2"/>
        <v>0.0117093430990257</v>
      </c>
    </row>
    <row r="12" spans="1:12">
      <c r="A12" s="31">
        <f t="shared" si="3"/>
        <v>42</v>
      </c>
      <c r="B12" s="18">
        <f>DATE(YEAR($B$5),MONTH($B$5)+month,DAY($B$5))</f>
        <v>43523</v>
      </c>
      <c r="C12" s="19">
        <f t="shared" si="0"/>
        <v>3.51232876712329</v>
      </c>
      <c r="D12" s="32">
        <f t="shared" si="4"/>
        <v>0.0454544559317547</v>
      </c>
      <c r="E12" s="21">
        <f t="shared" si="1"/>
        <v>0.955563121812958</v>
      </c>
      <c r="F12" s="14"/>
      <c r="G12" s="33"/>
      <c r="H12" s="23"/>
      <c r="I12" s="14"/>
      <c r="J12" s="15"/>
      <c r="K12" s="16"/>
      <c r="L12" s="58">
        <f t="shared" si="2"/>
        <v>0.012941401259821</v>
      </c>
    </row>
    <row r="13" spans="1:12">
      <c r="A13" s="31">
        <f t="shared" si="3"/>
        <v>48</v>
      </c>
      <c r="B13" s="18">
        <f>DATE(YEAR($B$5),MONTH($B$5)+month,DAY($B$5))</f>
        <v>43704</v>
      </c>
      <c r="C13" s="19">
        <f t="shared" si="0"/>
        <v>4.00821917808219</v>
      </c>
      <c r="D13" s="32">
        <f t="shared" si="4"/>
        <v>0.056082927525804</v>
      </c>
      <c r="E13" s="21">
        <f t="shared" si="1"/>
        <v>0.94546072792044</v>
      </c>
      <c r="F13" s="14"/>
      <c r="G13" s="33"/>
      <c r="H13" s="23"/>
      <c r="I13" s="14"/>
      <c r="J13" s="15"/>
      <c r="K13" s="16"/>
      <c r="L13" s="58">
        <f t="shared" si="2"/>
        <v>0.0139919812350776</v>
      </c>
    </row>
    <row r="14" spans="1:12">
      <c r="A14" s="31">
        <f t="shared" si="3"/>
        <v>54</v>
      </c>
      <c r="B14" s="18">
        <f>DATE(YEAR($B$5),MONTH($B$5)+month,DAY($B$5))</f>
        <v>43888</v>
      </c>
      <c r="C14" s="19">
        <f t="shared" si="0"/>
        <v>4.51232876712329</v>
      </c>
      <c r="D14" s="32">
        <f t="shared" si="4"/>
        <v>0.0672269872737929</v>
      </c>
      <c r="E14" s="21">
        <f t="shared" si="1"/>
        <v>0.934982948017873</v>
      </c>
      <c r="F14" s="14"/>
      <c r="G14" s="33"/>
      <c r="H14" s="23"/>
      <c r="I14" s="14"/>
      <c r="J14" s="15"/>
      <c r="K14" s="16"/>
      <c r="L14" s="58">
        <f t="shared" si="2"/>
        <v>0.0148985126623767</v>
      </c>
    </row>
    <row r="15" spans="1:12">
      <c r="A15" s="24">
        <f t="shared" si="3"/>
        <v>60</v>
      </c>
      <c r="B15" s="25">
        <f>DATE(YEAR($B$5),MONTH($B$5)+month,DAY($B$5))</f>
        <v>44070</v>
      </c>
      <c r="C15" s="26">
        <f t="shared" si="0"/>
        <v>5.01095890410959</v>
      </c>
      <c r="D15" s="27">
        <v>0.078354315886055</v>
      </c>
      <c r="E15" s="21">
        <f t="shared" si="1"/>
        <v>0.924636755006223</v>
      </c>
      <c r="F15" s="14"/>
      <c r="G15" s="33"/>
      <c r="H15" s="23"/>
      <c r="I15" s="28">
        <v>0.02</v>
      </c>
      <c r="J15" s="29">
        <f>swap5Y</f>
        <v>0.01559</v>
      </c>
      <c r="K15" s="30">
        <f>I15-J15</f>
        <v>0.00441</v>
      </c>
      <c r="L15" s="58">
        <f t="shared" si="2"/>
        <v>0.0156365911965063</v>
      </c>
    </row>
    <row r="16" spans="1:12">
      <c r="A16" s="31">
        <f t="shared" si="3"/>
        <v>66</v>
      </c>
      <c r="B16" s="18">
        <f>DATE(YEAR($B$5),MONTH($B$5)+month,DAY($B$5))</f>
        <v>44254</v>
      </c>
      <c r="C16" s="19">
        <f t="shared" si="0"/>
        <v>5.51506849315069</v>
      </c>
      <c r="D16" s="32">
        <f>a_3+b_3*(time-time3)+c_3*(time-time3)^2+d_3*(time-time3)^3</f>
        <v>0.0904449159545936</v>
      </c>
      <c r="E16" s="21">
        <f t="shared" si="1"/>
        <v>0.91352465314852</v>
      </c>
      <c r="F16" s="14"/>
      <c r="G16" s="33"/>
      <c r="H16" s="23"/>
      <c r="I16" s="14"/>
      <c r="J16" s="15"/>
      <c r="K16" s="16"/>
      <c r="L16" s="58">
        <f t="shared" si="2"/>
        <v>0.0163995997632522</v>
      </c>
    </row>
    <row r="17" spans="1:12">
      <c r="A17" s="31">
        <f t="shared" si="3"/>
        <v>72</v>
      </c>
      <c r="B17" s="18">
        <f>DATE(YEAR($B$5),MONTH($B$5)+month,DAY($B$5))</f>
        <v>44435</v>
      </c>
      <c r="C17" s="19">
        <f t="shared" si="0"/>
        <v>6.01095890410959</v>
      </c>
      <c r="D17" s="32">
        <f>a_3+b_3*(time-time3)+c_3*(time-time3)^2+d_3*(time-time3)^3</f>
        <v>0.103787908843675</v>
      </c>
      <c r="E17" s="21">
        <f t="shared" si="1"/>
        <v>0.901416459607832</v>
      </c>
      <c r="F17" s="14"/>
      <c r="G17" s="22"/>
      <c r="H17" s="23"/>
      <c r="I17" s="14"/>
      <c r="J17" s="15"/>
      <c r="K17" s="16"/>
      <c r="L17" s="58">
        <f t="shared" si="2"/>
        <v>0.0172664479161082</v>
      </c>
    </row>
    <row r="18" spans="1:12">
      <c r="A18" s="31">
        <f t="shared" si="3"/>
        <v>78</v>
      </c>
      <c r="B18" s="18">
        <f>DATE(YEAR($B$5),MONTH($B$5)+month,DAY($B$5))</f>
        <v>44619</v>
      </c>
      <c r="C18" s="19">
        <f t="shared" si="0"/>
        <v>6.51506849315069</v>
      </c>
      <c r="D18" s="32">
        <f>a_3+b_3*(time-time3)+c_3*(time-time3)^2+d_3*(time-time3)^3</f>
        <v>0.118456207581099</v>
      </c>
      <c r="E18" s="21">
        <f t="shared" si="1"/>
        <v>0.888290715204151</v>
      </c>
      <c r="F18" s="14"/>
      <c r="G18" s="22"/>
      <c r="H18" s="23"/>
      <c r="I18" s="14"/>
      <c r="J18" s="15"/>
      <c r="K18" s="16"/>
      <c r="L18" s="58">
        <f t="shared" si="2"/>
        <v>0.018181882156056</v>
      </c>
    </row>
    <row r="19" spans="1:12">
      <c r="A19" s="31">
        <f t="shared" si="3"/>
        <v>84</v>
      </c>
      <c r="B19" s="18">
        <f>DATE(YEAR($B$5),MONTH($B$5)+month,DAY($B$5))</f>
        <v>44800</v>
      </c>
      <c r="C19" s="19">
        <f t="shared" si="0"/>
        <v>7.01095890410959</v>
      </c>
      <c r="D19" s="32">
        <f>a_3+b_3*(time-time3)+c_3*(time-time3)^2+d_3*(time-time3)^3</f>
        <v>0.133610110358635</v>
      </c>
      <c r="E19" s="21">
        <f t="shared" si="1"/>
        <v>0.874931124693541</v>
      </c>
      <c r="F19" s="14"/>
      <c r="G19" s="22"/>
      <c r="H19" s="23"/>
      <c r="I19" s="14"/>
      <c r="J19" s="15"/>
      <c r="K19" s="16"/>
      <c r="L19" s="58">
        <f t="shared" si="2"/>
        <v>0.0190573232828846</v>
      </c>
    </row>
    <row r="20" spans="1:12">
      <c r="A20" s="31">
        <f t="shared" si="3"/>
        <v>90</v>
      </c>
      <c r="B20" s="18">
        <f>DATE(YEAR($B$5),MONTH($B$5)+month,DAY($B$5))</f>
        <v>44984</v>
      </c>
      <c r="C20" s="19">
        <f t="shared" si="0"/>
        <v>7.51506849315069</v>
      </c>
      <c r="D20" s="32">
        <f>a_3+b_3*(time-time3)+c_3*(time-time3)^2+d_3*(time-time3)^3</f>
        <v>0.14938256036613</v>
      </c>
      <c r="E20" s="21">
        <f t="shared" si="1"/>
        <v>0.861239575741245</v>
      </c>
      <c r="F20" s="14"/>
      <c r="G20" s="22"/>
      <c r="H20" s="23"/>
      <c r="I20" s="14"/>
      <c r="J20" s="15"/>
      <c r="K20" s="16"/>
      <c r="L20" s="58">
        <f t="shared" si="2"/>
        <v>0.0198777377082164</v>
      </c>
    </row>
    <row r="21" spans="1:12">
      <c r="A21" s="31">
        <f t="shared" si="3"/>
        <v>96</v>
      </c>
      <c r="B21" s="18">
        <f>DATE(YEAR($B$5),MONTH($B$5)+month,DAY($B$5))</f>
        <v>45165</v>
      </c>
      <c r="C21" s="19">
        <f t="shared" si="0"/>
        <v>8.01095890410959</v>
      </c>
      <c r="D21" s="32">
        <f>a_3+b_3*(time-time3)+c_3*(time-time3)^2+d_3*(time-time3)^3</f>
        <v>0.164897850862634</v>
      </c>
      <c r="E21" s="21">
        <f t="shared" si="1"/>
        <v>0.847980320122168</v>
      </c>
      <c r="F21" s="14"/>
      <c r="G21" s="22"/>
      <c r="H21" s="23"/>
      <c r="I21" s="14"/>
      <c r="J21" s="15"/>
      <c r="K21" s="16"/>
      <c r="L21" s="58">
        <f t="shared" si="2"/>
        <v>0.0205840340509102</v>
      </c>
    </row>
    <row r="22" spans="1:12">
      <c r="A22" s="31">
        <f t="shared" si="3"/>
        <v>102</v>
      </c>
      <c r="B22" s="18">
        <f>DATE(YEAR($B$5),MONTH($B$5)+month,DAY($B$5))</f>
        <v>45349</v>
      </c>
      <c r="C22" s="19">
        <f t="shared" si="0"/>
        <v>8.51506849315068</v>
      </c>
      <c r="D22" s="32">
        <f>a_3+b_3*(time-time3)+c_3*(time-time3)^2+d_3*(time-time3)^3</f>
        <v>0.180300904741385</v>
      </c>
      <c r="E22" s="21">
        <f t="shared" si="1"/>
        <v>0.835018912454741</v>
      </c>
      <c r="F22" s="14"/>
      <c r="G22" s="22"/>
      <c r="H22" s="23"/>
      <c r="I22" s="14"/>
      <c r="J22" s="15"/>
      <c r="K22" s="16"/>
      <c r="L22" s="58">
        <f t="shared" si="2"/>
        <v>0.0211743340510314</v>
      </c>
    </row>
    <row r="23" spans="1:12">
      <c r="A23" s="31">
        <f t="shared" si="3"/>
        <v>108</v>
      </c>
      <c r="B23" s="18">
        <f>DATE(YEAR($B$5),MONTH($B$5)+month,DAY($B$5))</f>
        <v>45531</v>
      </c>
      <c r="C23" s="19">
        <f t="shared" si="0"/>
        <v>9.01369863013699</v>
      </c>
      <c r="D23" s="32">
        <f>a_3+b_3*(time-time3)+c_3*(time-time3)^2+d_3*(time-time3)^3</f>
        <v>0.194805104852119</v>
      </c>
      <c r="E23" s="21">
        <f t="shared" si="1"/>
        <v>0.822995040166722</v>
      </c>
      <c r="F23" s="14"/>
      <c r="G23" s="22"/>
      <c r="H23" s="23"/>
      <c r="I23" s="14"/>
      <c r="J23" s="15"/>
      <c r="K23" s="16"/>
      <c r="L23" s="58">
        <f t="shared" si="2"/>
        <v>0.0216121164957518</v>
      </c>
    </row>
    <row r="24" spans="1:12">
      <c r="A24" s="31">
        <f t="shared" si="3"/>
        <v>114</v>
      </c>
      <c r="B24" s="18">
        <f>DATE(YEAR($B$5),MONTH($B$5)+month,DAY($B$5))</f>
        <v>45715</v>
      </c>
      <c r="C24" s="19">
        <f t="shared" si="0"/>
        <v>9.51780821917808</v>
      </c>
      <c r="D24" s="32">
        <f>a_3+b_3*(time-time3)+c_3*(time-time3)^2+d_3*(time-time3)^3</f>
        <v>0.208358141954585</v>
      </c>
      <c r="E24" s="21">
        <f t="shared" si="1"/>
        <v>0.811916203379201</v>
      </c>
      <c r="F24" s="14"/>
      <c r="G24" s="22"/>
      <c r="H24" s="23"/>
      <c r="I24" s="14"/>
      <c r="J24" s="15"/>
      <c r="K24" s="16"/>
      <c r="L24" s="58">
        <f t="shared" si="2"/>
        <v>0.0218913994857293</v>
      </c>
    </row>
    <row r="25" spans="1:12">
      <c r="A25" s="24">
        <f t="shared" si="3"/>
        <v>120</v>
      </c>
      <c r="B25" s="34">
        <f>DATE(YEAR($B$5),MONTH($B$5)+month,DAY($B$5))</f>
        <v>45896</v>
      </c>
      <c r="C25" s="35">
        <f t="shared" si="0"/>
        <v>10.013698630137</v>
      </c>
      <c r="D25" s="36">
        <v>0.220238697809739</v>
      </c>
      <c r="E25" s="37">
        <f t="shared" si="1"/>
        <v>0.802327261343726</v>
      </c>
      <c r="F25" s="38"/>
      <c r="G25" s="39"/>
      <c r="H25" s="40"/>
      <c r="I25" s="59">
        <f>($E$5-E25)/(SUM($E$6:E25)*1/2)</f>
        <v>0.0216900013232806</v>
      </c>
      <c r="J25" s="60">
        <f>swap10Y</f>
        <v>0.02169</v>
      </c>
      <c r="K25" s="61">
        <f>I25-J25</f>
        <v>1.32328060661879e-9</v>
      </c>
      <c r="L25" s="58">
        <f t="shared" si="2"/>
        <v>0.0219937413681408</v>
      </c>
    </row>
    <row r="26" spans="2:8">
      <c r="B26" s="41"/>
      <c r="E26" s="42"/>
      <c r="F26" s="43"/>
      <c r="G26" s="43"/>
      <c r="H26" s="43"/>
    </row>
    <row r="27" spans="2:8">
      <c r="B27" s="41"/>
      <c r="E27" s="42"/>
      <c r="F27" s="43"/>
      <c r="G27" s="43"/>
      <c r="H27" s="43"/>
    </row>
    <row r="28" spans="5:8">
      <c r="E28" s="42"/>
      <c r="F28" s="44"/>
      <c r="G28" s="44"/>
      <c r="H28" s="44"/>
    </row>
    <row r="30" spans="1:8">
      <c r="A30" s="45" t="s">
        <v>36</v>
      </c>
      <c r="B30" s="45"/>
      <c r="C30" s="45"/>
      <c r="D30" s="45"/>
      <c r="E30" s="45"/>
      <c r="F30" s="45"/>
      <c r="G30" s="45"/>
      <c r="H30" s="45"/>
    </row>
    <row r="31" spans="1:10">
      <c r="A31" s="7" t="s">
        <v>37</v>
      </c>
      <c r="B31" s="8" t="s">
        <v>38</v>
      </c>
      <c r="C31" s="8" t="s">
        <v>39</v>
      </c>
      <c r="D31" s="8" t="s">
        <v>40</v>
      </c>
      <c r="E31" s="8" t="s">
        <v>41</v>
      </c>
      <c r="F31" s="8" t="s">
        <v>42</v>
      </c>
      <c r="G31" s="8" t="s">
        <v>43</v>
      </c>
      <c r="H31" s="8" t="s">
        <v>44</v>
      </c>
      <c r="I31" s="8" t="s">
        <v>45</v>
      </c>
      <c r="J31" s="9" t="s">
        <v>46</v>
      </c>
    </row>
    <row r="32" spans="1:10">
      <c r="A32" s="46">
        <v>0</v>
      </c>
      <c r="B32" s="15">
        <f>time0</f>
        <v>0</v>
      </c>
      <c r="C32" s="15">
        <f>cap_fctr0</f>
        <v>0</v>
      </c>
      <c r="D32" s="47">
        <f>B33-B32</f>
        <v>0.50958904109589</v>
      </c>
      <c r="E32" s="48">
        <f>(C33-C32)/D32</f>
        <v>0.00361086686051909</v>
      </c>
      <c r="F32" s="49">
        <f>E32</f>
        <v>0.00361086686051909</v>
      </c>
      <c r="G32" s="50">
        <f>C32</f>
        <v>0</v>
      </c>
      <c r="H32" s="49">
        <f>F32</f>
        <v>0.00361086686051909</v>
      </c>
      <c r="I32" s="48">
        <f>(3*E32-F33-2*F32)/D32</f>
        <v>-0.00194317878299793</v>
      </c>
      <c r="J32" s="62">
        <f>(F33+F32-2*E32)/D32^2</f>
        <v>0.00381322718168949</v>
      </c>
    </row>
    <row r="33" spans="1:10">
      <c r="A33" s="51">
        <v>1</v>
      </c>
      <c r="B33" s="52">
        <f>time1</f>
        <v>0.50958904109589</v>
      </c>
      <c r="C33" s="19">
        <f>cap_fctr1</f>
        <v>0.00184005818097685</v>
      </c>
      <c r="D33" s="47">
        <f t="shared" ref="D33:D35" si="5">B34-B33</f>
        <v>0.498630136986301</v>
      </c>
      <c r="E33" s="48">
        <f t="shared" ref="E33:E35" si="6">(C34-C33)/D33</f>
        <v>0.0063396325216648</v>
      </c>
      <c r="F33" s="48">
        <f>IF(E32*E33&gt;0,2*E32*E33/(E32+E33),0)</f>
        <v>0.00460108947322488</v>
      </c>
      <c r="G33" s="50">
        <f t="shared" ref="G33:G35" si="7">C33</f>
        <v>0.00184005818097685</v>
      </c>
      <c r="H33" s="49">
        <f t="shared" ref="H33:H35" si="8">F33</f>
        <v>0.00460108947322488</v>
      </c>
      <c r="I33" s="48">
        <f t="shared" ref="I33:I35" si="9">(3*E33-F34-2*F33)/D33</f>
        <v>0.000794879421392383</v>
      </c>
      <c r="J33" s="62">
        <f t="shared" ref="J33:J35" si="10">(F34+F33-2*E33)/D33^2</f>
        <v>0.00539830810485789</v>
      </c>
    </row>
    <row r="34" spans="1:10">
      <c r="A34" s="51">
        <v>2</v>
      </c>
      <c r="B34" s="52">
        <f>time2</f>
        <v>1.00821917808219</v>
      </c>
      <c r="C34" s="19">
        <f>cap_fctr2</f>
        <v>0.00500119001369738</v>
      </c>
      <c r="D34" s="47">
        <f t="shared" si="5"/>
        <v>4.0027397260274</v>
      </c>
      <c r="E34" s="48">
        <f t="shared" si="6"/>
        <v>0.0183257295985014</v>
      </c>
      <c r="F34" s="48">
        <f t="shared" ref="F34:F35" si="11">IF(E33*E34&gt;0,2*E33*E34/(E33+E34),0)</f>
        <v>0.00942036778376817</v>
      </c>
      <c r="G34" s="50">
        <f t="shared" si="7"/>
        <v>0.00500119001369738</v>
      </c>
      <c r="H34" s="49">
        <f t="shared" si="8"/>
        <v>0.00942036778376817</v>
      </c>
      <c r="I34" s="48">
        <f t="shared" si="9"/>
        <v>0.00346550663326599</v>
      </c>
      <c r="J34" s="62">
        <f t="shared" si="10"/>
        <v>-0.000309960205133027</v>
      </c>
    </row>
    <row r="35" spans="1:10">
      <c r="A35" s="51">
        <v>3</v>
      </c>
      <c r="B35" s="52">
        <f>time3</f>
        <v>5.01095890410959</v>
      </c>
      <c r="C35" s="19">
        <f>cap_fctr3</f>
        <v>0.078354315886055</v>
      </c>
      <c r="D35" s="47">
        <f t="shared" si="5"/>
        <v>5.0027397260274</v>
      </c>
      <c r="E35" s="48">
        <f t="shared" si="6"/>
        <v>0.0283613359266948</v>
      </c>
      <c r="F35" s="48">
        <f t="shared" si="11"/>
        <v>0.0222649321561826</v>
      </c>
      <c r="G35" s="50">
        <f t="shared" si="7"/>
        <v>0.078354315886055</v>
      </c>
      <c r="H35" s="49">
        <f t="shared" si="8"/>
        <v>0.0222649321561826</v>
      </c>
      <c r="I35" s="48">
        <f t="shared" si="9"/>
        <v>0.00365583906282086</v>
      </c>
      <c r="J35" s="62">
        <f t="shared" si="10"/>
        <v>-0.000487178261383576</v>
      </c>
    </row>
    <row r="36" spans="1:10">
      <c r="A36" s="53">
        <v>4</v>
      </c>
      <c r="B36" s="54">
        <f>time4</f>
        <v>10.013698630137</v>
      </c>
      <c r="C36" s="55">
        <f>cap_fctr4</f>
        <v>0.220238697809739</v>
      </c>
      <c r="D36" s="56"/>
      <c r="E36" s="56"/>
      <c r="F36" s="55">
        <f>F35</f>
        <v>0.0222649321561826</v>
      </c>
      <c r="G36" s="56"/>
      <c r="H36" s="56"/>
      <c r="I36" s="56"/>
      <c r="J36" s="63"/>
    </row>
  </sheetData>
  <mergeCells count="4">
    <mergeCell ref="F2:H2"/>
    <mergeCell ref="I2:K2"/>
    <mergeCell ref="A30:H30"/>
    <mergeCell ref="L2:L3"/>
  </mergeCells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Inputs</vt:lpstr>
      <vt:lpstr>Bootstrapping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</cp:lastModifiedBy>
  <dcterms:created xsi:type="dcterms:W3CDTF">2006-02-23T04:22:00Z</dcterms:created>
  <dcterms:modified xsi:type="dcterms:W3CDTF">2016-02-15T00:32:13Z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