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ONTEN\"/>
    </mc:Choice>
  </mc:AlternateContent>
  <xr:revisionPtr revIDLastSave="0" documentId="13_ncr:1_{D89C6201-6EE5-4D50-9524-9B2CFF265061}" xr6:coauthVersionLast="47" xr6:coauthVersionMax="47" xr10:uidLastSave="{00000000-0000-0000-0000-000000000000}"/>
  <bookViews>
    <workbookView xWindow="-110" yWindow="-110" windowWidth="19420" windowHeight="10300" activeTab="1" xr2:uid="{86D760E7-50BF-448D-BC3B-3C401A9A8D99}"/>
  </bookViews>
  <sheets>
    <sheet name="ORE PRODUCTION" sheetId="1" r:id="rId1"/>
    <sheet name="ORE ST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5" i="2" l="1"/>
  <c r="X15" i="2" s="1" a="1"/>
  <c r="X15" i="2" s="1"/>
  <c r="P13" i="1" a="1"/>
  <c r="P13" i="1" s="1"/>
  <c r="O13" i="1" a="1"/>
  <c r="O13" i="1" s="1"/>
  <c r="W18" i="2"/>
  <c r="X18" i="2" s="1" a="1"/>
  <c r="X18" i="2" s="1"/>
  <c r="W16" i="2"/>
  <c r="U17" i="2"/>
  <c r="W17" i="2" s="1"/>
  <c r="Y17" i="2" s="1" a="1"/>
  <c r="Y17" i="2" s="1"/>
  <c r="U16" i="2"/>
  <c r="Y16" i="2" s="1" a="1"/>
  <c r="Y16" i="2" s="1"/>
  <c r="X16" i="2" l="1" a="1"/>
  <c r="X16" i="2" s="1"/>
  <c r="X17" i="2" a="1"/>
  <c r="X17" i="2" s="1"/>
  <c r="Y18" i="2" a="1"/>
  <c r="Y18" i="2" s="1"/>
  <c r="Y15" i="2" a="1"/>
  <c r="Y15" i="2" s="1"/>
  <c r="T5" i="2" l="1" a="1"/>
  <c r="Q11" i="2" a="1"/>
  <c r="Q11" i="2" s="1"/>
  <c r="Q5" i="2" a="1"/>
  <c r="Q5" i="2" s="1"/>
  <c r="T5" i="2" l="1"/>
  <c r="U5" i="2" s="1" a="1"/>
  <c r="U5" i="2" s="1"/>
  <c r="M4" i="2"/>
  <c r="M13" i="2"/>
  <c r="M12" i="2"/>
  <c r="M11" i="2"/>
  <c r="M10" i="2"/>
  <c r="M9" i="2"/>
  <c r="M8" i="2"/>
  <c r="M7" i="2"/>
  <c r="M6" i="2"/>
  <c r="M5" i="2"/>
  <c r="V6" i="2" l="1" a="1"/>
  <c r="V6" i="2" s="1"/>
  <c r="V7" i="2" a="1"/>
  <c r="V7" i="2" s="1"/>
  <c r="W8" i="2" a="1"/>
  <c r="W8" i="2" s="1"/>
  <c r="V9" i="2" a="1"/>
  <c r="V9" i="2" s="1"/>
  <c r="W9" i="2" a="1"/>
  <c r="W9" i="2" s="1"/>
  <c r="V8" i="2" a="1"/>
  <c r="V8" i="2" s="1"/>
  <c r="V5" i="2" a="1"/>
  <c r="V5" i="2" s="1"/>
  <c r="W7" i="2" a="1"/>
  <c r="W7" i="2" s="1"/>
  <c r="W6" i="2" a="1"/>
  <c r="W6" i="2" s="1"/>
  <c r="W5" i="2" l="1" a="1"/>
  <c r="W5" i="2" s="1"/>
  <c r="P4" i="1" l="1" a="1"/>
  <c r="P4" i="1" s="1"/>
  <c r="O4" i="1" a="1"/>
  <c r="O4" i="1" s="1"/>
  <c r="O27" i="1"/>
  <c r="Q27" i="1" a="1"/>
  <c r="Q27" i="1" s="1"/>
  <c r="O26" i="1"/>
  <c r="Q26" i="1" s="1" a="1"/>
  <c r="Q26" i="1" s="1"/>
  <c r="O25" i="1"/>
  <c r="Q25" i="1" s="1" a="1"/>
  <c r="Q25" i="1" s="1"/>
  <c r="O24" i="1"/>
  <c r="P24" i="1" s="1" a="1"/>
  <c r="P24" i="1" s="1"/>
  <c r="O23" i="1"/>
  <c r="P23" i="1" s="1" a="1"/>
  <c r="P23" i="1" s="1"/>
  <c r="J7" i="1"/>
  <c r="J6" i="1"/>
  <c r="J5" i="1"/>
  <c r="N13" i="1" a="1"/>
  <c r="N15" i="1" a="1"/>
  <c r="N15" i="1" s="1"/>
  <c r="O15" i="1" s="1" a="1"/>
  <c r="O15" i="1" s="1"/>
  <c r="P7" i="1" a="1"/>
  <c r="P7" i="1" s="1"/>
  <c r="N16" i="1" a="1"/>
  <c r="N16" i="1" s="1"/>
  <c r="P26" i="1" l="1" a="1"/>
  <c r="P26" i="1" s="1"/>
  <c r="P27" i="1" a="1"/>
  <c r="P27" i="1" s="1"/>
  <c r="P25" i="1" a="1"/>
  <c r="P25" i="1" s="1"/>
  <c r="Q23" i="1" a="1"/>
  <c r="Q23" i="1" s="1"/>
  <c r="Q24" i="1" a="1"/>
  <c r="Q24" i="1" s="1"/>
  <c r="N13" i="1"/>
  <c r="O14" i="1" a="1"/>
  <c r="O14" i="1" s="1"/>
  <c r="O17" i="1" a="1"/>
  <c r="O17" i="1" s="1"/>
  <c r="P17" i="1" s="1" a="1"/>
  <c r="P17" i="1" s="1"/>
  <c r="O16" i="1" a="1"/>
  <c r="O16" i="1" s="1"/>
  <c r="O7" i="1" a="1"/>
  <c r="O7" i="1" s="1"/>
  <c r="P15" i="1" l="1" a="1"/>
  <c r="P15" i="1" s="1"/>
  <c r="Q14" i="1" a="1"/>
  <c r="Q14" i="1" s="1"/>
  <c r="P14" i="1" a="1"/>
  <c r="P14" i="1" s="1"/>
  <c r="Q16" i="1" a="1"/>
  <c r="Q16" i="1" s="1"/>
  <c r="Q17" i="1" a="1"/>
  <c r="Q17" i="1" s="1"/>
  <c r="Q15" i="1" a="1"/>
  <c r="Q15" i="1" s="1"/>
  <c r="P16" i="1" a="1"/>
  <c r="P16" i="1" s="1"/>
  <c r="J26" i="1"/>
  <c r="Q13" i="1" l="1" a="1"/>
  <c r="Q13" i="1" s="1"/>
  <c r="J23" i="1"/>
  <c r="J21" i="1"/>
  <c r="J19" i="1"/>
  <c r="J17" i="1"/>
  <c r="J16" i="1"/>
  <c r="J15" i="1"/>
  <c r="J13" i="1"/>
  <c r="J22" i="1"/>
  <c r="J20" i="1"/>
  <c r="J18" i="1"/>
  <c r="J14" i="1"/>
  <c r="J12" i="1"/>
  <c r="J11" i="1"/>
  <c r="J10" i="1"/>
  <c r="J25" i="1"/>
  <c r="J9" i="1"/>
  <c r="J24" i="1"/>
  <c r="J8" i="1"/>
  <c r="J4" i="1"/>
  <c r="R25" i="1" l="1" a="1"/>
  <c r="R25" i="1" s="1"/>
  <c r="R27" i="1" a="1"/>
  <c r="R27" i="1" s="1"/>
  <c r="R26" i="1" a="1"/>
  <c r="R26" i="1" s="1"/>
  <c r="R24" i="1" a="1"/>
  <c r="R24" i="1" s="1"/>
  <c r="R23" i="1" a="1"/>
  <c r="R23" i="1" s="1"/>
  <c r="R17" i="1" a="1"/>
  <c r="R17" i="1" s="1"/>
  <c r="R13" i="1" a="1"/>
  <c r="R13" i="1" s="1"/>
  <c r="R15" i="1" a="1"/>
  <c r="R15" i="1" s="1"/>
  <c r="R16" i="1" a="1"/>
  <c r="R16" i="1" s="1"/>
  <c r="R14" i="1" a="1"/>
  <c r="R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<sst xmlns="http://schemas.openxmlformats.org/spreadsheetml/2006/main" count="146" uniqueCount="85">
  <si>
    <t>Ni</t>
  </si>
  <si>
    <t>Fe</t>
  </si>
  <si>
    <t>SiO2</t>
  </si>
  <si>
    <t>MgO</t>
  </si>
  <si>
    <t>MC</t>
  </si>
  <si>
    <t>DATE</t>
  </si>
  <si>
    <t>S/M</t>
  </si>
  <si>
    <t>PPA/AL_1 LOT 1</t>
  </si>
  <si>
    <t>PPA/AL_1 LOT 2</t>
  </si>
  <si>
    <t>PPA/AL_1 LOT 3</t>
  </si>
  <si>
    <t>PPA/AL_1 LOT 4</t>
  </si>
  <si>
    <t>HILLCON/LN_2 LOT 5</t>
  </si>
  <si>
    <t>HILLCON/LN_2 LOT 6</t>
  </si>
  <si>
    <t>JATRA/MTMS_3 LOT 3</t>
  </si>
  <si>
    <t>JATRA/MTMS_3 LOT 4</t>
  </si>
  <si>
    <t>JATRA/MTMS_3 LOT 5</t>
  </si>
  <si>
    <t>HILLCON/LN_2 LOT 7</t>
  </si>
  <si>
    <t>HILLCON/LN_2 LOT 8</t>
  </si>
  <si>
    <t>HILLCON/LN_2 LOT 9</t>
  </si>
  <si>
    <t>HILLCON/LN_2 LOT 4</t>
  </si>
  <si>
    <t>HILLCON/LN_2 LOT 2</t>
  </si>
  <si>
    <t>HILLCON/LN_2 LOT 3</t>
  </si>
  <si>
    <t>PPA/WHY_10 LOT 1</t>
  </si>
  <si>
    <t>PPA/WHY_10 LOT 2</t>
  </si>
  <si>
    <t>QTY (WMT)</t>
  </si>
  <si>
    <t>ID DOME</t>
  </si>
  <si>
    <t>PPA</t>
  </si>
  <si>
    <t>HILLCON</t>
  </si>
  <si>
    <t>JATRA</t>
  </si>
  <si>
    <t>JATRA/MTMS_4 LOT 1</t>
  </si>
  <si>
    <t>JATRA/MTMS_4 LOT 2</t>
  </si>
  <si>
    <t>JATRA/MTMS_4 LOT 3</t>
  </si>
  <si>
    <t>DATE RANGE</t>
  </si>
  <si>
    <t>RITASE</t>
  </si>
  <si>
    <t>HILLCON/LN_2 LOT 1</t>
  </si>
  <si>
    <t>NICKEL ORE PRODUCTION PT AUL SUKSES MAKMUR</t>
  </si>
  <si>
    <t>PRODUCTION SUMMARY BY DATE</t>
  </si>
  <si>
    <t>PRODUCTION SUMMARY BY CONTRACTOR</t>
  </si>
  <si>
    <t>CONTRACTOR</t>
  </si>
  <si>
    <t>*Generate each contractor id and dome based on date range</t>
  </si>
  <si>
    <t>*Calculate assay for each dome based on contractor id</t>
  </si>
  <si>
    <t>*Calculate assay for all ore production based on date range</t>
  </si>
  <si>
    <t>COMMENCE</t>
  </si>
  <si>
    <t>COMPLETE</t>
  </si>
  <si>
    <t>BARGE ID</t>
  </si>
  <si>
    <t>TB. Buana Jaya - BG. Lintas Samudera</t>
  </si>
  <si>
    <t>TB. ABC - BG. Janice</t>
  </si>
  <si>
    <t>TB. 28 - BG. Ayoda</t>
  </si>
  <si>
    <t>TB. Buana Jaya - BG. Golden Way</t>
  </si>
  <si>
    <t>TB. XYZ - BG. Caroline</t>
  </si>
  <si>
    <t>SURVEYOR DP</t>
  </si>
  <si>
    <t>AWK</t>
  </si>
  <si>
    <t>CARSURIN</t>
  </si>
  <si>
    <t>OUTSTANDING</t>
  </si>
  <si>
    <t>ISSUED</t>
  </si>
  <si>
    <t>TB. Buana Sukses - BG. Sejahtera</t>
  </si>
  <si>
    <t>TB. Aul - BG. Why</t>
  </si>
  <si>
    <t>TB. Trans Pacific 21 - BG. Terang 60</t>
  </si>
  <si>
    <t>TB. Harlina 10 - BG. Intan Kelana 2</t>
  </si>
  <si>
    <t>TB. Daya 22 - BG. DBS 22</t>
  </si>
  <si>
    <t>TB. Zeus XII - BG. Lancar 2000</t>
  </si>
  <si>
    <t>TB. Kelly 40 - BG. GHI 01</t>
  </si>
  <si>
    <t>TB. Buana Express - BG. Golden Way 12</t>
  </si>
  <si>
    <t>SI</t>
  </si>
  <si>
    <t>TRIYASA</t>
  </si>
  <si>
    <t>SURVEYOR</t>
  </si>
  <si>
    <t>BARGE</t>
  </si>
  <si>
    <t>COA STATUS</t>
  </si>
  <si>
    <t>SOURCE MINE</t>
  </si>
  <si>
    <t>VALE</t>
  </si>
  <si>
    <t>B8M</t>
  </si>
  <si>
    <t>28R</t>
  </si>
  <si>
    <t>ANTAM</t>
  </si>
  <si>
    <t>HARITA</t>
  </si>
  <si>
    <t>*Generate barge id and source mine based on surveyor id</t>
  </si>
  <si>
    <t>*Calculate assay for all source mine based on COA Issued</t>
  </si>
  <si>
    <t>WTD</t>
  </si>
  <si>
    <t>MTD</t>
  </si>
  <si>
    <t>YTD</t>
  </si>
  <si>
    <t>PTD</t>
  </si>
  <si>
    <t xml:space="preserve">For example today's date is </t>
  </si>
  <si>
    <t>TBA</t>
  </si>
  <si>
    <t>*Calculate assay for all barges based on COA issued and date range</t>
  </si>
  <si>
    <t>NICKEL ORE PRODUCTION OF PT AUL RESOURCES</t>
  </si>
  <si>
    <t>NICKEL ORE STOCK OF PT AUL NICKEL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</si>
</sst>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[$-409]d\-mmm\-yy;@"/>
    <numFmt numFmtId="172" formatCode="[$-409]mmmm\-yy;@"/>
    <numFmt numFmtId="174" formatCode="yyyy"/>
    <numFmt numFmtId="175" formatCode="[$-409]d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ptos Narrow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14" fontId="0" fillId="0" borderId="0" xfId="0" applyNumberFormat="1"/>
    <xf numFmtId="2" fontId="2" fillId="3" borderId="4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2" fontId="2" fillId="3" borderId="4" xfId="1" applyNumberFormat="1" applyFont="1" applyFill="1" applyBorder="1" applyAlignment="1">
      <alignment horizontal="center" vertical="center"/>
    </xf>
    <xf numFmtId="171" fontId="0" fillId="0" borderId="4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72" fontId="0" fillId="0" borderId="4" xfId="0" applyNumberFormat="1" applyBorder="1" applyAlignment="1">
      <alignment horizontal="center" vertical="center"/>
    </xf>
    <xf numFmtId="174" fontId="0" fillId="0" borderId="4" xfId="0" applyNumberFormat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2" fontId="2" fillId="3" borderId="8" xfId="0" applyNumberFormat="1" applyFont="1" applyFill="1" applyBorder="1" applyAlignment="1">
      <alignment horizontal="center" vertical="center"/>
    </xf>
    <xf numFmtId="2" fontId="2" fillId="3" borderId="9" xfId="1" applyNumberFormat="1" applyFont="1" applyFill="1" applyBorder="1" applyAlignment="1">
      <alignment horizontal="center" vertical="center"/>
    </xf>
    <xf numFmtId="171" fontId="0" fillId="0" borderId="8" xfId="0" applyNumberFormat="1" applyBorder="1" applyAlignment="1">
      <alignment horizontal="center" vertical="center"/>
    </xf>
    <xf numFmtId="172" fontId="0" fillId="0" borderId="8" xfId="0" applyNumberFormat="1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7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2" fontId="2" fillId="3" borderId="7" xfId="1" applyNumberFormat="1" applyFont="1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2" fillId="2" borderId="6" xfId="1" applyNumberFormat="1" applyFont="1" applyFill="1" applyBorder="1" applyAlignment="1">
      <alignment horizontal="center" vertical="center"/>
    </xf>
    <xf numFmtId="2" fontId="2" fillId="2" borderId="7" xfId="1" applyNumberFormat="1" applyFont="1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" fontId="0" fillId="0" borderId="8" xfId="0" applyNumberFormat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175" fontId="0" fillId="0" borderId="0" xfId="0" applyNumberFormat="1"/>
    <xf numFmtId="175" fontId="1" fillId="2" borderId="5" xfId="0" applyNumberFormat="1" applyFont="1" applyFill="1" applyBorder="1" applyAlignment="1">
      <alignment horizontal="center" vertical="center"/>
    </xf>
    <xf numFmtId="175" fontId="0" fillId="0" borderId="8" xfId="0" applyNumberForma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2" fontId="2" fillId="3" borderId="11" xfId="1" applyNumberFormat="1" applyFont="1" applyFill="1" applyBorder="1" applyAlignment="1">
      <alignment horizontal="center" vertical="center"/>
    </xf>
    <xf numFmtId="2" fontId="2" fillId="3" borderId="13" xfId="1" applyNumberFormat="1" applyFont="1" applyFill="1" applyBorder="1" applyAlignment="1">
      <alignment horizontal="center" vertical="center"/>
    </xf>
    <xf numFmtId="16" fontId="0" fillId="0" borderId="0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2" fontId="2" fillId="3" borderId="13" xfId="1" applyNumberFormat="1" applyFont="1" applyFill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6" fontId="0" fillId="0" borderId="17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NumberFormat="1" applyBorder="1" applyAlignment="1">
      <alignment horizontal="center"/>
    </xf>
    <xf numFmtId="2" fontId="1" fillId="3" borderId="4" xfId="0" applyNumberFormat="1" applyFont="1" applyFill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2" fillId="3" borderId="5" xfId="1" applyNumberFormat="1" applyFont="1" applyFill="1" applyBorder="1" applyAlignment="1">
      <alignment horizontal="center" vertical="center"/>
    </xf>
    <xf numFmtId="2" fontId="2" fillId="3" borderId="6" xfId="1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21" xfId="0" applyNumberFormat="1" applyBorder="1" applyAlignment="1">
      <alignment horizontal="center" vertical="center"/>
    </xf>
    <xf numFmtId="16" fontId="0" fillId="0" borderId="28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171" fontId="0" fillId="0" borderId="8" xfId="0" applyNumberFormat="1" applyBorder="1" applyAlignment="1">
      <alignment horizontal="center" vertical="center"/>
    </xf>
    <xf numFmtId="171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1" fontId="0" fillId="0" borderId="2" xfId="0" applyNumberForma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 applyAlignment="1">
      <alignment horizontal="right"/>
    </xf>
    <xf numFmtId="171" fontId="0" fillId="0" borderId="0" xfId="0" applyNumberFormat="1" applyAlignment="1">
      <alignment horizontal="left"/>
    </xf>
    <xf numFmtId="171" fontId="0" fillId="0" borderId="0" xfId="0" applyNumberFormat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 2 10 2" xfId="1" xr:uid="{0FC2CABE-5720-426E-BD64-15FEF14924E8}"/>
  </cellStyles>
  <dxfs count="0"/>
  <tableStyles count="0" defaultTableStyle="TableStyleMedium2" defaultPivotStyle="PivotStyleLight16"/>
  <colors>
    <mruColors>
      <color rgb="FFEBE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9089-B7C6-4910-AD9D-094A223BA81D}">
  <dimension ref="B1:T37"/>
  <sheetViews>
    <sheetView showGridLines="0" zoomScaleNormal="100" workbookViewId="0">
      <selection activeCell="B2" sqref="B2:K2"/>
    </sheetView>
  </sheetViews>
  <sheetFormatPr defaultRowHeight="14.5" x14ac:dyDescent="0.35"/>
  <cols>
    <col min="2" max="2" width="10.90625" style="40" customWidth="1"/>
    <col min="3" max="3" width="32.26953125" bestFit="1" customWidth="1"/>
    <col min="4" max="4" width="9.90625" bestFit="1" customWidth="1"/>
    <col min="5" max="5" width="12.08984375" style="1" customWidth="1"/>
    <col min="6" max="11" width="7.90625" customWidth="1"/>
    <col min="13" max="13" width="11" style="2" customWidth="1"/>
    <col min="14" max="14" width="9.26953125" bestFit="1" customWidth="1"/>
    <col min="15" max="16" width="12.1796875" customWidth="1"/>
    <col min="17" max="17" width="10.453125" bestFit="1" customWidth="1"/>
    <col min="19" max="19" width="3.81640625" customWidth="1"/>
    <col min="21" max="21" width="20.7265625" customWidth="1"/>
    <col min="22" max="22" width="11.08984375" customWidth="1"/>
    <col min="23" max="23" width="36.6328125" customWidth="1"/>
  </cols>
  <sheetData>
    <row r="1" spans="2:18" ht="15" thickBot="1" x14ac:dyDescent="0.4"/>
    <row r="2" spans="2:18" ht="19" thickBot="1" x14ac:dyDescent="0.4">
      <c r="B2" s="37" t="s">
        <v>83</v>
      </c>
      <c r="C2" s="38"/>
      <c r="D2" s="38"/>
      <c r="E2" s="38"/>
      <c r="F2" s="38"/>
      <c r="G2" s="38"/>
      <c r="H2" s="38"/>
      <c r="I2" s="38"/>
      <c r="J2" s="38"/>
      <c r="K2" s="39"/>
      <c r="M2" t="s">
        <v>39</v>
      </c>
    </row>
    <row r="3" spans="2:18" x14ac:dyDescent="0.35">
      <c r="B3" s="41" t="s">
        <v>5</v>
      </c>
      <c r="C3" s="29" t="s">
        <v>25</v>
      </c>
      <c r="D3" s="29" t="s">
        <v>33</v>
      </c>
      <c r="E3" s="30" t="s">
        <v>24</v>
      </c>
      <c r="F3" s="31" t="s">
        <v>0</v>
      </c>
      <c r="G3" s="32" t="s">
        <v>1</v>
      </c>
      <c r="H3" s="32" t="s">
        <v>2</v>
      </c>
      <c r="I3" s="32" t="s">
        <v>3</v>
      </c>
      <c r="J3" s="32" t="s">
        <v>6</v>
      </c>
      <c r="K3" s="33" t="s">
        <v>4</v>
      </c>
      <c r="M3" s="45" t="s">
        <v>5</v>
      </c>
      <c r="N3" s="58"/>
      <c r="O3" s="69" t="s">
        <v>38</v>
      </c>
      <c r="P3" s="46" t="s">
        <v>25</v>
      </c>
    </row>
    <row r="4" spans="2:18" x14ac:dyDescent="0.35">
      <c r="B4" s="42">
        <v>45505</v>
      </c>
      <c r="C4" s="9" t="s">
        <v>7</v>
      </c>
      <c r="D4" s="28">
        <v>2</v>
      </c>
      <c r="E4" s="22">
        <v>34.200000000000003</v>
      </c>
      <c r="F4" s="22">
        <v>2.2594379855343156</v>
      </c>
      <c r="G4" s="22">
        <v>23.677906740383655</v>
      </c>
      <c r="H4" s="22">
        <v>37.310403824195355</v>
      </c>
      <c r="I4" s="22">
        <v>19.534081523784245</v>
      </c>
      <c r="J4" s="22">
        <f>H4/I4</f>
        <v>1.9100157731381981</v>
      </c>
      <c r="K4" s="23">
        <v>37.819891849053796</v>
      </c>
      <c r="M4" s="56">
        <v>45505</v>
      </c>
      <c r="N4" s="59">
        <v>45507</v>
      </c>
      <c r="O4" s="61" t="str" cm="1">
        <f t="array" ref="O4:O6">_xlfn._xlws.SORT(_xlfn.UNIQUE(_xlfn._xlws.FILTER(LEFT($C$4:$C$26,FIND("/",$C$4:$C$26)-1),($B$4:$B$26&gt;=M4)*($B$4:$B$26&lt;=N4))),,-1)</f>
        <v>PPA</v>
      </c>
      <c r="P4" s="48" t="str" cm="1">
        <f t="array" ref="P4:P6">_xlfn.UNIQUE(_xlfn._xlws.FILTER(LEFT(MID($C$4:$C$26,FIND("/",$C$4:$C$26)+1,LEN($C$4:$C$26)),FIND(" ",MID($C$4:$C$26,FIND("/",$C$4:$C$26)+1,LEN($C$4:$C$26))&amp;" ")-1),($B$4:$B$26&gt;=M4)*($B$4:$B$26&lt;=N4)))</f>
        <v>AL_1</v>
      </c>
    </row>
    <row r="5" spans="2:18" x14ac:dyDescent="0.35">
      <c r="B5" s="42">
        <v>45505</v>
      </c>
      <c r="C5" s="9" t="s">
        <v>7</v>
      </c>
      <c r="D5" s="28">
        <v>5</v>
      </c>
      <c r="E5" s="22">
        <v>85.5</v>
      </c>
      <c r="F5" s="22">
        <v>2.2594379855343156</v>
      </c>
      <c r="G5" s="22">
        <v>23.677906740383655</v>
      </c>
      <c r="H5" s="22">
        <v>37.310403824195355</v>
      </c>
      <c r="I5" s="22">
        <v>19.534081523784245</v>
      </c>
      <c r="J5" s="22">
        <f>H5/I5</f>
        <v>1.9100157731381981</v>
      </c>
      <c r="K5" s="23">
        <v>37.819891849053796</v>
      </c>
      <c r="M5" s="56"/>
      <c r="N5" s="59"/>
      <c r="O5" s="62" t="str">
        <v>JATRA</v>
      </c>
      <c r="P5" s="48" t="str">
        <v>LN_2</v>
      </c>
    </row>
    <row r="6" spans="2:18" x14ac:dyDescent="0.35">
      <c r="B6" s="42">
        <v>45505</v>
      </c>
      <c r="C6" s="9" t="s">
        <v>7</v>
      </c>
      <c r="D6" s="28">
        <v>3</v>
      </c>
      <c r="E6" s="22">
        <v>51.300000000000004</v>
      </c>
      <c r="F6" s="22">
        <v>2.2594379855343156</v>
      </c>
      <c r="G6" s="22">
        <v>23.677906740383655</v>
      </c>
      <c r="H6" s="22">
        <v>37.310403824195355</v>
      </c>
      <c r="I6" s="22">
        <v>19.534081523784245</v>
      </c>
      <c r="J6" s="22">
        <f>H6/I6</f>
        <v>1.9100157731381981</v>
      </c>
      <c r="K6" s="23">
        <v>37.819891849053796</v>
      </c>
      <c r="L6" s="1"/>
      <c r="M6" s="77"/>
      <c r="N6" s="78"/>
      <c r="O6" s="79" t="str">
        <v>HILLCON</v>
      </c>
      <c r="P6" s="80" t="str">
        <v>MTMS_3</v>
      </c>
    </row>
    <row r="7" spans="2:18" ht="15" thickBot="1" x14ac:dyDescent="0.4">
      <c r="B7" s="42">
        <v>45505</v>
      </c>
      <c r="C7" s="9" t="s">
        <v>34</v>
      </c>
      <c r="D7" s="28">
        <v>10</v>
      </c>
      <c r="E7" s="22">
        <v>198.70051655170897</v>
      </c>
      <c r="F7" s="22">
        <v>1.7303700276901042</v>
      </c>
      <c r="G7" s="22">
        <v>19.645344579617039</v>
      </c>
      <c r="H7" s="22">
        <v>39.510336917681549</v>
      </c>
      <c r="I7" s="22">
        <v>18.397128626752455</v>
      </c>
      <c r="J7" s="22">
        <f t="shared" ref="J7" si="0">H7/I7</f>
        <v>2.1476360642620618</v>
      </c>
      <c r="K7" s="23">
        <v>37.378224506398382</v>
      </c>
      <c r="M7" s="50">
        <v>45516</v>
      </c>
      <c r="N7" s="60">
        <v>45518</v>
      </c>
      <c r="O7" s="63" t="str" cm="1">
        <f t="array" ref="O7">_xlfn._xlws.SORT(_xlfn.UNIQUE(_xlfn._xlws.FILTER(LEFT($C$4:$C$26,FIND("/",$C$4:$C$26)-1),($B$4:$B$26&gt;=M7)*($B$4:$B$26&lt;=N7))),,-1)</f>
        <v>JATRA</v>
      </c>
      <c r="P7" s="51" t="str" cm="1">
        <f t="array" ref="P7">_xlfn.UNIQUE(_xlfn._xlws.FILTER(LEFT(MID($C$4:$C$26,FIND("/",$C$4:$C$26)+1,LEN($C$4:$C$26)),FIND(" ",MID($C$4:$C$26,FIND("/",$C$4:$C$26)+1,LEN($C$4:$C$26))&amp;" ")-1),($B$4:$B$26&gt;=M7)*($B$4:$B$26&lt;=N7)))</f>
        <v>MTMS_4</v>
      </c>
    </row>
    <row r="8" spans="2:18" x14ac:dyDescent="0.35">
      <c r="B8" s="42">
        <v>45505</v>
      </c>
      <c r="C8" s="9" t="s">
        <v>20</v>
      </c>
      <c r="D8" s="28">
        <v>10</v>
      </c>
      <c r="E8" s="22">
        <v>198.70051655170897</v>
      </c>
      <c r="F8" s="22">
        <v>1.7303700276901042</v>
      </c>
      <c r="G8" s="22">
        <v>19.645344579617039</v>
      </c>
      <c r="H8" s="22">
        <v>39.510336917681549</v>
      </c>
      <c r="I8" s="22">
        <v>18.397128626752455</v>
      </c>
      <c r="J8" s="22">
        <f t="shared" ref="J8:J26" si="1">H8/I8</f>
        <v>2.1476360642620618</v>
      </c>
      <c r="K8" s="23">
        <v>37.378224506398382</v>
      </c>
      <c r="M8" s="47"/>
      <c r="N8" s="47"/>
      <c r="O8" s="44"/>
      <c r="P8" s="49"/>
    </row>
    <row r="9" spans="2:18" x14ac:dyDescent="0.35">
      <c r="B9" s="42">
        <v>45506</v>
      </c>
      <c r="C9" s="9" t="s">
        <v>21</v>
      </c>
      <c r="D9" s="28">
        <v>10</v>
      </c>
      <c r="E9" s="22">
        <v>170.88579780626932</v>
      </c>
      <c r="F9" s="22">
        <v>1.7104636342162727</v>
      </c>
      <c r="G9" s="22">
        <v>20.903849754785401</v>
      </c>
      <c r="H9" s="22">
        <v>39.220188217403212</v>
      </c>
      <c r="I9" s="22">
        <v>18.532301057268111</v>
      </c>
      <c r="J9" s="22">
        <f t="shared" si="1"/>
        <v>2.1163150812306495</v>
      </c>
      <c r="K9" s="23">
        <v>35.180804081119298</v>
      </c>
      <c r="M9"/>
    </row>
    <row r="10" spans="2:18" ht="15" thickBot="1" x14ac:dyDescent="0.4">
      <c r="B10" s="42">
        <v>45506</v>
      </c>
      <c r="C10" s="9" t="s">
        <v>8</v>
      </c>
      <c r="D10" s="28">
        <v>10</v>
      </c>
      <c r="E10" s="22">
        <v>197.11101833172967</v>
      </c>
      <c r="F10" s="22">
        <v>1.4258141787893504</v>
      </c>
      <c r="G10" s="22">
        <v>25.263407866631781</v>
      </c>
      <c r="H10" s="22">
        <v>31.889189692887911</v>
      </c>
      <c r="I10" s="22">
        <v>18.203219058149067</v>
      </c>
      <c r="J10" s="22">
        <f t="shared" si="1"/>
        <v>1.7518434289572549</v>
      </c>
      <c r="K10" s="23">
        <v>36.582159898118213</v>
      </c>
      <c r="M10" t="s">
        <v>40</v>
      </c>
    </row>
    <row r="11" spans="2:18" ht="15" thickBot="1" x14ac:dyDescent="0.4">
      <c r="B11" s="42">
        <v>45506</v>
      </c>
      <c r="C11" s="9" t="s">
        <v>13</v>
      </c>
      <c r="D11" s="28">
        <v>10</v>
      </c>
      <c r="E11" s="22">
        <v>178.46187884803336</v>
      </c>
      <c r="F11" s="22">
        <v>1.4408364310210122</v>
      </c>
      <c r="G11" s="22">
        <v>21.116357109008504</v>
      </c>
      <c r="H11" s="22">
        <v>38.200353832340035</v>
      </c>
      <c r="I11" s="22">
        <v>18.216022799870537</v>
      </c>
      <c r="J11" s="22">
        <f t="shared" si="1"/>
        <v>2.0970743313195417</v>
      </c>
      <c r="K11" s="23">
        <v>36.249650614293792</v>
      </c>
      <c r="M11" s="72" t="s">
        <v>37</v>
      </c>
      <c r="N11" s="73"/>
      <c r="O11" s="73"/>
      <c r="P11" s="73"/>
      <c r="Q11" s="73"/>
      <c r="R11" s="74"/>
    </row>
    <row r="12" spans="2:18" x14ac:dyDescent="0.35">
      <c r="B12" s="42">
        <v>45510</v>
      </c>
      <c r="C12" s="9" t="s">
        <v>14</v>
      </c>
      <c r="D12" s="28">
        <v>10</v>
      </c>
      <c r="E12" s="22">
        <v>201.43667400600299</v>
      </c>
      <c r="F12" s="22">
        <v>2.0504366450659584</v>
      </c>
      <c r="G12" s="22">
        <v>28.758991213715106</v>
      </c>
      <c r="H12" s="22">
        <v>39.474527549183577</v>
      </c>
      <c r="I12" s="22">
        <v>18.201334190303296</v>
      </c>
      <c r="J12" s="22">
        <f t="shared" si="1"/>
        <v>2.1687710986710802</v>
      </c>
      <c r="K12" s="23">
        <v>33.134412090638271</v>
      </c>
      <c r="M12" s="69" t="s">
        <v>38</v>
      </c>
      <c r="N12" s="70" t="s">
        <v>25</v>
      </c>
      <c r="O12" s="71" t="s">
        <v>24</v>
      </c>
      <c r="P12" s="6" t="s">
        <v>0</v>
      </c>
      <c r="Q12" s="7" t="s">
        <v>1</v>
      </c>
      <c r="R12" s="16" t="s">
        <v>6</v>
      </c>
    </row>
    <row r="13" spans="2:18" x14ac:dyDescent="0.35">
      <c r="B13" s="42">
        <v>45511</v>
      </c>
      <c r="C13" s="9" t="s">
        <v>15</v>
      </c>
      <c r="D13" s="28">
        <v>10</v>
      </c>
      <c r="E13" s="22">
        <v>193.931097579907</v>
      </c>
      <c r="F13" s="22">
        <v>1.6790703513134919</v>
      </c>
      <c r="G13" s="22">
        <v>20.903896005113126</v>
      </c>
      <c r="H13" s="22">
        <v>37.990491811896007</v>
      </c>
      <c r="I13" s="22">
        <v>19.560930415636825</v>
      </c>
      <c r="J13" s="22">
        <f t="shared" si="1"/>
        <v>1.9421617992939009</v>
      </c>
      <c r="K13" s="23">
        <v>36.065200106156389</v>
      </c>
      <c r="M13" s="52" t="s">
        <v>26</v>
      </c>
      <c r="N13" s="75" t="str" cm="1">
        <f t="array" ref="N13:N14">_xlfn.UNIQUE(_xlfn._xlws.FILTER(LEFT(MID($C$4:$C$26,FIND("/",$C$4:$C$26)+1,LEN($C$4:$C$26)),FIND(" ",MID($C$4:$C$26,FIND("/",$C$4:$C$26)+1,LEN($C$4:$C$26))&amp;" ")-1),LEFT($C$4:$C$26,FIND("/",$C$4:$C$26)-1)=M13))</f>
        <v>AL_1</v>
      </c>
      <c r="O13" s="65" cm="1">
        <f t="array" ref="O13">SUMPRODUCT($E$4:$E$26*(LEFT($C$4:$C$26,FIND("/",$C$4:$C$26)-1)=$M$13)*(LEFT(MID($C$4:$C$26,FIND("/",$C$4:$C$26)+1,LEN($C$4:$C$26)),FIND(" ",MID($C$4:$C$26,FIND("/",$C$4:$C$26)+1,LEN($C$4:$C$26))&amp;" ")-1)=N13))</f>
        <v>767.78211424158235</v>
      </c>
      <c r="P13" s="65" cm="1">
        <f t="array" ref="P13">SUMPRODUCT((--((LEFT(MID($C$4:$C$26,FIND("/",$C$4:$C$26)+1,LEN($C$4:$C$26)),FIND(" ",MID($C$4:$C$26,FIND("/",$C$4:$C$26)+1,LEN($C$4:$C$26))&amp;" ")-1))=$N13)),$F$4:$F$26,$E$4:$E$26)/$O13</f>
        <v>1.7768831859687018</v>
      </c>
      <c r="Q13" s="65" cm="1">
        <f t="array" ref="Q13">SUMPRODUCT((--((LEFT(MID($C$4:$C$26,FIND("/",$C$4:$C$26)+1,LEN($C$4:$C$26)),FIND(" ",MID($C$4:$C$26,FIND("/",$C$4:$C$26)+1,LEN($C$4:$C$26))&amp;" ")-1))=$N13)),$G$4:$G$26,$E$4:$E$26)/$O13</f>
        <v>25.222211492581867</v>
      </c>
      <c r="R13" s="66" cm="1">
        <f t="array" ref="R13">SUMPRODUCT((--((LEFT(MID($C$4:$C$26,FIND("/",$C$4:$C$26)+1,LEN($C$4:$C$26)),FIND(" ",MID($C$4:$C$26,FIND("/",$C$4:$C$26)+1,LEN($C$4:$C$26))&amp;" ")-1))=$N13)),$J$4:$J$26,$E$4:$E$26)/$O13</f>
        <v>1.8910262598793968</v>
      </c>
    </row>
    <row r="14" spans="2:18" x14ac:dyDescent="0.35">
      <c r="B14" s="42">
        <v>45512</v>
      </c>
      <c r="C14" s="9" t="s">
        <v>9</v>
      </c>
      <c r="D14" s="28">
        <v>10</v>
      </c>
      <c r="E14" s="22">
        <v>197.12249523492969</v>
      </c>
      <c r="F14" s="22">
        <v>1.4719954609895871</v>
      </c>
      <c r="G14" s="22">
        <v>23.418406475586536</v>
      </c>
      <c r="H14" s="22">
        <v>37.117152459334825</v>
      </c>
      <c r="I14" s="22">
        <v>19.53621873057131</v>
      </c>
      <c r="J14" s="22">
        <f t="shared" si="1"/>
        <v>1.8999148694650894</v>
      </c>
      <c r="K14" s="23">
        <v>36.199308114083848</v>
      </c>
      <c r="M14" s="53"/>
      <c r="N14" s="75" t="str">
        <v>WHY_10</v>
      </c>
      <c r="O14" s="65" cm="1">
        <f t="array" ref="O14">SUMPRODUCT($E$4:$E$26*(LEFT($C$4:$C$26,FIND("/",$C$4:$C$26)-1)=$M$13)*(LEFT(MID($C$4:$C$26,FIND("/",$C$4:$C$26)+1,LEN($C$4:$C$26)),FIND(" ",MID($C$4:$C$26,FIND("/",$C$4:$C$26)+1,LEN($C$4:$C$26))&amp;" ")-1)=N14))</f>
        <v>378.48882207931354</v>
      </c>
      <c r="P14" s="65" cm="1">
        <f t="array" ref="P14">SUMPRODUCT((--((LEFT(MID($C$4:$C$26,FIND("/",$C$4:$C$26)+1,LEN($C$4:$C$26)),FIND(" ",MID($C$4:$C$26,FIND("/",$C$4:$C$26)+1,LEN($C$4:$C$26))&amp;" ")-1))=$N14)),$F$4:$F$26,$E$4:$E$26)/$O14</f>
        <v>2.0019708869727801</v>
      </c>
      <c r="Q14" s="65" cm="1">
        <f t="array" ref="Q14">SUMPRODUCT((--((LEFT(MID($C$4:$C$26,FIND("/",$C$4:$C$26)+1,LEN($C$4:$C$26)),FIND(" ",MID($C$4:$C$26,FIND("/",$C$4:$C$26)+1,LEN($C$4:$C$26))&amp;" ")-1))=$N14)),$G$4:$G$26,$E$4:$E$26)/$O14</f>
        <v>25.784616934628207</v>
      </c>
      <c r="R14" s="66" cm="1">
        <f t="array" ref="R14">SUMPRODUCT((--((LEFT(MID($C$4:$C$26,FIND("/",$C$4:$C$26)+1,LEN($C$4:$C$26)),FIND(" ",MID($C$4:$C$26,FIND("/",$C$4:$C$26)+1,LEN($C$4:$C$26))&amp;" ")-1))=$N14)),$J$4:$J$26,$E$4:$E$26)/$O14</f>
        <v>2.0047895421288366</v>
      </c>
    </row>
    <row r="15" spans="2:18" x14ac:dyDescent="0.35">
      <c r="B15" s="42">
        <v>45513</v>
      </c>
      <c r="C15" s="9" t="s">
        <v>10</v>
      </c>
      <c r="D15" s="28">
        <v>10</v>
      </c>
      <c r="E15" s="22">
        <v>202.54860067492299</v>
      </c>
      <c r="F15" s="22">
        <v>2.0078545565069703</v>
      </c>
      <c r="G15" s="22">
        <v>28.24137033749636</v>
      </c>
      <c r="H15" s="22">
        <v>37.136337569190772</v>
      </c>
      <c r="I15" s="22">
        <v>18.551561596874603</v>
      </c>
      <c r="J15" s="22">
        <f t="shared" si="1"/>
        <v>2.0017903816489047</v>
      </c>
      <c r="K15" s="23">
        <v>37.114493881319625</v>
      </c>
      <c r="M15" s="54" t="s">
        <v>27</v>
      </c>
      <c r="N15" s="75" t="str" cm="1">
        <f t="array" ref="N15">_xlfn.UNIQUE(_xlfn._xlws.FILTER(LEFT(MID($C$4:$C$26,FIND("/",$C$4:$C$26)+1,LEN($C$4:$C$26)),FIND(" ",MID($C$4:$C$26,FIND("/",$C$4:$C$26)+1,LEN($C$4:$C$26))&amp;" ")-1),LEFT($C$4:$C$26,FIND("/",$C$4:$C$26)-1)=M15))</f>
        <v>LN_2</v>
      </c>
      <c r="O15" s="65" cm="1">
        <f t="array" ref="O15">SUMPRODUCT($E$4:$E$26*(LEFT($C$4:$C$26,FIND("/",$C$4:$C$26)-1)=$M$15)*(LEFT(MID($C$4:$C$26,FIND("/",$C$4:$C$26)+1,LEN($C$4:$C$26)),FIND(" ",MID($C$4:$C$26,FIND("/",$C$4:$C$26)+1,LEN($C$4:$C$26))&amp;" ")-1)=N15))</f>
        <v>1671.0559905936489</v>
      </c>
      <c r="P15" s="65" cm="1">
        <f t="array" ref="P15">SUMPRODUCT((--((LEFT(MID($C$4:$C$26,FIND("/",$C$4:$C$26)+1,LEN($C$4:$C$26)),FIND(" ",MID($C$4:$C$26,FIND("/",$C$4:$C$26)+1,LEN($C$4:$C$26))&amp;" ")-1))=$N15)),$F$4:$F$26,$E$4:$E$26)/$O15</f>
        <v>1.845155898716049</v>
      </c>
      <c r="Q15" s="65" cm="1">
        <f t="array" ref="Q15">SUMPRODUCT((--((LEFT(MID($C$4:$C$26,FIND("/",$C$4:$C$26)+1,LEN($C$4:$C$26)),FIND(" ",MID($C$4:$C$26,FIND("/",$C$4:$C$26)+1,LEN($C$4:$C$26))&amp;" ")-1))=$N15)),$G$4:$G$26,$E$4:$E$26)/$O15</f>
        <v>22.488032460303742</v>
      </c>
      <c r="R15" s="66" cm="1">
        <f t="array" ref="R15">SUMPRODUCT((--((LEFT(MID($C$4:$C$26,FIND("/",$C$4:$C$26)+1,LEN($C$4:$C$26)),FIND(" ",MID($C$4:$C$26,FIND("/",$C$4:$C$26)+1,LEN($C$4:$C$26))&amp;" ")-1))=$N15)),$J$4:$J$26,$E$4:$E$26)/$O15</f>
        <v>1.977465410448044</v>
      </c>
    </row>
    <row r="16" spans="2:18" x14ac:dyDescent="0.35">
      <c r="B16" s="42">
        <v>45514</v>
      </c>
      <c r="C16" s="9" t="s">
        <v>19</v>
      </c>
      <c r="D16" s="28">
        <v>10</v>
      </c>
      <c r="E16" s="22">
        <v>192.68812449123254</v>
      </c>
      <c r="F16" s="22">
        <v>1.5389201922804236</v>
      </c>
      <c r="G16" s="22">
        <v>19.286341481183314</v>
      </c>
      <c r="H16" s="22">
        <v>35.89346414191764</v>
      </c>
      <c r="I16" s="22">
        <v>19.86197001070915</v>
      </c>
      <c r="J16" s="22">
        <f t="shared" si="1"/>
        <v>1.8071452188561683</v>
      </c>
      <c r="K16" s="23">
        <v>36.105766453727597</v>
      </c>
      <c r="M16" s="52" t="s">
        <v>28</v>
      </c>
      <c r="N16" s="75" t="str" cm="1">
        <f t="array" ref="N16:N17">_xlfn.UNIQUE(_xlfn._xlws.FILTER(LEFT(MID($C$4:$C$26,FIND("/",$C$4:$C$26)+1,LEN($C$4:$C$26)),FIND(" ",MID($C$4:$C$26,FIND("/",$C$4:$C$26)+1,LEN($C$4:$C$26))&amp;" ")-1),LEFT($C$4:$C$26,FIND("/",$C$4:$C$26)-1)=M16))</f>
        <v>MTMS_3</v>
      </c>
      <c r="O16" s="65" cm="1">
        <f t="array" ref="O16">SUMPRODUCT($E$4:$E$26*(LEFT($C$4:$C$26,FIND("/",$C$4:$C$26)-1)=$M$16)*(LEFT(MID($C$4:$C$26,FIND("/",$C$4:$C$26)+1,LEN($C$4:$C$26)),FIND(" ",MID($C$4:$C$26,FIND("/",$C$4:$C$26)+1,LEN($C$4:$C$26))&amp;" ")-1)=N16))</f>
        <v>573.82965043394336</v>
      </c>
      <c r="P16" s="65" cm="1">
        <f t="array" ref="P16">SUMPRODUCT((--((LEFT(MID($C$4:$C$26,FIND("/",$C$4:$C$26)+1,LEN($C$4:$C$26)),FIND(" ",MID($C$4:$C$26,FIND("/",$C$4:$C$26)+1,LEN($C$4:$C$26))&amp;" ")-1))=$N16)),$F$4:$F$26,$E$4:$E$26)/$O16</f>
        <v>1.7353433549937396</v>
      </c>
      <c r="Q16" s="65" cm="1">
        <f t="array" ref="Q16">SUMPRODUCT((--((LEFT(MID($C$4:$C$26,FIND("/",$C$4:$C$26)+1,LEN($C$4:$C$26)),FIND(" ",MID($C$4:$C$26,FIND("/",$C$4:$C$26)+1,LEN($C$4:$C$26))&amp;" ")-1))=$N16)),$G$4:$G$26,$E$4:$E$26)/$O16</f>
        <v>23.727417688559285</v>
      </c>
      <c r="R16" s="66" cm="1">
        <f t="array" ref="R16">SUMPRODUCT((--((LEFT(MID($C$4:$C$26,FIND("/",$C$4:$C$26)+1,LEN($C$4:$C$26)),FIND(" ",MID($C$4:$C$26,FIND("/",$C$4:$C$26)+1,LEN($C$4:$C$26))&amp;" ")-1))=$N16)),$J$4:$J$26,$E$4:$E$26)/$O16</f>
        <v>2.0698885646019418</v>
      </c>
    </row>
    <row r="17" spans="2:20" ht="15" thickBot="1" x14ac:dyDescent="0.4">
      <c r="B17" s="42">
        <v>45515</v>
      </c>
      <c r="C17" s="9" t="s">
        <v>11</v>
      </c>
      <c r="D17" s="28">
        <v>10</v>
      </c>
      <c r="E17" s="22">
        <v>172.3578134202545</v>
      </c>
      <c r="F17" s="22">
        <v>1.8935411135319149</v>
      </c>
      <c r="G17" s="22">
        <v>23.493592726914791</v>
      </c>
      <c r="H17" s="22">
        <v>37.885718787628143</v>
      </c>
      <c r="I17" s="22">
        <v>18.103679001143032</v>
      </c>
      <c r="J17" s="22">
        <f t="shared" si="1"/>
        <v>2.0927082713539114</v>
      </c>
      <c r="K17" s="23">
        <v>37.746818472490077</v>
      </c>
      <c r="M17" s="55"/>
      <c r="N17" s="76" t="str">
        <v>MTMS_4</v>
      </c>
      <c r="O17" s="67" cm="1">
        <f t="array" ref="O17">SUMPRODUCT($E$4:$E$26*(LEFT($C$4:$C$26,FIND("/",$C$4:$C$26)-1)=$M$16)*(LEFT(MID($C$4:$C$26,FIND("/",$C$4:$C$26)+1,LEN($C$4:$C$26)),FIND(" ",MID($C$4:$C$26,FIND("/",$C$4:$C$26)+1,LEN($C$4:$C$26))&amp;" ")-1)=N17))</f>
        <v>579.8304947226186</v>
      </c>
      <c r="P17" s="67" cm="1">
        <f t="array" ref="P17">SUMPRODUCT((--((LEFT(MID($C$4:$C$26,FIND("/",$C$4:$C$26)+1,LEN($C$4:$C$26)),FIND(" ",MID($C$4:$C$26,FIND("/",$C$4:$C$26)+1,LEN($C$4:$C$26))&amp;" ")-1))=$N17)),$F$4:$F$26,$E$4:$E$26)/$O17</f>
        <v>1.7596000734783548</v>
      </c>
      <c r="Q17" s="67" cm="1">
        <f t="array" ref="Q17">SUMPRODUCT((--((LEFT(MID($C$4:$C$26,FIND("/",$C$4:$C$26)+1,LEN($C$4:$C$26)),FIND(" ",MID($C$4:$C$26,FIND("/",$C$4:$C$26)+1,LEN($C$4:$C$26))&amp;" ")-1))=$N17)),$G$4:$G$26,$E$4:$E$26)/$O17</f>
        <v>22.67096715555984</v>
      </c>
      <c r="R17" s="68" cm="1">
        <f t="array" ref="R17">SUMPRODUCT((--((LEFT(MID($C$4:$C$26,FIND("/",$C$4:$C$26)+1,LEN($C$4:$C$26)),FIND(" ",MID($C$4:$C$26,FIND("/",$C$4:$C$26)+1,LEN($C$4:$C$26))&amp;" ")-1))=$N17)),$J$4:$J$26,$E$4:$E$26)/$O17</f>
        <v>1.8245349584398771</v>
      </c>
      <c r="S17" s="3"/>
      <c r="T17" s="3"/>
    </row>
    <row r="18" spans="2:20" x14ac:dyDescent="0.35">
      <c r="B18" s="42">
        <v>45516</v>
      </c>
      <c r="C18" s="9" t="s">
        <v>29</v>
      </c>
      <c r="D18" s="28">
        <v>10</v>
      </c>
      <c r="E18" s="22">
        <v>190.27518737947918</v>
      </c>
      <c r="F18" s="22">
        <v>1.4817099727920726</v>
      </c>
      <c r="G18" s="22">
        <v>22.452637004210768</v>
      </c>
      <c r="H18" s="22">
        <v>31.374128903545468</v>
      </c>
      <c r="I18" s="22">
        <v>18.696805957115689</v>
      </c>
      <c r="J18" s="22">
        <f t="shared" si="1"/>
        <v>1.6780475218872881</v>
      </c>
      <c r="K18" s="23">
        <v>33.403279660442436</v>
      </c>
      <c r="M18"/>
      <c r="N18" s="83"/>
      <c r="O18" s="84"/>
      <c r="P18" s="84"/>
      <c r="Q18" s="84"/>
      <c r="R18" s="84"/>
    </row>
    <row r="19" spans="2:20" x14ac:dyDescent="0.35">
      <c r="B19" s="42">
        <v>45517</v>
      </c>
      <c r="C19" s="9" t="s">
        <v>30</v>
      </c>
      <c r="D19" s="28">
        <v>10</v>
      </c>
      <c r="E19" s="22">
        <v>199.26073578668087</v>
      </c>
      <c r="F19" s="22">
        <v>2.0383944693678053</v>
      </c>
      <c r="G19" s="22">
        <v>19.437400600425878</v>
      </c>
      <c r="H19" s="22">
        <v>36.982629271923088</v>
      </c>
      <c r="I19" s="22">
        <v>18.87084815107054</v>
      </c>
      <c r="J19" s="22">
        <f t="shared" si="1"/>
        <v>1.9597756802375133</v>
      </c>
      <c r="K19" s="23">
        <v>37.859859379398074</v>
      </c>
      <c r="M19" s="57"/>
      <c r="N19" s="83"/>
      <c r="O19" s="84"/>
      <c r="P19" s="84"/>
      <c r="Q19" s="84"/>
      <c r="R19" s="84"/>
    </row>
    <row r="20" spans="2:20" ht="15" thickBot="1" x14ac:dyDescent="0.4">
      <c r="B20" s="42">
        <v>45518</v>
      </c>
      <c r="C20" s="9" t="s">
        <v>31</v>
      </c>
      <c r="D20" s="28">
        <v>10</v>
      </c>
      <c r="E20" s="22">
        <v>190.29457155645852</v>
      </c>
      <c r="F20" s="22">
        <v>1.7455314352757352</v>
      </c>
      <c r="G20" s="22">
        <v>26.275198510347813</v>
      </c>
      <c r="H20" s="22">
        <v>34.234936149217383</v>
      </c>
      <c r="I20" s="22">
        <v>18.713806530187142</v>
      </c>
      <c r="J20" s="22">
        <f t="shared" si="1"/>
        <v>1.8293945752828633</v>
      </c>
      <c r="K20" s="23">
        <v>33.321650601217733</v>
      </c>
      <c r="M20" t="s">
        <v>41</v>
      </c>
    </row>
    <row r="21" spans="2:20" x14ac:dyDescent="0.35">
      <c r="B21" s="42">
        <v>45536</v>
      </c>
      <c r="C21" s="9" t="s">
        <v>22</v>
      </c>
      <c r="D21" s="28">
        <v>10</v>
      </c>
      <c r="E21" s="22">
        <v>197.64843771472772</v>
      </c>
      <c r="F21" s="22">
        <v>2.088408374930816</v>
      </c>
      <c r="G21" s="22">
        <v>28.440672622977683</v>
      </c>
      <c r="H21" s="22">
        <v>39.108661778778682</v>
      </c>
      <c r="I21" s="22">
        <v>19.270378512950408</v>
      </c>
      <c r="J21" s="22">
        <f t="shared" si="1"/>
        <v>2.0294703475853479</v>
      </c>
      <c r="K21" s="23">
        <v>33.388468814225419</v>
      </c>
      <c r="M21" s="12" t="s">
        <v>36</v>
      </c>
      <c r="N21" s="13"/>
      <c r="O21" s="13"/>
      <c r="P21" s="13"/>
      <c r="Q21" s="13"/>
      <c r="R21" s="14"/>
    </row>
    <row r="22" spans="2:20" x14ac:dyDescent="0.35">
      <c r="B22" s="42">
        <v>45537</v>
      </c>
      <c r="C22" s="9" t="s">
        <v>23</v>
      </c>
      <c r="D22" s="28">
        <v>10</v>
      </c>
      <c r="E22" s="22">
        <v>180.84038436458579</v>
      </c>
      <c r="F22" s="22">
        <v>1.9074995413443143</v>
      </c>
      <c r="G22" s="22">
        <v>22.881696444107543</v>
      </c>
      <c r="H22" s="22">
        <v>36.854310909233348</v>
      </c>
      <c r="I22" s="22">
        <v>18.633853331199695</v>
      </c>
      <c r="J22" s="22">
        <f t="shared" si="1"/>
        <v>1.9778148005236325</v>
      </c>
      <c r="K22" s="23">
        <v>35.171950326291288</v>
      </c>
      <c r="M22" s="15" t="s">
        <v>32</v>
      </c>
      <c r="N22" s="5"/>
      <c r="O22" s="64" t="s">
        <v>24</v>
      </c>
      <c r="P22" s="6" t="s">
        <v>0</v>
      </c>
      <c r="Q22" s="7" t="s">
        <v>1</v>
      </c>
      <c r="R22" s="16" t="s">
        <v>6</v>
      </c>
    </row>
    <row r="23" spans="2:20" x14ac:dyDescent="0.35">
      <c r="B23" s="42">
        <v>45538</v>
      </c>
      <c r="C23" s="9" t="s">
        <v>12</v>
      </c>
      <c r="D23" s="28">
        <v>10</v>
      </c>
      <c r="E23" s="22">
        <v>183.13424972128968</v>
      </c>
      <c r="F23" s="22">
        <v>2.0149255349955295</v>
      </c>
      <c r="G23" s="22">
        <v>22.965802443261385</v>
      </c>
      <c r="H23" s="22">
        <v>32.36954303785263</v>
      </c>
      <c r="I23" s="22">
        <v>18.426252752247215</v>
      </c>
      <c r="J23" s="22">
        <f t="shared" si="1"/>
        <v>1.7567078598715591</v>
      </c>
      <c r="K23" s="23">
        <v>34.452187440062339</v>
      </c>
      <c r="M23" s="17">
        <v>45505</v>
      </c>
      <c r="N23" s="8"/>
      <c r="O23" s="65">
        <f>SUMIFS($E$4:$E$26,$B$4:$B$26,"&gt;="&amp;M23,$B$4:$B$26,"&lt;="&amp;M23)</f>
        <v>568.40103310341794</v>
      </c>
      <c r="P23" s="65" cm="1">
        <f t="array" ref="P23">SUMPRODUCT(($B$4:$B$26&gt;=M23)*($B$4:$B$26&lt;=M23)*$F$4:$F$26,$E$4:$E$26)/$O23</f>
        <v>1.8895369107926889</v>
      </c>
      <c r="Q23" s="65" cm="1">
        <f t="array" ref="Q23">SUMPRODUCT(($B$4:$B$26&gt;=M23)*($B$4:$B$26&lt;=M23)*$G$4:$G$26,$E$4:$E$26)/$O23</f>
        <v>20.858516423668959</v>
      </c>
      <c r="R23" s="66" cm="1">
        <f t="array" ref="R23">SUMPRODUCT(($B$4:$B$26&gt;=M23)*($B$4:$B$26&lt;=M23)*$J$4:$J$26,$E$4:$E$26)/$O23</f>
        <v>2.0761494422896702</v>
      </c>
    </row>
    <row r="24" spans="2:20" x14ac:dyDescent="0.35">
      <c r="B24" s="42">
        <v>45539</v>
      </c>
      <c r="C24" s="9" t="s">
        <v>16</v>
      </c>
      <c r="D24" s="28">
        <v>10</v>
      </c>
      <c r="E24" s="22">
        <v>190.08491233964395</v>
      </c>
      <c r="F24" s="22">
        <v>2.0305700970472289</v>
      </c>
      <c r="G24" s="22">
        <v>22.941402217654989</v>
      </c>
      <c r="H24" s="22">
        <v>36.257375775187569</v>
      </c>
      <c r="I24" s="22">
        <v>18.042792373000079</v>
      </c>
      <c r="J24" s="22">
        <f t="shared" si="1"/>
        <v>2.0095213105397414</v>
      </c>
      <c r="K24" s="23">
        <v>33.708495773059042</v>
      </c>
      <c r="M24" s="81">
        <v>45510</v>
      </c>
      <c r="N24" s="82">
        <v>45512</v>
      </c>
      <c r="O24" s="65">
        <f>SUMIFS($E$4:$E$26,$B$4:$B$26,"&gt;="&amp;M24,$B$4:$B$26,"&lt;="&amp;N24)</f>
        <v>592.49026682083968</v>
      </c>
      <c r="P24" s="65" cm="1">
        <f t="array" ref="P24">SUMPRODUCT(($B$4:$B$26&gt;=M24)*($B$4:$B$26&lt;=N24)*$F$4:$F$26,$E$4:$E$26)/$O24</f>
        <v>1.7364344530946998</v>
      </c>
      <c r="Q24" s="65" cm="1">
        <f t="array" ref="Q24">SUMPRODUCT(($B$4:$B$26&gt;=M24)*($B$4:$B$26&lt;=N24)*$G$4:$G$26,$E$4:$E$26)/$O24</f>
        <v>24.411077384151199</v>
      </c>
      <c r="R24" s="66" cm="1">
        <f t="array" ref="R24">SUMPRODUCT(($B$4:$B$26&gt;=M24)*($B$4:$B$26&lt;=N24)*$J$4:$J$26,$E$4:$E$26)/$O24</f>
        <v>2.0051495063186042</v>
      </c>
    </row>
    <row r="25" spans="2:20" x14ac:dyDescent="0.35">
      <c r="B25" s="42">
        <v>45540</v>
      </c>
      <c r="C25" s="9" t="s">
        <v>17</v>
      </c>
      <c r="D25" s="28">
        <v>10</v>
      </c>
      <c r="E25" s="22">
        <v>176.75313395040968</v>
      </c>
      <c r="F25" s="22">
        <v>1.9200377402983855</v>
      </c>
      <c r="G25" s="22">
        <v>26.419282894844084</v>
      </c>
      <c r="H25" s="22">
        <v>37.570484295378641</v>
      </c>
      <c r="I25" s="22">
        <v>18.329521268986415</v>
      </c>
      <c r="J25" s="22">
        <f t="shared" si="1"/>
        <v>2.0497253443791776</v>
      </c>
      <c r="K25" s="23">
        <v>36.546447141130152</v>
      </c>
      <c r="M25" s="18">
        <v>45505</v>
      </c>
      <c r="N25" s="10"/>
      <c r="O25" s="65">
        <f>SUMIFS($E$4:$E$26,$B$4:$B$26,"&gt;="&amp;EOMONTH(M25,-1)+1,$B$4:$B$26,"&lt;="&amp;EOMONTH(M25,0))</f>
        <v>2854.7750282193178</v>
      </c>
      <c r="P25" s="65" cm="1">
        <f t="array" ref="P25">SUMPRODUCT(($B$4:$B$26&gt;=DATE(YEAR($M$25),MONTH($M$25),1))*($B$4:$B$26&lt;=DATE(YEAR($M$25),MONTH($M$25)+1,0))*$F$4:$F$26,$E$4:$E$26)/$O$25</f>
        <v>1.7455538047207497</v>
      </c>
      <c r="Q25" s="65" cm="1">
        <f t="array" ref="Q25">SUMPRODUCT(($B$4:$B$26&gt;=DATE(YEAR($M$25),MONTH($M$25),1))*($B$4:$B$26&lt;=DATE(YEAR($M$25),MONTH($M$25)+1,0))*$G$4:$G$26,$E$4:$E$26)/$O$25</f>
        <v>22.863721531218363</v>
      </c>
      <c r="R25" s="66" cm="1">
        <f t="array" ref="R25">SUMPRODUCT(($B$4:$B$26&gt;=DATE(YEAR($M$25),MONTH($M$25),1))*($B$4:$B$26&lt;=DATE(YEAR($M$25),MONTH($M$25)+1,0))*$J$4:$J$26,$E$4:$E$26)/$O$25</f>
        <v>1.9691960136248976</v>
      </c>
    </row>
    <row r="26" spans="2:20" ht="15" thickBot="1" x14ac:dyDescent="0.4">
      <c r="B26" s="43">
        <v>45541</v>
      </c>
      <c r="C26" s="34" t="s">
        <v>18</v>
      </c>
      <c r="D26" s="35">
        <v>10</v>
      </c>
      <c r="E26" s="25">
        <v>187.75092576113104</v>
      </c>
      <c r="F26" s="25">
        <v>2.0567700676903513</v>
      </c>
      <c r="G26" s="25">
        <v>27.683625774559861</v>
      </c>
      <c r="H26" s="25">
        <v>33.012183520452268</v>
      </c>
      <c r="I26" s="25">
        <v>19.711702398061608</v>
      </c>
      <c r="J26" s="25">
        <f t="shared" si="1"/>
        <v>1.6747505037260806</v>
      </c>
      <c r="K26" s="26">
        <v>34.916258137552894</v>
      </c>
      <c r="M26" s="18">
        <v>45536</v>
      </c>
      <c r="N26" s="10"/>
      <c r="O26" s="65">
        <f>SUMIFS($E$4:$E$26,$B$4:$B$26,"&gt;="&amp;EOMONTH(M26,-1)+1,$B$4:$B$26,"&lt;="&amp;EOMONTH(M26,0))</f>
        <v>1116.2120438517877</v>
      </c>
      <c r="P26" s="65" cm="1">
        <f t="array" ref="P26">SUMPRODUCT(($B$4:$B$26&gt;=DATE(YEAR($M$26),MONTH($M$26),1))*($B$4:$B$26&lt;=DATE(YEAR($M$26),MONTH($M$26)+1,0))*$F$4:$F$26,$E$4:$E$26)/$O$26</f>
        <v>2.0052098544857238</v>
      </c>
      <c r="Q26" s="65" cm="1">
        <f t="array" ref="Q26">SUMPRODUCT(($B$4:$B$26&gt;=DATE(YEAR($M$26),MONTH($M$26),1))*($B$4:$B$26&lt;=DATE(YEAR($M$26),MONTH($M$26)+1,0))*$G$4:$G$26,$E$4:$E$26)/$O$26</f>
        <v>25.257876665831102</v>
      </c>
      <c r="R26" s="66" cm="1">
        <f t="array" ref="R26">SUMPRODUCT(($B$4:$B$26&gt;=DATE(YEAR($M$26),MONTH($M$26),1))*($B$4:$B$26&lt;=DATE(YEAR($M$26),MONTH($M$26)+1,0))*$J$4:$J$26,$E$4:$E$26)/$O$26</f>
        <v>1.9164950226133521</v>
      </c>
    </row>
    <row r="27" spans="2:20" ht="15" thickBot="1" x14ac:dyDescent="0.4">
      <c r="M27" s="19">
        <v>45505</v>
      </c>
      <c r="N27" s="20"/>
      <c r="O27" s="67">
        <f>SUMIFS($E$4:$E$26,$B$4:$B$26,"&gt;="&amp;DATE(YEAR(M27), 1, 1),$B$4:$B$26,"&lt;="&amp;DATE(YEAR(M27)+1, 1, 0))</f>
        <v>3970.9870720711051</v>
      </c>
      <c r="P27" s="67" cm="1">
        <f t="array" ref="P27">SUMPRODUCT(($B$4:$B$26&gt;=DATE(YEAR($M$27), 1, 1))*($B$4:$B$26&lt;=DATE(YEAR($M$27)+1, 1, 0))*$F$4:$F$26,$E$4:$E$26)/$O$27</f>
        <v>1.8185410002835594</v>
      </c>
      <c r="Q27" s="67" cm="1">
        <f t="array" ref="Q27">SUMPRODUCT(($B$4:$B$26&gt;=DATE(YEAR($M$27), 1, 1))*($B$4:$B$26&lt;=DATE(YEAR($M$27)+1, 1, 0))*$G$4:$G$26,$E$4:$E$26)/$O$27</f>
        <v>23.536698991885476</v>
      </c>
      <c r="R27" s="68" cm="1">
        <f t="array" ref="R27">SUMPRODUCT(($B$4:$B$26&gt;=DATE(YEAR($M$27), 1, 1))*($B$4:$B$26&lt;=DATE(YEAR($M$27)+1, 1, 0))*$J$4:$J$26,$E$4:$E$26)/$O$27</f>
        <v>1.9543821953418457</v>
      </c>
    </row>
    <row r="28" spans="2:20" x14ac:dyDescent="0.35">
      <c r="M28"/>
      <c r="N28" s="2"/>
      <c r="P28" s="4"/>
      <c r="Q28" s="4"/>
    </row>
    <row r="29" spans="2:20" x14ac:dyDescent="0.35">
      <c r="Q29" s="4"/>
    </row>
    <row r="36" spans="2:13" x14ac:dyDescent="0.35">
      <c r="B36"/>
    </row>
    <row r="37" spans="2:13" x14ac:dyDescent="0.35">
      <c r="B37"/>
      <c r="E37"/>
      <c r="M37"/>
    </row>
  </sheetData>
  <mergeCells count="13">
    <mergeCell ref="M25:N25"/>
    <mergeCell ref="M27:N27"/>
    <mergeCell ref="M26:N26"/>
    <mergeCell ref="B2:K2"/>
    <mergeCell ref="M13:M14"/>
    <mergeCell ref="M16:M17"/>
    <mergeCell ref="M4:M6"/>
    <mergeCell ref="N4:N6"/>
    <mergeCell ref="M22:N22"/>
    <mergeCell ref="M23:N23"/>
    <mergeCell ref="M21:R21"/>
    <mergeCell ref="M11:R11"/>
    <mergeCell ref="M3:N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747B-78C9-42C2-89BD-12F5AA358B42}">
  <dimension ref="B1:Y19"/>
  <sheetViews>
    <sheetView showGridLines="0" tabSelected="1" topLeftCell="M1" workbookViewId="0">
      <selection activeCell="Q15" sqref="Q15"/>
    </sheetView>
  </sheetViews>
  <sheetFormatPr defaultRowHeight="14.5" x14ac:dyDescent="0.35"/>
  <cols>
    <col min="2" max="2" width="33.453125" customWidth="1"/>
    <col min="3" max="3" width="13.1796875" customWidth="1"/>
    <col min="4" max="6" width="11.6328125" customWidth="1"/>
    <col min="7" max="7" width="13.1796875" customWidth="1"/>
    <col min="8" max="8" width="13.54296875" bestFit="1" customWidth="1"/>
    <col min="9" max="14" width="7.1796875" customWidth="1"/>
    <col min="16" max="16" width="19.6328125" customWidth="1"/>
    <col min="17" max="17" width="32.26953125" bestFit="1" customWidth="1"/>
    <col min="18" max="18" width="14.26953125" customWidth="1"/>
    <col min="20" max="20" width="13.08984375" customWidth="1"/>
    <col min="21" max="21" width="13.54296875" customWidth="1"/>
    <col min="22" max="23" width="10.453125" bestFit="1" customWidth="1"/>
  </cols>
  <sheetData>
    <row r="1" spans="2:25" ht="19" thickBot="1" x14ac:dyDescent="0.4">
      <c r="B1" s="112" t="s">
        <v>84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2:25" ht="19" hidden="1" customHeight="1" thickBot="1" x14ac:dyDescent="0.4">
      <c r="B2" s="97" t="s">
        <v>35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9"/>
    </row>
    <row r="3" spans="2:25" ht="15" thickBot="1" x14ac:dyDescent="0.4">
      <c r="B3" s="41" t="s">
        <v>44</v>
      </c>
      <c r="C3" s="30" t="s">
        <v>68</v>
      </c>
      <c r="D3" s="29" t="s">
        <v>42</v>
      </c>
      <c r="E3" s="29" t="s">
        <v>43</v>
      </c>
      <c r="F3" s="30" t="s">
        <v>24</v>
      </c>
      <c r="G3" s="30" t="s">
        <v>50</v>
      </c>
      <c r="H3" s="30" t="s">
        <v>67</v>
      </c>
      <c r="I3" s="31" t="s">
        <v>0</v>
      </c>
      <c r="J3" s="32" t="s">
        <v>1</v>
      </c>
      <c r="K3" s="32" t="s">
        <v>2</v>
      </c>
      <c r="L3" s="32" t="s">
        <v>3</v>
      </c>
      <c r="M3" s="32" t="s">
        <v>6</v>
      </c>
      <c r="N3" s="33" t="s">
        <v>4</v>
      </c>
      <c r="P3" t="s">
        <v>74</v>
      </c>
      <c r="T3" t="s">
        <v>75</v>
      </c>
    </row>
    <row r="4" spans="2:25" x14ac:dyDescent="0.35">
      <c r="B4" s="87" t="s">
        <v>45</v>
      </c>
      <c r="C4" s="75" t="s">
        <v>69</v>
      </c>
      <c r="D4" s="82">
        <v>44927</v>
      </c>
      <c r="E4" s="82">
        <v>44929</v>
      </c>
      <c r="F4" s="65">
        <v>10123.290000000001</v>
      </c>
      <c r="G4" s="75" t="s">
        <v>51</v>
      </c>
      <c r="H4" s="75" t="s">
        <v>54</v>
      </c>
      <c r="I4" s="65">
        <v>2.0101428173236839</v>
      </c>
      <c r="J4" s="65">
        <v>27.674976461622425</v>
      </c>
      <c r="K4" s="65">
        <v>39.347372460179827</v>
      </c>
      <c r="L4" s="65">
        <v>18.085117266362467</v>
      </c>
      <c r="M4" s="65">
        <f>K4/L4</f>
        <v>2.1756769326215113</v>
      </c>
      <c r="N4" s="66">
        <v>34.905650202450744</v>
      </c>
      <c r="P4" s="95" t="s">
        <v>65</v>
      </c>
      <c r="Q4" s="100" t="s">
        <v>66</v>
      </c>
      <c r="R4" s="90" t="s">
        <v>68</v>
      </c>
      <c r="T4" s="95" t="s">
        <v>68</v>
      </c>
      <c r="U4" s="103" t="s">
        <v>24</v>
      </c>
      <c r="V4" s="96" t="s">
        <v>0</v>
      </c>
      <c r="W4" s="27" t="s">
        <v>1</v>
      </c>
    </row>
    <row r="5" spans="2:25" x14ac:dyDescent="0.35">
      <c r="B5" s="87" t="s">
        <v>46</v>
      </c>
      <c r="C5" s="75" t="s">
        <v>69</v>
      </c>
      <c r="D5" s="82">
        <v>44930</v>
      </c>
      <c r="E5" s="82">
        <v>44933</v>
      </c>
      <c r="F5" s="65">
        <v>12912.34</v>
      </c>
      <c r="G5" s="75" t="s">
        <v>51</v>
      </c>
      <c r="H5" s="75" t="s">
        <v>54</v>
      </c>
      <c r="I5" s="65">
        <v>2.0278678152480492</v>
      </c>
      <c r="J5" s="65">
        <v>27.008783993307226</v>
      </c>
      <c r="K5" s="65">
        <v>38.295333802826185</v>
      </c>
      <c r="L5" s="65">
        <v>19.815798394510686</v>
      </c>
      <c r="M5" s="65">
        <f t="shared" ref="M5:M13" si="0">K5/L5</f>
        <v>1.9325657760746418</v>
      </c>
      <c r="N5" s="66">
        <v>33.763852867059541</v>
      </c>
      <c r="P5" s="91" t="s">
        <v>51</v>
      </c>
      <c r="Q5" s="21" t="str" cm="1">
        <f t="array" ref="Q5:R10">_xlfn._xlws.FILTER($B$4:$C$16,(G4:$G$16=P5))</f>
        <v>TB. Buana Jaya - BG. Lintas Samudera</v>
      </c>
      <c r="R5" s="101" t="str">
        <v>VALE</v>
      </c>
      <c r="T5" s="85" t="str" cm="1">
        <f t="array" ref="T5:T9">_xlfn.UNIQUE($C$4:$C$16)</f>
        <v>VALE</v>
      </c>
      <c r="U5" s="22" cm="1">
        <f t="array" ref="U5:U9">SUMIFS($F$4:$F$16,$C$4:$C$16,_xlfn.ANCHORARRAY(T5),$H$4:$H$16,"ISSUED")</f>
        <v>23035.63</v>
      </c>
      <c r="V5" s="22" cm="1">
        <f t="array" ref="V5">SUMPRODUCT(--($C$4:$C$16=T5),($H$4:$H$16="ISSUED")*$I$4:$I$16,$F$4:$F$16)/U5</f>
        <v>2.0200783476173507</v>
      </c>
      <c r="W5" s="23" cm="1">
        <f t="array" ref="W5">SUMPRODUCT(--($C$4:$C$16=T5),($H$4:$H$16="ISSUED")*$J$4:$J$16,$F$4:$F$16)/U5</f>
        <v>27.301550440440238</v>
      </c>
    </row>
    <row r="6" spans="2:25" x14ac:dyDescent="0.35">
      <c r="B6" s="87" t="s">
        <v>47</v>
      </c>
      <c r="C6" s="75" t="s">
        <v>70</v>
      </c>
      <c r="D6" s="82">
        <v>44977</v>
      </c>
      <c r="E6" s="82">
        <v>44982</v>
      </c>
      <c r="F6" s="65">
        <v>11234.89</v>
      </c>
      <c r="G6" s="75" t="s">
        <v>52</v>
      </c>
      <c r="H6" s="75" t="s">
        <v>54</v>
      </c>
      <c r="I6" s="65">
        <v>2.1155352127288953</v>
      </c>
      <c r="J6" s="65">
        <v>27.380767982618124</v>
      </c>
      <c r="K6" s="65">
        <v>36.136969675383696</v>
      </c>
      <c r="L6" s="65">
        <v>24.68019913825519</v>
      </c>
      <c r="M6" s="65">
        <f t="shared" si="0"/>
        <v>1.4642089990015559</v>
      </c>
      <c r="N6" s="66">
        <v>32.321020204248235</v>
      </c>
      <c r="P6" s="92"/>
      <c r="Q6" s="21" t="str">
        <v>TB. ABC - BG. Janice</v>
      </c>
      <c r="R6" s="101" t="str">
        <v>VALE</v>
      </c>
      <c r="T6" s="85" t="str">
        <v>B8M</v>
      </c>
      <c r="U6" s="22">
        <v>24447.449999999997</v>
      </c>
      <c r="V6" s="22" cm="1">
        <f t="array" ref="V6">SUMPRODUCT(--($C$4:$C$16=T6),($H$4:$H$16="ISSUED")*$I$4:$I$16,$F$4:$F$16)/U6</f>
        <v>2.1351813063005287</v>
      </c>
      <c r="W6" s="23" cm="1">
        <f t="array" ref="W6">SUMPRODUCT(--($C$4:$C$16=T6),($H$4:$H$16="ISSUED")*$J$4:$J$16,$F$4:$F$16)/U6</f>
        <v>26.498561720416873</v>
      </c>
    </row>
    <row r="7" spans="2:25" x14ac:dyDescent="0.35">
      <c r="B7" s="87" t="s">
        <v>48</v>
      </c>
      <c r="C7" s="75" t="s">
        <v>70</v>
      </c>
      <c r="D7" s="82">
        <v>45350</v>
      </c>
      <c r="E7" s="82">
        <v>45353</v>
      </c>
      <c r="F7" s="65">
        <v>13212.56</v>
      </c>
      <c r="G7" s="75" t="s">
        <v>52</v>
      </c>
      <c r="H7" s="75" t="s">
        <v>54</v>
      </c>
      <c r="I7" s="65">
        <v>2.1518867517408524</v>
      </c>
      <c r="J7" s="65">
        <v>25.748405027607738</v>
      </c>
      <c r="K7" s="65">
        <v>39.730921545259022</v>
      </c>
      <c r="L7" s="65">
        <v>17.130089826942729</v>
      </c>
      <c r="M7" s="65">
        <f t="shared" si="0"/>
        <v>2.3193644602358718</v>
      </c>
      <c r="N7" s="66">
        <v>33.235731099750495</v>
      </c>
      <c r="P7" s="92"/>
      <c r="Q7" s="21" t="str">
        <v>TB. Buana Sukses - BG. Sejahtera</v>
      </c>
      <c r="R7" s="101" t="str">
        <v>28R</v>
      </c>
      <c r="T7" s="85" t="str">
        <v>28R</v>
      </c>
      <c r="U7" s="22">
        <v>26321.97373232674</v>
      </c>
      <c r="V7" s="22" cm="1">
        <f t="array" ref="V7">SUMPRODUCT(--($C$4:$C$16=T7),($H$4:$H$16="ISSUED")*$I$4:$I$16,$F$4:$F$16)/U7</f>
        <v>2.0502955154468658</v>
      </c>
      <c r="W7" s="23" cm="1">
        <f t="array" ref="W7">SUMPRODUCT(--($C$4:$C$16=T7),($H$4:$H$16="ISSUED")*$J$4:$J$16,$F$4:$F$16)/U7</f>
        <v>24.331098678287539</v>
      </c>
    </row>
    <row r="8" spans="2:25" x14ac:dyDescent="0.35">
      <c r="B8" s="87" t="s">
        <v>49</v>
      </c>
      <c r="C8" s="75" t="s">
        <v>71</v>
      </c>
      <c r="D8" s="82">
        <v>45364</v>
      </c>
      <c r="E8" s="82">
        <v>45369</v>
      </c>
      <c r="F8" s="65">
        <v>10123.450000000001</v>
      </c>
      <c r="G8" s="75" t="s">
        <v>52</v>
      </c>
      <c r="H8" s="75" t="s">
        <v>54</v>
      </c>
      <c r="I8" s="65">
        <v>1.9410172154365815</v>
      </c>
      <c r="J8" s="65">
        <v>26.470084925063681</v>
      </c>
      <c r="K8" s="65">
        <v>30.610963647810124</v>
      </c>
      <c r="L8" s="65">
        <v>18.12263597081833</v>
      </c>
      <c r="M8" s="65">
        <f t="shared" si="0"/>
        <v>1.689101061076375</v>
      </c>
      <c r="N8" s="66">
        <v>36.885045365178392</v>
      </c>
      <c r="P8" s="92"/>
      <c r="Q8" s="21" t="str">
        <v>TB. Aul - BG. Why</v>
      </c>
      <c r="R8" s="101" t="str">
        <v>HARITA</v>
      </c>
      <c r="T8" s="85" t="str">
        <v>HARITA</v>
      </c>
      <c r="U8" s="22">
        <v>7900.23</v>
      </c>
      <c r="V8" s="22" cm="1">
        <f t="array" ref="V8">SUMPRODUCT(--($C$4:$C$16=T8),($H$4:$H$16="ISSUED")*$I$4:$I$16,$F$4:$F$16)/U8</f>
        <v>2.154435818183658</v>
      </c>
      <c r="W8" s="23" cm="1">
        <f t="array" ref="W8">SUMPRODUCT(--($C$4:$C$16=T8),($H$4:$H$16="ISSUED")*$J$4:$J$16,$F$4:$F$16)/U8</f>
        <v>23.153929889278807</v>
      </c>
    </row>
    <row r="9" spans="2:25" ht="15" thickBot="1" x14ac:dyDescent="0.4">
      <c r="B9" s="87" t="s">
        <v>55</v>
      </c>
      <c r="C9" s="75" t="s">
        <v>71</v>
      </c>
      <c r="D9" s="82">
        <v>45412</v>
      </c>
      <c r="E9" s="82">
        <v>45414</v>
      </c>
      <c r="F9" s="65">
        <v>5900.12</v>
      </c>
      <c r="G9" s="75" t="s">
        <v>51</v>
      </c>
      <c r="H9" s="75" t="s">
        <v>54</v>
      </c>
      <c r="I9" s="65">
        <v>2.1946769666249826</v>
      </c>
      <c r="J9" s="65">
        <v>27.146795871845526</v>
      </c>
      <c r="K9" s="65">
        <v>36.434248997773018</v>
      </c>
      <c r="L9" s="65">
        <v>20.334405969088717</v>
      </c>
      <c r="M9" s="65">
        <f t="shared" si="0"/>
        <v>1.7917537917339914</v>
      </c>
      <c r="N9" s="66">
        <v>30.458109852997197</v>
      </c>
      <c r="P9" s="92"/>
      <c r="Q9" s="21" t="str">
        <v>TB. Zeus XII - BG. Lancar 2000</v>
      </c>
      <c r="R9" s="101" t="str">
        <v>B8M</v>
      </c>
      <c r="T9" s="86" t="str">
        <v>ANTAM</v>
      </c>
      <c r="U9" s="25">
        <v>21836.301147241884</v>
      </c>
      <c r="V9" s="25" cm="1">
        <f t="array" ref="V9">SUMPRODUCT(--($C$4:$C$16=T9),($H$4:$H$16="ISSUED")*$I$4:$I$16,$F$4:$F$16)/U9</f>
        <v>1.8834161044139341</v>
      </c>
      <c r="W9" s="26" cm="1">
        <f t="array" ref="W9">SUMPRODUCT(--($C$4:$C$16=T9),($H$4:$H$16="ISSUED")*$J$4:$J$16,$F$4:$F$16)/U9</f>
        <v>28.875880884331707</v>
      </c>
    </row>
    <row r="10" spans="2:25" x14ac:dyDescent="0.35">
      <c r="B10" s="87" t="s">
        <v>56</v>
      </c>
      <c r="C10" s="75" t="s">
        <v>73</v>
      </c>
      <c r="D10" s="82">
        <v>45424</v>
      </c>
      <c r="E10" s="82">
        <v>45427</v>
      </c>
      <c r="F10" s="65">
        <v>7900.23</v>
      </c>
      <c r="G10" s="75" t="s">
        <v>51</v>
      </c>
      <c r="H10" s="75" t="s">
        <v>54</v>
      </c>
      <c r="I10" s="65">
        <v>2.154435818183658</v>
      </c>
      <c r="J10" s="65">
        <v>23.153929889278807</v>
      </c>
      <c r="K10" s="65">
        <v>35.502695682479271</v>
      </c>
      <c r="L10" s="65">
        <v>23.539763071492498</v>
      </c>
      <c r="M10" s="65">
        <f t="shared" si="0"/>
        <v>1.5082010627997491</v>
      </c>
      <c r="N10" s="66">
        <v>36.791277963595014</v>
      </c>
      <c r="P10" s="94"/>
      <c r="Q10" s="21" t="str">
        <v>TB. Kelly 40 - BG. GHI 01</v>
      </c>
      <c r="R10" s="101" t="str">
        <v>VALE</v>
      </c>
    </row>
    <row r="11" spans="2:25" x14ac:dyDescent="0.35">
      <c r="B11" s="87" t="s">
        <v>62</v>
      </c>
      <c r="C11" s="75" t="s">
        <v>72</v>
      </c>
      <c r="D11" s="82">
        <v>45425</v>
      </c>
      <c r="E11" s="82">
        <v>45430</v>
      </c>
      <c r="F11" s="65">
        <v>11152.278725153485</v>
      </c>
      <c r="G11" s="75" t="s">
        <v>63</v>
      </c>
      <c r="H11" s="75" t="s">
        <v>54</v>
      </c>
      <c r="I11" s="65">
        <v>1.8471957626515736</v>
      </c>
      <c r="J11" s="65">
        <v>29.982547708236265</v>
      </c>
      <c r="K11" s="65">
        <v>36.662527747458967</v>
      </c>
      <c r="L11" s="65">
        <v>23.089074677364724</v>
      </c>
      <c r="M11" s="65">
        <f t="shared" si="0"/>
        <v>1.58787341024978</v>
      </c>
      <c r="N11" s="66">
        <v>37.855120005030976</v>
      </c>
      <c r="P11" s="91" t="s">
        <v>52</v>
      </c>
      <c r="Q11" s="21" t="str" cm="1">
        <f t="array" ref="Q11:R13">_xlfn._xlws.FILTER($B$4:$C$16,(G4:$G$16=P11))</f>
        <v>TB. 28 - BG. Ayoda</v>
      </c>
      <c r="R11" s="101" t="str">
        <v>B8M</v>
      </c>
    </row>
    <row r="12" spans="2:25" x14ac:dyDescent="0.35">
      <c r="B12" s="87" t="s">
        <v>57</v>
      </c>
      <c r="C12" s="75" t="s">
        <v>71</v>
      </c>
      <c r="D12" s="82">
        <v>45562</v>
      </c>
      <c r="E12" s="82">
        <v>45564</v>
      </c>
      <c r="F12" s="65">
        <v>10298.403732326738</v>
      </c>
      <c r="G12" s="75" t="s">
        <v>63</v>
      </c>
      <c r="H12" s="75" t="s">
        <v>54</v>
      </c>
      <c r="I12" s="65">
        <v>2.0749989088199094</v>
      </c>
      <c r="J12" s="65">
        <v>20.615292555299632</v>
      </c>
      <c r="K12" s="65">
        <v>35.85748131320593</v>
      </c>
      <c r="L12" s="65">
        <v>22.088751191756348</v>
      </c>
      <c r="M12" s="65">
        <f t="shared" si="0"/>
        <v>1.6233367383208226</v>
      </c>
      <c r="N12" s="66">
        <v>35.444529775573152</v>
      </c>
      <c r="P12" s="92"/>
      <c r="Q12" s="21" t="str">
        <v>TB. Buana Jaya - BG. Golden Way</v>
      </c>
      <c r="R12" s="101" t="str">
        <v>B8M</v>
      </c>
      <c r="T12" t="s">
        <v>82</v>
      </c>
    </row>
    <row r="13" spans="2:25" ht="15" thickBot="1" x14ac:dyDescent="0.4">
      <c r="B13" s="87" t="s">
        <v>58</v>
      </c>
      <c r="C13" s="75" t="s">
        <v>72</v>
      </c>
      <c r="D13" s="82">
        <v>45564</v>
      </c>
      <c r="E13" s="82">
        <v>45566</v>
      </c>
      <c r="F13" s="65">
        <v>10684.022422088399</v>
      </c>
      <c r="G13" s="75" t="s">
        <v>64</v>
      </c>
      <c r="H13" s="75" t="s">
        <v>54</v>
      </c>
      <c r="I13" s="65">
        <v>1.921223901037334</v>
      </c>
      <c r="J13" s="65">
        <v>27.720711380891863</v>
      </c>
      <c r="K13" s="65">
        <v>36.365901298587616</v>
      </c>
      <c r="L13" s="65">
        <v>18.928707296067724</v>
      </c>
      <c r="M13" s="65">
        <f t="shared" si="0"/>
        <v>1.9212036368771108</v>
      </c>
      <c r="N13" s="66">
        <v>36.848901496892402</v>
      </c>
      <c r="P13" s="93"/>
      <c r="Q13" s="24" t="str">
        <v>TB. XYZ - BG. Caroline</v>
      </c>
      <c r="R13" s="102" t="str">
        <v>28R</v>
      </c>
      <c r="T13" s="104" t="s">
        <v>80</v>
      </c>
      <c r="U13" s="104"/>
      <c r="V13" s="105">
        <v>45570</v>
      </c>
    </row>
    <row r="14" spans="2:25" x14ac:dyDescent="0.35">
      <c r="B14" s="87" t="s">
        <v>59</v>
      </c>
      <c r="C14" s="75" t="s">
        <v>73</v>
      </c>
      <c r="D14" s="82">
        <v>45565</v>
      </c>
      <c r="E14" s="82">
        <v>45567</v>
      </c>
      <c r="F14" s="65">
        <v>11645.227741784769</v>
      </c>
      <c r="G14" s="75" t="s">
        <v>64</v>
      </c>
      <c r="H14" s="75" t="s">
        <v>53</v>
      </c>
      <c r="I14" s="65"/>
      <c r="J14" s="65"/>
      <c r="K14" s="65"/>
      <c r="L14" s="65"/>
      <c r="M14" s="65"/>
      <c r="N14" s="66"/>
      <c r="T14" s="108" t="s">
        <v>32</v>
      </c>
      <c r="U14" s="107" t="s">
        <v>32</v>
      </c>
      <c r="V14" s="107"/>
      <c r="W14" s="71" t="s">
        <v>24</v>
      </c>
      <c r="X14" s="96" t="s">
        <v>0</v>
      </c>
      <c r="Y14" s="27" t="s">
        <v>1</v>
      </c>
    </row>
    <row r="15" spans="2:25" x14ac:dyDescent="0.35">
      <c r="B15" s="87" t="s">
        <v>60</v>
      </c>
      <c r="C15" s="75" t="s">
        <v>70</v>
      </c>
      <c r="D15" s="82">
        <v>45567</v>
      </c>
      <c r="E15" s="82">
        <v>45569</v>
      </c>
      <c r="F15" s="65">
        <v>10415.253317152761</v>
      </c>
      <c r="G15" s="75" t="s">
        <v>51</v>
      </c>
      <c r="H15" s="75" t="s">
        <v>53</v>
      </c>
      <c r="I15" s="65"/>
      <c r="J15" s="65"/>
      <c r="K15" s="65"/>
      <c r="L15" s="65"/>
      <c r="M15" s="65"/>
      <c r="N15" s="66"/>
      <c r="T15" s="36" t="s">
        <v>76</v>
      </c>
      <c r="U15" s="82">
        <v>45564</v>
      </c>
      <c r="V15" s="82">
        <v>45570</v>
      </c>
      <c r="W15" s="22">
        <f>SUMIFS($F$4:$F$16,$H$4:$H$16,"ISSUED",$E$4:$E$16,"&gt;="&amp;U15,$E$4:$E$16,"&lt;="&amp;V15)</f>
        <v>20982.426154415138</v>
      </c>
      <c r="X15" s="22" cm="1">
        <f t="array" ref="X15">SUMPRODUCT(($E$4:$E$16&gt;=$U$15)*($E$4:$E$16&lt;=$V$15)*($H$4:$H$16="ISSUED")*$I$4:$I$16,$F$4:$F$16)/W15</f>
        <v>1.9966983529635436</v>
      </c>
      <c r="Y15" s="23" cm="1">
        <f t="array" ref="Y15">SUMPRODUCT(($E$4:$E$16&gt;=$U$15)*($E$4:$E$16&lt;=$V$15)*($H$4:$H$16="ISSUED")*$J$4:$J$16,$F$4:$F$16)/W15</f>
        <v>24.233294281710211</v>
      </c>
    </row>
    <row r="16" spans="2:25" ht="15" thickBot="1" x14ac:dyDescent="0.4">
      <c r="B16" s="88" t="s">
        <v>61</v>
      </c>
      <c r="C16" s="76" t="s">
        <v>69</v>
      </c>
      <c r="D16" s="89">
        <v>45570</v>
      </c>
      <c r="E16" s="89" t="s">
        <v>81</v>
      </c>
      <c r="F16" s="67"/>
      <c r="G16" s="76" t="s">
        <v>51</v>
      </c>
      <c r="H16" s="76" t="s">
        <v>53</v>
      </c>
      <c r="I16" s="67"/>
      <c r="J16" s="67"/>
      <c r="K16" s="67"/>
      <c r="L16" s="67"/>
      <c r="M16" s="67"/>
      <c r="N16" s="68"/>
      <c r="T16" s="36" t="s">
        <v>77</v>
      </c>
      <c r="U16" s="10">
        <f>V13</f>
        <v>45570</v>
      </c>
      <c r="V16" s="10"/>
      <c r="W16" s="22">
        <f>SUMIFS($F$4:$F$16,$H$4:$H$16,"ISSUED",$E$4:$E$16,"&gt;="&amp;EOMONTH($V$13,-1)+1,$E$4:$E$16,"&lt;="&amp;EOMONTH($V$13,0))</f>
        <v>10684.022422088399</v>
      </c>
      <c r="X16" s="22" cm="1">
        <f t="array" ref="X16">SUMPRODUCT(($E$4:$E$16&gt;=DATE(YEAR($U$16),MONTH($U$16),1))*($E$4:$E$16&lt;=DATE(YEAR($U$16),MONTH($U$16)+1,0))*($H$4:$H$16="ISSUED")*$I$4:$I$16,$F$4:$F$16)/W16</f>
        <v>1.921223901037334</v>
      </c>
      <c r="Y16" s="23" cm="1">
        <f t="array" ref="Y16">SUMPRODUCT(($E$4:$E$16&gt;=DATE(YEAR($U$16),MONTH($U$16),1))*($E$4:$E$16&lt;=DATE(YEAR($U$16),MONTH($U$16)+1,0))*($H$4:$H$16="ISSUED")*$J$4:$J$16,$F$4:$F$16)/W16</f>
        <v>27.720711380891867</v>
      </c>
    </row>
    <row r="17" spans="9:25" x14ac:dyDescent="0.35">
      <c r="T17" s="85" t="s">
        <v>78</v>
      </c>
      <c r="U17" s="11">
        <f>V13</f>
        <v>45570</v>
      </c>
      <c r="V17" s="11"/>
      <c r="W17" s="22">
        <f>SUMIFS($F$4:$F$16,$H$4:$H$16,"ISSUED",$E$4:$E$16,"&gt;="&amp;DATE(YEAR($U$17), 1, 1),$E$4:$E$16,"&lt;="&amp;DATE(YEAR($U$17)+1, 1, 0))</f>
        <v>69271.064879568628</v>
      </c>
      <c r="X17" s="22" cm="1">
        <f t="array" ref="X17">SUMPRODUCT(($E$4:$E$16&gt;=DATE(YEAR(U17), 1, 1))*($E$4:$E$16&lt;=DATE(YEAR($U$17)+1, 1, 0))*($H$4:$H$16="ISSUED")*$I$4:$I$16,$F$4:$F$16)/$W$17</f>
        <v>2.0289443722493119</v>
      </c>
      <c r="Y17" s="23" cm="1">
        <f t="array" ref="Y17">SUMPRODUCT(($E$4:$E$16&gt;=DATE(YEAR(U17), 1, 1))*($E$4:$E$16&lt;=DATE(YEAR($U$17)+1, 1, 0))*($H$4:$H$16="ISSUED")*$J$4:$J$16,$F$4:$F$16)/$W$17</f>
        <v>25.899828335981045</v>
      </c>
    </row>
    <row r="18" spans="9:25" ht="15" thickBot="1" x14ac:dyDescent="0.4">
      <c r="I18" s="1"/>
      <c r="T18" s="109" t="s">
        <v>79</v>
      </c>
      <c r="U18" s="110"/>
      <c r="V18" s="111"/>
      <c r="W18" s="25">
        <f>SUMIFS($F$4:$F$16,$H$4:$H$16,"ISSUED",$E$4:$E$16,"&gt;="&amp;DATEVALUE("1/1/2023"),$E$4:$E$16,"&lt;="&amp;$V$13)</f>
        <v>103541.58487956863</v>
      </c>
      <c r="X18" s="25" cm="1">
        <f t="array" ref="X18">SUMPRODUCT(($E$4:$E$16&gt;=DATEVALUE("1/1/2022"))*($E$4:$E$16&lt;=$V$13)*($H$4:$H$16="ISSUED")*$I$4:$I$16,$F$4:$F$16)/$W$18</f>
        <v>2.0363675163483412</v>
      </c>
      <c r="Y18" s="26" cm="1">
        <f t="array" ref="Y18">SUMPRODUCT(($E$4:$E$16&gt;=DATEVALUE("1/1/2022"))*($E$4:$E$16&lt;=$V$13)*($H$4:$H$16="ISSUED")*$J$4:$J$16,$F$4:$F$16)/$W$18</f>
        <v>26.372370318457541</v>
      </c>
    </row>
    <row r="19" spans="9:25" x14ac:dyDescent="0.35">
      <c r="U19" s="106"/>
      <c r="V19" s="106"/>
    </row>
  </sheetData>
  <mergeCells count="8">
    <mergeCell ref="U17:V17"/>
    <mergeCell ref="T18:V18"/>
    <mergeCell ref="B1:N1"/>
    <mergeCell ref="P5:P10"/>
    <mergeCell ref="P11:P13"/>
    <mergeCell ref="T13:U13"/>
    <mergeCell ref="U14:V14"/>
    <mergeCell ref="U16:V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ORE PRODUCTION</vt:lpstr>
      <vt:lpstr>ORE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Admin</dc:creator>
  <cp:lastModifiedBy>User Admin</cp:lastModifiedBy>
  <dcterms:created xsi:type="dcterms:W3CDTF">2024-11-16T00:49:39Z</dcterms:created>
  <dcterms:modified xsi:type="dcterms:W3CDTF">2024-11-16T08:20:04Z</dcterms:modified>
</cp:coreProperties>
</file>