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kojim\Dropbox\PC\Documents\AMED\"/>
    </mc:Choice>
  </mc:AlternateContent>
  <xr:revisionPtr revIDLastSave="0" documentId="8_{FF155BB7-292C-41AD-92E5-8A1869DE831D}" xr6:coauthVersionLast="47" xr6:coauthVersionMax="47" xr10:uidLastSave="{00000000-0000-0000-0000-000000000000}"/>
  <bookViews>
    <workbookView xWindow="2472" yWindow="1380" windowWidth="14628" windowHeight="12696" xr2:uid="{381AAE55-C880-4A6D-B42A-36F8A04709EF}"/>
  </bookViews>
  <sheets>
    <sheet name="RD_信頼区間_相関係数から_比" sheetId="3" r:id="rId1"/>
    <sheet name="RD_信頼区間_相関係数から_標準化" sheetId="4" r:id="rId2"/>
    <sheet name="RD-MD_信頼区間_相関係数から_SW" sheetId="1" r:id="rId3"/>
    <sheet name="連続変数-二値変数変換" sheetId="7" r:id="rId4"/>
    <sheet name="文献－計算式" sheetId="8" r:id="rId5"/>
  </sheets>
  <definedNames>
    <definedName name="_xlnm._FilterDatabase" localSheetId="0" hidden="1">RD_信頼区間_相関係数から_比!$B$4:$D$4</definedName>
    <definedName name="_xlnm._FilterDatabase" localSheetId="1" hidden="1">RD_信頼区間_相関係数から_標準化!$B$4:$D$4</definedName>
    <definedName name="_xlnm._FilterDatabase" localSheetId="2" hidden="1">'RD-MD_信頼区間_相関係数から_SW'!$B$4:$D$4</definedName>
    <definedName name="_xlnm._FilterDatabase" localSheetId="4" hidden="1">'文献－計算式'!#REF!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4" i="3" l="1"/>
  <c r="E43" i="3"/>
  <c r="E42" i="3"/>
  <c r="E41" i="3"/>
  <c r="E40" i="3"/>
  <c r="C44" i="3"/>
  <c r="C43" i="3"/>
  <c r="C42" i="3"/>
  <c r="C41" i="3"/>
  <c r="C40" i="3"/>
  <c r="C130" i="1"/>
  <c r="E130" i="1" s="1"/>
  <c r="C129" i="1"/>
  <c r="D129" i="1" s="1"/>
  <c r="C128" i="1"/>
  <c r="E128" i="1" s="1"/>
  <c r="C127" i="1"/>
  <c r="C126" i="1"/>
  <c r="C125" i="1"/>
  <c r="C124" i="1"/>
  <c r="C123" i="1"/>
  <c r="C122" i="1"/>
  <c r="C121" i="1"/>
  <c r="B130" i="1"/>
  <c r="B129" i="1"/>
  <c r="B128" i="1"/>
  <c r="B127" i="1"/>
  <c r="B126" i="1"/>
  <c r="B125" i="1"/>
  <c r="B124" i="1"/>
  <c r="B123" i="1"/>
  <c r="B122" i="1"/>
  <c r="B121" i="1"/>
  <c r="C92" i="1"/>
  <c r="D92" i="1" s="1"/>
  <c r="C91" i="1"/>
  <c r="D91" i="1" s="1"/>
  <c r="C90" i="1"/>
  <c r="D90" i="1" s="1"/>
  <c r="B92" i="1"/>
  <c r="B91" i="1"/>
  <c r="B90" i="1"/>
  <c r="B89" i="1"/>
  <c r="B88" i="1"/>
  <c r="B87" i="1"/>
  <c r="B86" i="1"/>
  <c r="B85" i="1"/>
  <c r="B84" i="1"/>
  <c r="B83" i="1"/>
  <c r="D40" i="1"/>
  <c r="D39" i="1"/>
  <c r="D38" i="1"/>
  <c r="D37" i="1"/>
  <c r="D36" i="1"/>
  <c r="D35" i="1"/>
  <c r="D34" i="1"/>
  <c r="D33" i="1"/>
  <c r="D32" i="1"/>
  <c r="D31" i="1"/>
  <c r="C40" i="1"/>
  <c r="C39" i="1"/>
  <c r="C38" i="1"/>
  <c r="B40" i="1"/>
  <c r="B39" i="1"/>
  <c r="B38" i="1"/>
  <c r="B37" i="1"/>
  <c r="B36" i="1"/>
  <c r="B35" i="1"/>
  <c r="B34" i="1"/>
  <c r="B33" i="1"/>
  <c r="B32" i="1"/>
  <c r="B31" i="1"/>
  <c r="D76" i="1"/>
  <c r="D75" i="1"/>
  <c r="D74" i="1"/>
  <c r="B76" i="1"/>
  <c r="B75" i="1"/>
  <c r="B74" i="1"/>
  <c r="B73" i="1"/>
  <c r="B72" i="1"/>
  <c r="B71" i="1"/>
  <c r="B70" i="1"/>
  <c r="B69" i="1"/>
  <c r="B68" i="1"/>
  <c r="B67" i="1"/>
  <c r="AT15" i="1"/>
  <c r="AS6" i="1"/>
  <c r="AS7" i="1"/>
  <c r="AS8" i="1"/>
  <c r="AS9" i="1"/>
  <c r="AS10" i="1"/>
  <c r="AS11" i="1"/>
  <c r="AS12" i="1"/>
  <c r="AS13" i="1"/>
  <c r="AS14" i="1"/>
  <c r="AS5" i="1"/>
  <c r="AY5" i="1"/>
  <c r="AY6" i="1"/>
  <c r="AY7" i="1"/>
  <c r="AY8" i="1"/>
  <c r="AY9" i="1"/>
  <c r="AY10" i="1"/>
  <c r="AY11" i="1"/>
  <c r="AY12" i="1"/>
  <c r="AY13" i="1"/>
  <c r="AY14" i="1"/>
  <c r="I8" i="7"/>
  <c r="F14" i="7" s="1"/>
  <c r="G5" i="7"/>
  <c r="G4" i="7"/>
  <c r="C12" i="7"/>
  <c r="C13" i="7" s="1"/>
  <c r="E13" i="7" s="1"/>
  <c r="D14" i="7"/>
  <c r="C14" i="7"/>
  <c r="F8" i="7"/>
  <c r="G3" i="7" s="1"/>
  <c r="E129" i="1" l="1"/>
  <c r="D130" i="1"/>
  <c r="E90" i="1"/>
  <c r="E91" i="1"/>
  <c r="E92" i="1"/>
  <c r="D128" i="1"/>
  <c r="L8" i="7"/>
  <c r="L5" i="7" s="1"/>
  <c r="Q5" i="7"/>
  <c r="R5" i="7"/>
  <c r="P5" i="7"/>
  <c r="M8" i="7"/>
  <c r="E14" i="7"/>
  <c r="E15" i="7" s="1"/>
  <c r="E12" i="7"/>
  <c r="C93" i="4"/>
  <c r="E93" i="4" s="1"/>
  <c r="B93" i="4"/>
  <c r="C92" i="4"/>
  <c r="E92" i="4" s="1"/>
  <c r="B92" i="4"/>
  <c r="C91" i="4"/>
  <c r="E91" i="4" s="1"/>
  <c r="B91" i="4"/>
  <c r="C90" i="4"/>
  <c r="E90" i="4" s="1"/>
  <c r="B90" i="4"/>
  <c r="C89" i="4"/>
  <c r="E89" i="4" s="1"/>
  <c r="B89" i="4"/>
  <c r="C88" i="4"/>
  <c r="B88" i="4"/>
  <c r="C87" i="4"/>
  <c r="B87" i="4"/>
  <c r="C86" i="4"/>
  <c r="B86" i="4"/>
  <c r="C85" i="4"/>
  <c r="B85" i="4"/>
  <c r="C84" i="4"/>
  <c r="B84" i="4"/>
  <c r="C76" i="4"/>
  <c r="E76" i="4" s="1"/>
  <c r="B76" i="4"/>
  <c r="C75" i="4"/>
  <c r="E75" i="4" s="1"/>
  <c r="B75" i="4"/>
  <c r="C74" i="4"/>
  <c r="E74" i="4" s="1"/>
  <c r="B74" i="4"/>
  <c r="C73" i="4"/>
  <c r="E73" i="4" s="1"/>
  <c r="B73" i="4"/>
  <c r="C72" i="4"/>
  <c r="E72" i="4" s="1"/>
  <c r="B72" i="4"/>
  <c r="C71" i="4"/>
  <c r="B71" i="4"/>
  <c r="C70" i="4"/>
  <c r="B70" i="4"/>
  <c r="C69" i="4"/>
  <c r="B69" i="4"/>
  <c r="C68" i="4"/>
  <c r="B68" i="4"/>
  <c r="C67" i="4"/>
  <c r="B67" i="4"/>
  <c r="C91" i="3"/>
  <c r="E91" i="3" s="1"/>
  <c r="C90" i="3"/>
  <c r="D90" i="3" s="1"/>
  <c r="C89" i="3"/>
  <c r="E89" i="3" s="1"/>
  <c r="C88" i="3"/>
  <c r="E88" i="3" s="1"/>
  <c r="C87" i="3"/>
  <c r="E87" i="3" s="1"/>
  <c r="C86" i="3"/>
  <c r="C85" i="3"/>
  <c r="C84" i="3"/>
  <c r="C83" i="3"/>
  <c r="C82" i="3"/>
  <c r="B91" i="3"/>
  <c r="B90" i="3"/>
  <c r="B89" i="3"/>
  <c r="B88" i="3"/>
  <c r="B87" i="3"/>
  <c r="B86" i="3"/>
  <c r="B85" i="3"/>
  <c r="B84" i="3"/>
  <c r="B83" i="3"/>
  <c r="B82" i="3"/>
  <c r="C76" i="3"/>
  <c r="D76" i="3" s="1"/>
  <c r="C75" i="3"/>
  <c r="E75" i="3" s="1"/>
  <c r="C74" i="3"/>
  <c r="E74" i="3" s="1"/>
  <c r="C73" i="3"/>
  <c r="D73" i="3" s="1"/>
  <c r="C72" i="3"/>
  <c r="D72" i="3" s="1"/>
  <c r="C71" i="3"/>
  <c r="C70" i="3"/>
  <c r="C69" i="3"/>
  <c r="C68" i="3"/>
  <c r="C67" i="3"/>
  <c r="B76" i="3"/>
  <c r="B75" i="3"/>
  <c r="B74" i="3"/>
  <c r="B73" i="3"/>
  <c r="B72" i="3"/>
  <c r="B71" i="3"/>
  <c r="B70" i="3"/>
  <c r="B69" i="3"/>
  <c r="B68" i="3"/>
  <c r="B67" i="3"/>
  <c r="B60" i="3"/>
  <c r="B59" i="3"/>
  <c r="B58" i="3"/>
  <c r="B57" i="3"/>
  <c r="B56" i="3"/>
  <c r="B55" i="3"/>
  <c r="B54" i="3"/>
  <c r="B53" i="3"/>
  <c r="B52" i="3"/>
  <c r="B51" i="3"/>
  <c r="B39" i="3"/>
  <c r="B38" i="3"/>
  <c r="B37" i="3"/>
  <c r="B36" i="3"/>
  <c r="B35" i="3"/>
  <c r="B60" i="4"/>
  <c r="B59" i="4"/>
  <c r="B58" i="4"/>
  <c r="B57" i="4"/>
  <c r="B56" i="4"/>
  <c r="B55" i="4"/>
  <c r="B54" i="4"/>
  <c r="B53" i="4"/>
  <c r="B52" i="4"/>
  <c r="B51" i="4"/>
  <c r="D44" i="4"/>
  <c r="D60" i="4" s="1"/>
  <c r="C44" i="4"/>
  <c r="C60" i="4" s="1"/>
  <c r="B44" i="4"/>
  <c r="D43" i="4"/>
  <c r="D59" i="4" s="1"/>
  <c r="C43" i="4"/>
  <c r="C59" i="4" s="1"/>
  <c r="B43" i="4"/>
  <c r="D42" i="4"/>
  <c r="D58" i="4" s="1"/>
  <c r="C42" i="4"/>
  <c r="C58" i="4" s="1"/>
  <c r="B42" i="4"/>
  <c r="D41" i="4"/>
  <c r="D57" i="4" s="1"/>
  <c r="C41" i="4"/>
  <c r="C57" i="4" s="1"/>
  <c r="B41" i="4"/>
  <c r="D40" i="4"/>
  <c r="D56" i="4" s="1"/>
  <c r="C40" i="4"/>
  <c r="C56" i="4" s="1"/>
  <c r="B40" i="4"/>
  <c r="D39" i="4"/>
  <c r="B39" i="4"/>
  <c r="D38" i="4"/>
  <c r="B38" i="4"/>
  <c r="D37" i="4"/>
  <c r="B37" i="4"/>
  <c r="D36" i="4"/>
  <c r="B36" i="4"/>
  <c r="D35" i="4"/>
  <c r="B35" i="4"/>
  <c r="D44" i="3"/>
  <c r="D60" i="3" s="1"/>
  <c r="C60" i="3"/>
  <c r="D43" i="3"/>
  <c r="D59" i="3" s="1"/>
  <c r="C59" i="3"/>
  <c r="D42" i="3"/>
  <c r="D58" i="3" s="1"/>
  <c r="C58" i="3"/>
  <c r="D41" i="3"/>
  <c r="D57" i="3" s="1"/>
  <c r="C57" i="3"/>
  <c r="D40" i="3"/>
  <c r="D56" i="3" s="1"/>
  <c r="C56" i="3"/>
  <c r="D39" i="3"/>
  <c r="D38" i="3"/>
  <c r="D37" i="3"/>
  <c r="D36" i="3"/>
  <c r="D35" i="3"/>
  <c r="E90" i="3" l="1"/>
  <c r="D89" i="3"/>
  <c r="E72" i="3"/>
  <c r="E73" i="3"/>
  <c r="N8" i="7"/>
  <c r="I5" i="7"/>
  <c r="O5" i="7" s="1"/>
  <c r="I4" i="7"/>
  <c r="N5" i="7" s="1"/>
  <c r="D15" i="7"/>
  <c r="C15" i="7" s="1"/>
  <c r="C209" i="7" s="1"/>
  <c r="I3" i="7"/>
  <c r="M5" i="7" s="1"/>
  <c r="E76" i="3"/>
  <c r="D74" i="3"/>
  <c r="D75" i="3"/>
  <c r="D87" i="3"/>
  <c r="D72" i="4"/>
  <c r="D74" i="4"/>
  <c r="D76" i="4"/>
  <c r="D89" i="4"/>
  <c r="D91" i="4"/>
  <c r="D93" i="4"/>
  <c r="D73" i="4"/>
  <c r="D75" i="4"/>
  <c r="D90" i="4"/>
  <c r="D92" i="4"/>
  <c r="D88" i="3"/>
  <c r="D91" i="3"/>
  <c r="C45" i="7" l="1"/>
  <c r="E45" i="7" s="1"/>
  <c r="C49" i="7"/>
  <c r="C146" i="7"/>
  <c r="E146" i="7" s="1"/>
  <c r="C92" i="7"/>
  <c r="E92" i="7" s="1"/>
  <c r="C26" i="7"/>
  <c r="E26" i="7" s="1"/>
  <c r="C91" i="7"/>
  <c r="E91" i="7" s="1"/>
  <c r="C30" i="7"/>
  <c r="E30" i="7" s="1"/>
  <c r="C82" i="7"/>
  <c r="D82" i="7" s="1"/>
  <c r="C53" i="7"/>
  <c r="E53" i="7" s="1"/>
  <c r="C79" i="7"/>
  <c r="D79" i="7" s="1"/>
  <c r="C44" i="7"/>
  <c r="E44" i="7" s="1"/>
  <c r="C151" i="7"/>
  <c r="E151" i="7" s="1"/>
  <c r="C21" i="7"/>
  <c r="D21" i="7" s="1"/>
  <c r="C210" i="7"/>
  <c r="E210" i="7" s="1"/>
  <c r="C94" i="7"/>
  <c r="E94" i="7" s="1"/>
  <c r="C19" i="7"/>
  <c r="E19" i="7" s="1"/>
  <c r="C97" i="7"/>
  <c r="D97" i="7" s="1"/>
  <c r="C158" i="7"/>
  <c r="D158" i="7" s="1"/>
  <c r="C172" i="7"/>
  <c r="D172" i="7" s="1"/>
  <c r="C17" i="7"/>
  <c r="D17" i="7" s="1"/>
  <c r="C189" i="7"/>
  <c r="E189" i="7" s="1"/>
  <c r="C197" i="7"/>
  <c r="D197" i="7" s="1"/>
  <c r="C192" i="7"/>
  <c r="D192" i="7" s="1"/>
  <c r="C65" i="7"/>
  <c r="E65" i="7" s="1"/>
  <c r="C108" i="7"/>
  <c r="E108" i="7" s="1"/>
  <c r="C37" i="7"/>
  <c r="C113" i="7"/>
  <c r="E113" i="7" s="1"/>
  <c r="C149" i="7"/>
  <c r="E149" i="7" s="1"/>
  <c r="C102" i="7"/>
  <c r="E102" i="7" s="1"/>
  <c r="C23" i="7"/>
  <c r="E23" i="7" s="1"/>
  <c r="C40" i="7"/>
  <c r="D40" i="7" s="1"/>
  <c r="C20" i="7"/>
  <c r="D20" i="7" s="1"/>
  <c r="C155" i="7"/>
  <c r="E155" i="7" s="1"/>
  <c r="C139" i="7"/>
  <c r="E139" i="7" s="1"/>
  <c r="C69" i="7"/>
  <c r="E69" i="7" s="1"/>
  <c r="C157" i="7"/>
  <c r="E157" i="7" s="1"/>
  <c r="C77" i="7"/>
  <c r="E77" i="7" s="1"/>
  <c r="C129" i="7"/>
  <c r="D129" i="7" s="1"/>
  <c r="C34" i="7"/>
  <c r="E34" i="7" s="1"/>
  <c r="C98" i="7"/>
  <c r="E98" i="7" s="1"/>
  <c r="C162" i="7"/>
  <c r="E162" i="7" s="1"/>
  <c r="C173" i="7"/>
  <c r="E173" i="7" s="1"/>
  <c r="C46" i="7"/>
  <c r="D46" i="7" s="1"/>
  <c r="C110" i="7"/>
  <c r="E110" i="7" s="1"/>
  <c r="C174" i="7"/>
  <c r="E174" i="7" s="1"/>
  <c r="C31" i="7"/>
  <c r="E31" i="7" s="1"/>
  <c r="C95" i="7"/>
  <c r="D95" i="7" s="1"/>
  <c r="C167" i="7"/>
  <c r="E167" i="7" s="1"/>
  <c r="C48" i="7"/>
  <c r="E48" i="7" s="1"/>
  <c r="C128" i="7"/>
  <c r="D128" i="7" s="1"/>
  <c r="C208" i="7"/>
  <c r="E208" i="7" s="1"/>
  <c r="C100" i="7"/>
  <c r="D100" i="7" s="1"/>
  <c r="C67" i="7"/>
  <c r="E67" i="7" s="1"/>
  <c r="C148" i="7"/>
  <c r="E148" i="7" s="1"/>
  <c r="C156" i="7"/>
  <c r="E156" i="7" s="1"/>
  <c r="C180" i="7"/>
  <c r="E180" i="7" s="1"/>
  <c r="C163" i="7"/>
  <c r="E163" i="7" s="1"/>
  <c r="C89" i="7"/>
  <c r="E89" i="7" s="1"/>
  <c r="C28" i="7"/>
  <c r="E28" i="7" s="1"/>
  <c r="C99" i="7"/>
  <c r="E99" i="7" s="1"/>
  <c r="C145" i="7"/>
  <c r="D145" i="7" s="1"/>
  <c r="C42" i="7"/>
  <c r="E42" i="7" s="1"/>
  <c r="C106" i="7"/>
  <c r="E106" i="7" s="1"/>
  <c r="C170" i="7"/>
  <c r="D170" i="7" s="1"/>
  <c r="C181" i="7"/>
  <c r="E181" i="7" s="1"/>
  <c r="C54" i="7"/>
  <c r="D54" i="7" s="1"/>
  <c r="C118" i="7"/>
  <c r="E118" i="7" s="1"/>
  <c r="C182" i="7"/>
  <c r="D182" i="7" s="1"/>
  <c r="C39" i="7"/>
  <c r="E39" i="7" s="1"/>
  <c r="C103" i="7"/>
  <c r="E103" i="7" s="1"/>
  <c r="C183" i="7"/>
  <c r="E183" i="7" s="1"/>
  <c r="C56" i="7"/>
  <c r="D56" i="7" s="1"/>
  <c r="C136" i="7"/>
  <c r="E136" i="7" s="1"/>
  <c r="C105" i="7"/>
  <c r="E105" i="7" s="1"/>
  <c r="C109" i="7"/>
  <c r="D109" i="7" s="1"/>
  <c r="C90" i="7"/>
  <c r="E90" i="7" s="1"/>
  <c r="C200" i="7"/>
  <c r="D200" i="7" s="1"/>
  <c r="C51" i="7"/>
  <c r="E51" i="7" s="1"/>
  <c r="C25" i="7"/>
  <c r="D25" i="7" s="1"/>
  <c r="C131" i="7"/>
  <c r="E131" i="7" s="1"/>
  <c r="C153" i="7"/>
  <c r="D153" i="7" s="1"/>
  <c r="C213" i="7"/>
  <c r="E213" i="7" s="1"/>
  <c r="C64" i="7"/>
  <c r="E64" i="7" s="1"/>
  <c r="C107" i="7"/>
  <c r="D107" i="7" s="1"/>
  <c r="C101" i="7"/>
  <c r="D101" i="7" s="1"/>
  <c r="C41" i="7"/>
  <c r="D41" i="7" s="1"/>
  <c r="C68" i="7"/>
  <c r="E68" i="7" s="1"/>
  <c r="C75" i="7"/>
  <c r="D75" i="7" s="1"/>
  <c r="C36" i="7"/>
  <c r="D36" i="7" s="1"/>
  <c r="C212" i="7"/>
  <c r="E212" i="7" s="1"/>
  <c r="C76" i="7"/>
  <c r="D76" i="7" s="1"/>
  <c r="C140" i="7"/>
  <c r="D140" i="7" s="1"/>
  <c r="C169" i="7"/>
  <c r="D169" i="7" s="1"/>
  <c r="C58" i="7"/>
  <c r="E58" i="7" s="1"/>
  <c r="C122" i="7"/>
  <c r="D122" i="7" s="1"/>
  <c r="C186" i="7"/>
  <c r="E186" i="7" s="1"/>
  <c r="C165" i="7"/>
  <c r="D165" i="7" s="1"/>
  <c r="C70" i="7"/>
  <c r="E70" i="7" s="1"/>
  <c r="C134" i="7"/>
  <c r="E134" i="7" s="1"/>
  <c r="C198" i="7"/>
  <c r="E198" i="7" s="1"/>
  <c r="C55" i="7"/>
  <c r="E55" i="7" s="1"/>
  <c r="C127" i="7"/>
  <c r="E127" i="7" s="1"/>
  <c r="C199" i="7"/>
  <c r="E199" i="7" s="1"/>
  <c r="C72" i="7"/>
  <c r="D72" i="7" s="1"/>
  <c r="C168" i="7"/>
  <c r="E168" i="7" s="1"/>
  <c r="C137" i="7"/>
  <c r="D137" i="7" s="1"/>
  <c r="C204" i="7"/>
  <c r="E204" i="7" s="1"/>
  <c r="C61" i="7"/>
  <c r="D61" i="7" s="1"/>
  <c r="C120" i="7"/>
  <c r="D120" i="7" s="1"/>
  <c r="C52" i="7"/>
  <c r="E52" i="7" s="1"/>
  <c r="C187" i="7"/>
  <c r="D187" i="7" s="1"/>
  <c r="C195" i="7"/>
  <c r="E195" i="7" s="1"/>
  <c r="C117" i="7"/>
  <c r="E117" i="7" s="1"/>
  <c r="C114" i="7"/>
  <c r="D114" i="7" s="1"/>
  <c r="C126" i="7"/>
  <c r="D126" i="7" s="1"/>
  <c r="C144" i="7"/>
  <c r="E144" i="7" s="1"/>
  <c r="C141" i="7"/>
  <c r="E141" i="7" s="1"/>
  <c r="C124" i="7"/>
  <c r="E124" i="7" s="1"/>
  <c r="C125" i="7"/>
  <c r="E125" i="7" s="1"/>
  <c r="C115" i="7"/>
  <c r="E115" i="7" s="1"/>
  <c r="C85" i="7"/>
  <c r="E85" i="7" s="1"/>
  <c r="C43" i="7"/>
  <c r="E43" i="7" s="1"/>
  <c r="C116" i="7"/>
  <c r="D116" i="7" s="1"/>
  <c r="C164" i="7"/>
  <c r="D164" i="7" s="1"/>
  <c r="C185" i="7"/>
  <c r="D185" i="7" s="1"/>
  <c r="C66" i="7"/>
  <c r="E66" i="7" s="1"/>
  <c r="C130" i="7"/>
  <c r="E130" i="7" s="1"/>
  <c r="C194" i="7"/>
  <c r="E194" i="7" s="1"/>
  <c r="C205" i="7"/>
  <c r="D205" i="7" s="1"/>
  <c r="C78" i="7"/>
  <c r="E78" i="7" s="1"/>
  <c r="C142" i="7"/>
  <c r="D142" i="7" s="1"/>
  <c r="C206" i="7"/>
  <c r="D206" i="7" s="1"/>
  <c r="C63" i="7"/>
  <c r="E63" i="7" s="1"/>
  <c r="C135" i="7"/>
  <c r="E135" i="7" s="1"/>
  <c r="C207" i="7"/>
  <c r="E207" i="7" s="1"/>
  <c r="C80" i="7"/>
  <c r="E80" i="7" s="1"/>
  <c r="C176" i="7"/>
  <c r="D176" i="7" s="1"/>
  <c r="C161" i="7"/>
  <c r="D161" i="7" s="1"/>
  <c r="C112" i="7"/>
  <c r="D112" i="7" s="1"/>
  <c r="C35" i="7"/>
  <c r="E35" i="7" s="1"/>
  <c r="C93" i="7"/>
  <c r="E93" i="7" s="1"/>
  <c r="C133" i="7"/>
  <c r="E133" i="7" s="1"/>
  <c r="C154" i="7"/>
  <c r="E154" i="7" s="1"/>
  <c r="C38" i="7"/>
  <c r="D38" i="7" s="1"/>
  <c r="C166" i="7"/>
  <c r="E166" i="7" s="1"/>
  <c r="C87" i="7"/>
  <c r="E87" i="7" s="1"/>
  <c r="C159" i="7"/>
  <c r="D159" i="7" s="1"/>
  <c r="C83" i="7"/>
  <c r="E83" i="7" s="1"/>
  <c r="C132" i="7"/>
  <c r="E132" i="7" s="1"/>
  <c r="C123" i="7"/>
  <c r="E123" i="7" s="1"/>
  <c r="C84" i="7"/>
  <c r="E84" i="7" s="1"/>
  <c r="C27" i="7"/>
  <c r="D27" i="7" s="1"/>
  <c r="C60" i="7"/>
  <c r="E60" i="7" s="1"/>
  <c r="C50" i="7"/>
  <c r="D50" i="7" s="1"/>
  <c r="C178" i="7"/>
  <c r="D178" i="7" s="1"/>
  <c r="C62" i="7"/>
  <c r="E62" i="7" s="1"/>
  <c r="C190" i="7"/>
  <c r="E190" i="7" s="1"/>
  <c r="C47" i="7"/>
  <c r="E47" i="7" s="1"/>
  <c r="C119" i="7"/>
  <c r="E119" i="7" s="1"/>
  <c r="C191" i="7"/>
  <c r="E191" i="7" s="1"/>
  <c r="C121" i="7"/>
  <c r="D121" i="7" s="1"/>
  <c r="C18" i="7"/>
  <c r="E18" i="7" s="1"/>
  <c r="C171" i="7"/>
  <c r="D171" i="7" s="1"/>
  <c r="C57" i="7"/>
  <c r="D57" i="7" s="1"/>
  <c r="C33" i="7"/>
  <c r="E33" i="7" s="1"/>
  <c r="C203" i="7"/>
  <c r="E203" i="7" s="1"/>
  <c r="C147" i="7"/>
  <c r="E147" i="7" s="1"/>
  <c r="C73" i="7"/>
  <c r="D73" i="7" s="1"/>
  <c r="C211" i="7"/>
  <c r="E211" i="7" s="1"/>
  <c r="C188" i="7"/>
  <c r="D188" i="7" s="1"/>
  <c r="C179" i="7"/>
  <c r="E179" i="7" s="1"/>
  <c r="C59" i="7"/>
  <c r="D59" i="7" s="1"/>
  <c r="C29" i="7"/>
  <c r="E29" i="7" s="1"/>
  <c r="C196" i="7"/>
  <c r="E196" i="7" s="1"/>
  <c r="C217" i="7"/>
  <c r="D217" i="7" s="1"/>
  <c r="C74" i="7"/>
  <c r="E74" i="7" s="1"/>
  <c r="C138" i="7"/>
  <c r="E138" i="7" s="1"/>
  <c r="C202" i="7"/>
  <c r="E202" i="7" s="1"/>
  <c r="C22" i="7"/>
  <c r="E22" i="7" s="1"/>
  <c r="C86" i="7"/>
  <c r="E86" i="7" s="1"/>
  <c r="C150" i="7"/>
  <c r="E150" i="7" s="1"/>
  <c r="C214" i="7"/>
  <c r="E214" i="7" s="1"/>
  <c r="C71" i="7"/>
  <c r="D71" i="7" s="1"/>
  <c r="C143" i="7"/>
  <c r="E143" i="7" s="1"/>
  <c r="C215" i="7"/>
  <c r="D215" i="7" s="1"/>
  <c r="C104" i="7"/>
  <c r="D104" i="7" s="1"/>
  <c r="C184" i="7"/>
  <c r="E184" i="7" s="1"/>
  <c r="C177" i="7"/>
  <c r="E177" i="7" s="1"/>
  <c r="D209" i="7"/>
  <c r="E209" i="7"/>
  <c r="D49" i="7"/>
  <c r="E49" i="7"/>
  <c r="E37" i="7"/>
  <c r="D37" i="7"/>
  <c r="E79" i="7"/>
  <c r="C193" i="7"/>
  <c r="E54" i="7"/>
  <c r="C24" i="7"/>
  <c r="C88" i="7"/>
  <c r="C152" i="7"/>
  <c r="C216" i="7"/>
  <c r="C201" i="7"/>
  <c r="C111" i="7"/>
  <c r="C175" i="7"/>
  <c r="C32" i="7"/>
  <c r="C96" i="7"/>
  <c r="C160" i="7"/>
  <c r="C81" i="7"/>
  <c r="D105" i="7"/>
  <c r="AU14" i="4"/>
  <c r="AO14" i="4"/>
  <c r="AU13" i="4"/>
  <c r="AO13" i="4"/>
  <c r="AU12" i="4"/>
  <c r="AO12" i="4"/>
  <c r="AU11" i="4"/>
  <c r="AO11" i="4"/>
  <c r="AU10" i="4"/>
  <c r="AO10" i="4"/>
  <c r="AU9" i="4"/>
  <c r="AO9" i="4"/>
  <c r="AU8" i="4"/>
  <c r="AO8" i="4"/>
  <c r="AU7" i="4"/>
  <c r="AO7" i="4"/>
  <c r="AU6" i="4"/>
  <c r="AO6" i="4"/>
  <c r="AU5" i="4"/>
  <c r="AO5" i="4"/>
  <c r="I15" i="3"/>
  <c r="AU14" i="3"/>
  <c r="AU13" i="3"/>
  <c r="AU12" i="3"/>
  <c r="AU11" i="3"/>
  <c r="AU10" i="3"/>
  <c r="AU9" i="3"/>
  <c r="AU8" i="3"/>
  <c r="AU7" i="3"/>
  <c r="AU6" i="3"/>
  <c r="AU5" i="3"/>
  <c r="AO14" i="3"/>
  <c r="AO13" i="3"/>
  <c r="AO12" i="3"/>
  <c r="AO11" i="3"/>
  <c r="AO10" i="3"/>
  <c r="AO9" i="3"/>
  <c r="AO8" i="3"/>
  <c r="AO7" i="3"/>
  <c r="AO6" i="3"/>
  <c r="AO5" i="3"/>
  <c r="J14" i="3"/>
  <c r="X14" i="3" s="1"/>
  <c r="J13" i="3"/>
  <c r="X13" i="3" s="1"/>
  <c r="J12" i="3"/>
  <c r="X12" i="3" s="1"/>
  <c r="J11" i="3"/>
  <c r="X11" i="3" s="1"/>
  <c r="J10" i="3"/>
  <c r="X10" i="3" s="1"/>
  <c r="J9" i="3"/>
  <c r="J8" i="3"/>
  <c r="J7" i="3"/>
  <c r="J6" i="3"/>
  <c r="J5" i="3"/>
  <c r="V27" i="4"/>
  <c r="L27" i="4"/>
  <c r="U26" i="4"/>
  <c r="L26" i="4"/>
  <c r="T25" i="4"/>
  <c r="L25" i="4"/>
  <c r="S24" i="4"/>
  <c r="R23" i="4"/>
  <c r="L23" i="4"/>
  <c r="Q22" i="4"/>
  <c r="L22" i="4"/>
  <c r="P21" i="4"/>
  <c r="L21" i="4"/>
  <c r="O20" i="4"/>
  <c r="L20" i="4"/>
  <c r="N19" i="4"/>
  <c r="L19" i="4"/>
  <c r="M18" i="4"/>
  <c r="L18" i="4"/>
  <c r="V17" i="4"/>
  <c r="U17" i="4"/>
  <c r="T17" i="4"/>
  <c r="S17" i="4"/>
  <c r="R17" i="4"/>
  <c r="Q17" i="4"/>
  <c r="P17" i="4"/>
  <c r="O17" i="4"/>
  <c r="N17" i="4"/>
  <c r="M17" i="4"/>
  <c r="I15" i="4"/>
  <c r="J7" i="4" s="1"/>
  <c r="V14" i="4"/>
  <c r="L14" i="4"/>
  <c r="K14" i="4"/>
  <c r="AR14" i="4" s="1"/>
  <c r="J14" i="4"/>
  <c r="X14" i="4" s="1"/>
  <c r="E14" i="4"/>
  <c r="V13" i="4"/>
  <c r="U14" i="4" s="1"/>
  <c r="U13" i="4"/>
  <c r="L13" i="4"/>
  <c r="K13" i="4"/>
  <c r="AR13" i="4" s="1"/>
  <c r="J13" i="4"/>
  <c r="X13" i="4" s="1"/>
  <c r="E13" i="4"/>
  <c r="V12" i="4"/>
  <c r="U12" i="4"/>
  <c r="T13" i="4" s="1"/>
  <c r="T12" i="4"/>
  <c r="L12" i="4"/>
  <c r="K12" i="4"/>
  <c r="AR12" i="4" s="1"/>
  <c r="J12" i="4"/>
  <c r="X12" i="4" s="1"/>
  <c r="E12" i="4"/>
  <c r="V11" i="4"/>
  <c r="S14" i="4" s="1"/>
  <c r="U11" i="4"/>
  <c r="S13" i="4" s="1"/>
  <c r="T11" i="4"/>
  <c r="S12" i="4" s="1"/>
  <c r="S11" i="4"/>
  <c r="L11" i="4"/>
  <c r="K11" i="4"/>
  <c r="AR11" i="4" s="1"/>
  <c r="J11" i="4"/>
  <c r="X11" i="4" s="1"/>
  <c r="E11" i="4"/>
  <c r="V10" i="4"/>
  <c r="R14" i="4" s="1"/>
  <c r="U10" i="4"/>
  <c r="R13" i="4" s="1"/>
  <c r="T10" i="4"/>
  <c r="S10" i="4"/>
  <c r="R11" i="4" s="1"/>
  <c r="R10" i="4"/>
  <c r="L10" i="4"/>
  <c r="K10" i="4"/>
  <c r="AR10" i="4" s="1"/>
  <c r="J10" i="4"/>
  <c r="X10" i="4" s="1"/>
  <c r="E10" i="4"/>
  <c r="V9" i="4"/>
  <c r="U9" i="4"/>
  <c r="Q13" i="4" s="1"/>
  <c r="T9" i="4"/>
  <c r="Q12" i="4" s="1"/>
  <c r="S9" i="4"/>
  <c r="Q11" i="4" s="1"/>
  <c r="R9" i="4"/>
  <c r="Q10" i="4" s="1"/>
  <c r="Q9" i="4"/>
  <c r="L9" i="4"/>
  <c r="E9" i="4"/>
  <c r="C39" i="4" s="1"/>
  <c r="V8" i="4"/>
  <c r="P14" i="4" s="1"/>
  <c r="U8" i="4"/>
  <c r="P13" i="4" s="1"/>
  <c r="T8" i="4"/>
  <c r="S8" i="4"/>
  <c r="P11" i="4" s="1"/>
  <c r="R8" i="4"/>
  <c r="Q8" i="4"/>
  <c r="P9" i="4" s="1"/>
  <c r="P8" i="4"/>
  <c r="L8" i="4"/>
  <c r="E8" i="4"/>
  <c r="C38" i="4" s="1"/>
  <c r="V7" i="4"/>
  <c r="O14" i="4" s="1"/>
  <c r="U7" i="4"/>
  <c r="T7" i="4"/>
  <c r="O12" i="4" s="1"/>
  <c r="S7" i="4"/>
  <c r="R7" i="4"/>
  <c r="O10" i="4" s="1"/>
  <c r="Q7" i="4"/>
  <c r="P7" i="4"/>
  <c r="O8" i="4" s="1"/>
  <c r="O7" i="4"/>
  <c r="L7" i="4"/>
  <c r="E7" i="4"/>
  <c r="C37" i="4" s="1"/>
  <c r="V6" i="4"/>
  <c r="U6" i="4"/>
  <c r="N13" i="4" s="1"/>
  <c r="T6" i="4"/>
  <c r="S6" i="4"/>
  <c r="N11" i="4" s="1"/>
  <c r="R6" i="4"/>
  <c r="Q6" i="4"/>
  <c r="N9" i="4" s="1"/>
  <c r="P6" i="4"/>
  <c r="O6" i="4"/>
  <c r="N7" i="4" s="1"/>
  <c r="N6" i="4"/>
  <c r="L6" i="4"/>
  <c r="E6" i="4"/>
  <c r="C36" i="4" s="1"/>
  <c r="V5" i="4"/>
  <c r="M14" i="4" s="1"/>
  <c r="U5" i="4"/>
  <c r="T5" i="4"/>
  <c r="S5" i="4"/>
  <c r="R5" i="4"/>
  <c r="Q5" i="4"/>
  <c r="M9" i="4" s="1"/>
  <c r="P5" i="4"/>
  <c r="M8" i="4" s="1"/>
  <c r="O5" i="4"/>
  <c r="M7" i="4" s="1"/>
  <c r="N5" i="4"/>
  <c r="M6" i="4" s="1"/>
  <c r="M5" i="4"/>
  <c r="L5" i="4"/>
  <c r="E5" i="4"/>
  <c r="C35" i="4" s="1"/>
  <c r="V4" i="4"/>
  <c r="U4" i="4"/>
  <c r="T4" i="4"/>
  <c r="S4" i="4"/>
  <c r="R4" i="4"/>
  <c r="Q4" i="4"/>
  <c r="P4" i="4"/>
  <c r="O4" i="4"/>
  <c r="N4" i="4"/>
  <c r="M4" i="4"/>
  <c r="N5" i="3"/>
  <c r="M6" i="3" s="1"/>
  <c r="V13" i="3"/>
  <c r="U14" i="3" s="1"/>
  <c r="V12" i="3"/>
  <c r="T14" i="3" s="1"/>
  <c r="U12" i="3"/>
  <c r="T13" i="3" s="1"/>
  <c r="V11" i="3"/>
  <c r="S14" i="3" s="1"/>
  <c r="U11" i="3"/>
  <c r="S13" i="3" s="1"/>
  <c r="T11" i="3"/>
  <c r="S12" i="3" s="1"/>
  <c r="V10" i="3"/>
  <c r="R14" i="3" s="1"/>
  <c r="U10" i="3"/>
  <c r="R13" i="3" s="1"/>
  <c r="T10" i="3"/>
  <c r="R12" i="3" s="1"/>
  <c r="V4" i="3"/>
  <c r="S10" i="3"/>
  <c r="R11" i="3" s="1"/>
  <c r="S9" i="3"/>
  <c r="Q11" i="3" s="1"/>
  <c r="V9" i="3"/>
  <c r="Q14" i="3" s="1"/>
  <c r="U9" i="3"/>
  <c r="Q13" i="3" s="1"/>
  <c r="T9" i="3"/>
  <c r="Q12" i="3" s="1"/>
  <c r="R9" i="3"/>
  <c r="Q10" i="3" s="1"/>
  <c r="V8" i="3"/>
  <c r="P14" i="3" s="1"/>
  <c r="U8" i="3"/>
  <c r="P13" i="3" s="1"/>
  <c r="T8" i="3"/>
  <c r="P12" i="3" s="1"/>
  <c r="S8" i="3"/>
  <c r="P11" i="3" s="1"/>
  <c r="R8" i="3"/>
  <c r="P10" i="3" s="1"/>
  <c r="Q8" i="3"/>
  <c r="P9" i="3" s="1"/>
  <c r="V7" i="3"/>
  <c r="O14" i="3" s="1"/>
  <c r="U7" i="3"/>
  <c r="O13" i="3" s="1"/>
  <c r="T7" i="3"/>
  <c r="O12" i="3" s="1"/>
  <c r="S7" i="3"/>
  <c r="O11" i="3" s="1"/>
  <c r="R7" i="3"/>
  <c r="O10" i="3" s="1"/>
  <c r="Q7" i="3"/>
  <c r="O9" i="3" s="1"/>
  <c r="P7" i="3"/>
  <c r="O8" i="3" s="1"/>
  <c r="Q6" i="3"/>
  <c r="N9" i="3" s="1"/>
  <c r="P6" i="3"/>
  <c r="N8" i="3" s="1"/>
  <c r="O6" i="3"/>
  <c r="N7" i="3" s="1"/>
  <c r="V6" i="3"/>
  <c r="N14" i="3" s="1"/>
  <c r="U6" i="3"/>
  <c r="N13" i="3" s="1"/>
  <c r="T6" i="3"/>
  <c r="N12" i="3" s="1"/>
  <c r="S6" i="3"/>
  <c r="N11" i="3" s="1"/>
  <c r="R6" i="3"/>
  <c r="N10" i="3" s="1"/>
  <c r="U5" i="3"/>
  <c r="M13" i="3" s="1"/>
  <c r="V5" i="3"/>
  <c r="M14" i="3" s="1"/>
  <c r="T5" i="3"/>
  <c r="M12" i="3" s="1"/>
  <c r="S5" i="3"/>
  <c r="M11" i="3" s="1"/>
  <c r="R5" i="3"/>
  <c r="Q5" i="3"/>
  <c r="M9" i="3" s="1"/>
  <c r="P5" i="3"/>
  <c r="M8" i="3" s="1"/>
  <c r="O5" i="3"/>
  <c r="M7" i="3" s="1"/>
  <c r="R5" i="1"/>
  <c r="Q6" i="1" s="1"/>
  <c r="Q5" i="1"/>
  <c r="V27" i="3"/>
  <c r="U26" i="3"/>
  <c r="T25" i="3"/>
  <c r="S24" i="3"/>
  <c r="R23" i="3"/>
  <c r="Q22" i="3"/>
  <c r="P21" i="3"/>
  <c r="O20" i="3"/>
  <c r="N19" i="3"/>
  <c r="M18" i="3"/>
  <c r="L27" i="3"/>
  <c r="L26" i="3"/>
  <c r="L25" i="3"/>
  <c r="L23" i="3"/>
  <c r="L22" i="3"/>
  <c r="L18" i="3"/>
  <c r="L21" i="3"/>
  <c r="L20" i="3"/>
  <c r="L19" i="3"/>
  <c r="V17" i="3"/>
  <c r="U17" i="3"/>
  <c r="T17" i="3"/>
  <c r="S17" i="3"/>
  <c r="R17" i="3"/>
  <c r="Q17" i="3"/>
  <c r="P17" i="3"/>
  <c r="O17" i="3"/>
  <c r="N17" i="3"/>
  <c r="M17" i="3"/>
  <c r="V14" i="3"/>
  <c r="L14" i="3"/>
  <c r="K14" i="3"/>
  <c r="AR14" i="3" s="1"/>
  <c r="AS14" i="3" s="1"/>
  <c r="E14" i="3"/>
  <c r="U13" i="3"/>
  <c r="L13" i="3"/>
  <c r="K13" i="3"/>
  <c r="AR13" i="3" s="1"/>
  <c r="AT13" i="3" s="1"/>
  <c r="E13" i="3"/>
  <c r="T12" i="3"/>
  <c r="L12" i="3"/>
  <c r="K12" i="3"/>
  <c r="AR12" i="3" s="1"/>
  <c r="AS12" i="3" s="1"/>
  <c r="E12" i="3"/>
  <c r="S11" i="3"/>
  <c r="L11" i="3"/>
  <c r="K11" i="3"/>
  <c r="AL11" i="3" s="1"/>
  <c r="AN11" i="3" s="1"/>
  <c r="E11" i="3"/>
  <c r="R10" i="3"/>
  <c r="L10" i="3"/>
  <c r="K10" i="3"/>
  <c r="AL10" i="3" s="1"/>
  <c r="AM10" i="3" s="1"/>
  <c r="AP10" i="3" s="1"/>
  <c r="F72" i="3" s="1"/>
  <c r="E10" i="3"/>
  <c r="Q9" i="3"/>
  <c r="L9" i="3"/>
  <c r="E9" i="3"/>
  <c r="C39" i="3" s="1"/>
  <c r="P8" i="3"/>
  <c r="L8" i="3"/>
  <c r="E8" i="3"/>
  <c r="C38" i="3" s="1"/>
  <c r="O7" i="3"/>
  <c r="L7" i="3"/>
  <c r="E7" i="3"/>
  <c r="C37" i="3" s="1"/>
  <c r="N6" i="3"/>
  <c r="L6" i="3"/>
  <c r="E6" i="3"/>
  <c r="C36" i="3" s="1"/>
  <c r="M5" i="3"/>
  <c r="L5" i="3"/>
  <c r="E5" i="3"/>
  <c r="C35" i="3" s="1"/>
  <c r="U4" i="3"/>
  <c r="T4" i="3"/>
  <c r="S4" i="3"/>
  <c r="R4" i="3"/>
  <c r="Q4" i="3"/>
  <c r="P4" i="3"/>
  <c r="O4" i="3"/>
  <c r="N4" i="3"/>
  <c r="M4" i="3"/>
  <c r="Z27" i="1"/>
  <c r="P27" i="1"/>
  <c r="Y26" i="1"/>
  <c r="P26" i="1"/>
  <c r="X25" i="1"/>
  <c r="P25" i="1"/>
  <c r="W24" i="1"/>
  <c r="P24" i="1"/>
  <c r="V23" i="1"/>
  <c r="P23" i="1"/>
  <c r="U22" i="1"/>
  <c r="P22" i="1"/>
  <c r="T21" i="1"/>
  <c r="P21" i="1"/>
  <c r="S20" i="1"/>
  <c r="P20" i="1"/>
  <c r="R19" i="1"/>
  <c r="P19" i="1"/>
  <c r="Q18" i="1"/>
  <c r="P18" i="1"/>
  <c r="Z17" i="1"/>
  <c r="Y17" i="1"/>
  <c r="X17" i="1"/>
  <c r="W17" i="1"/>
  <c r="V17" i="1"/>
  <c r="U17" i="1"/>
  <c r="T17" i="1"/>
  <c r="S17" i="1"/>
  <c r="R17" i="1"/>
  <c r="Q17" i="1"/>
  <c r="M15" i="1"/>
  <c r="N8" i="1" s="1"/>
  <c r="Z14" i="1"/>
  <c r="P14" i="1"/>
  <c r="O14" i="1"/>
  <c r="C76" i="1" s="1"/>
  <c r="N14" i="1"/>
  <c r="AA14" i="1" s="1"/>
  <c r="L14" i="1"/>
  <c r="H14" i="1"/>
  <c r="Z13" i="1"/>
  <c r="Y13" i="1"/>
  <c r="P13" i="1"/>
  <c r="O13" i="1"/>
  <c r="C75" i="1" s="1"/>
  <c r="N13" i="1"/>
  <c r="AA13" i="1" s="1"/>
  <c r="L13" i="1"/>
  <c r="H13" i="1"/>
  <c r="Z12" i="1"/>
  <c r="Y14" i="1" s="1"/>
  <c r="Y12" i="1"/>
  <c r="X13" i="1" s="1"/>
  <c r="X12" i="1"/>
  <c r="P12" i="1"/>
  <c r="O12" i="1"/>
  <c r="C74" i="1" s="1"/>
  <c r="N12" i="1"/>
  <c r="AA12" i="1" s="1"/>
  <c r="L12" i="1"/>
  <c r="H12" i="1"/>
  <c r="Z11" i="1"/>
  <c r="W14" i="1" s="1"/>
  <c r="Y11" i="1"/>
  <c r="W13" i="1" s="1"/>
  <c r="X11" i="1"/>
  <c r="W12" i="1" s="1"/>
  <c r="W11" i="1"/>
  <c r="P11" i="1"/>
  <c r="L11" i="1"/>
  <c r="H11" i="1"/>
  <c r="Z10" i="1"/>
  <c r="V14" i="1" s="1"/>
  <c r="Y10" i="1"/>
  <c r="V13" i="1" s="1"/>
  <c r="X10" i="1"/>
  <c r="W10" i="1"/>
  <c r="V10" i="1"/>
  <c r="P10" i="1"/>
  <c r="L10" i="1"/>
  <c r="H10" i="1"/>
  <c r="Z9" i="1"/>
  <c r="Y9" i="1"/>
  <c r="U13" i="1" s="1"/>
  <c r="X9" i="1"/>
  <c r="U12" i="1" s="1"/>
  <c r="W9" i="1"/>
  <c r="V9" i="1"/>
  <c r="U9" i="1"/>
  <c r="P9" i="1"/>
  <c r="L9" i="1"/>
  <c r="H9" i="1"/>
  <c r="Z8" i="1"/>
  <c r="T14" i="1" s="1"/>
  <c r="Y8" i="1"/>
  <c r="T13" i="1" s="1"/>
  <c r="X8" i="1"/>
  <c r="T12" i="1" s="1"/>
  <c r="W8" i="1"/>
  <c r="T11" i="1" s="1"/>
  <c r="V8" i="1"/>
  <c r="T10" i="1" s="1"/>
  <c r="U8" i="1"/>
  <c r="T9" i="1" s="1"/>
  <c r="T8" i="1"/>
  <c r="P8" i="1"/>
  <c r="L8" i="1"/>
  <c r="H8" i="1"/>
  <c r="Z7" i="1"/>
  <c r="S14" i="1" s="1"/>
  <c r="Y7" i="1"/>
  <c r="S13" i="1" s="1"/>
  <c r="X7" i="1"/>
  <c r="S12" i="1" s="1"/>
  <c r="W7" i="1"/>
  <c r="S11" i="1" s="1"/>
  <c r="V7" i="1"/>
  <c r="S10" i="1" s="1"/>
  <c r="U7" i="1"/>
  <c r="S9" i="1" s="1"/>
  <c r="T7" i="1"/>
  <c r="S8" i="1" s="1"/>
  <c r="S7" i="1"/>
  <c r="P7" i="1"/>
  <c r="L7" i="1"/>
  <c r="H7" i="1"/>
  <c r="Z6" i="1"/>
  <c r="R14" i="1" s="1"/>
  <c r="Y6" i="1"/>
  <c r="R13" i="1" s="1"/>
  <c r="X6" i="1"/>
  <c r="R12" i="1" s="1"/>
  <c r="W6" i="1"/>
  <c r="R11" i="1" s="1"/>
  <c r="V6" i="1"/>
  <c r="R10" i="1" s="1"/>
  <c r="U6" i="1"/>
  <c r="R9" i="1" s="1"/>
  <c r="T6" i="1"/>
  <c r="S6" i="1"/>
  <c r="R6" i="1"/>
  <c r="P6" i="1"/>
  <c r="L6" i="1"/>
  <c r="H6" i="1"/>
  <c r="Z5" i="1"/>
  <c r="Q14" i="1" s="1"/>
  <c r="Y5" i="1"/>
  <c r="Q13" i="1" s="1"/>
  <c r="X5" i="1"/>
  <c r="W5" i="1"/>
  <c r="Q11" i="1" s="1"/>
  <c r="V5" i="1"/>
  <c r="Q10" i="1" s="1"/>
  <c r="U5" i="1"/>
  <c r="Q9" i="1" s="1"/>
  <c r="T5" i="1"/>
  <c r="S5" i="1"/>
  <c r="Q7" i="1" s="1"/>
  <c r="P5" i="1"/>
  <c r="L5" i="1"/>
  <c r="H5" i="1"/>
  <c r="Z4" i="1"/>
  <c r="Y4" i="1"/>
  <c r="X4" i="1"/>
  <c r="W4" i="1"/>
  <c r="V4" i="1"/>
  <c r="U4" i="1"/>
  <c r="T4" i="1"/>
  <c r="S4" i="1"/>
  <c r="R4" i="1"/>
  <c r="Q4" i="1"/>
  <c r="D212" i="7" l="1"/>
  <c r="E137" i="7"/>
  <c r="E158" i="7"/>
  <c r="D173" i="7"/>
  <c r="D18" i="7"/>
  <c r="D139" i="7"/>
  <c r="E76" i="7"/>
  <c r="D44" i="7"/>
  <c r="AF11" i="4"/>
  <c r="C31" i="1"/>
  <c r="C83" i="1"/>
  <c r="C34" i="1"/>
  <c r="C86" i="1"/>
  <c r="C35" i="1"/>
  <c r="C87" i="1"/>
  <c r="C37" i="1"/>
  <c r="C89" i="1"/>
  <c r="C36" i="1"/>
  <c r="C88" i="1"/>
  <c r="C33" i="1"/>
  <c r="C85" i="1"/>
  <c r="C32" i="1"/>
  <c r="C84" i="1"/>
  <c r="AA8" i="1"/>
  <c r="AL8" i="1" s="1"/>
  <c r="D70" i="1"/>
  <c r="AP14" i="1"/>
  <c r="AV14" i="1"/>
  <c r="AP12" i="1"/>
  <c r="AV12" i="1"/>
  <c r="AP13" i="1"/>
  <c r="AV13" i="1"/>
  <c r="D155" i="7"/>
  <c r="E169" i="7"/>
  <c r="D26" i="7"/>
  <c r="E101" i="7"/>
  <c r="D117" i="7"/>
  <c r="E97" i="7"/>
  <c r="D108" i="7"/>
  <c r="E172" i="7"/>
  <c r="D146" i="7"/>
  <c r="E46" i="7"/>
  <c r="D151" i="7"/>
  <c r="D92" i="7"/>
  <c r="E126" i="7"/>
  <c r="D53" i="7"/>
  <c r="E114" i="7"/>
  <c r="D202" i="7"/>
  <c r="D89" i="7"/>
  <c r="E50" i="7"/>
  <c r="D70" i="7"/>
  <c r="E161" i="7"/>
  <c r="D213" i="7"/>
  <c r="D163" i="7"/>
  <c r="D87" i="7"/>
  <c r="D48" i="7"/>
  <c r="E104" i="7"/>
  <c r="E128" i="7"/>
  <c r="E188" i="7"/>
  <c r="D78" i="7"/>
  <c r="D43" i="7"/>
  <c r="D60" i="7"/>
  <c r="D45" i="7"/>
  <c r="D91" i="7"/>
  <c r="E197" i="7"/>
  <c r="J9" i="4"/>
  <c r="C55" i="4" s="1"/>
  <c r="AH13" i="4"/>
  <c r="E205" i="7"/>
  <c r="D138" i="7"/>
  <c r="D85" i="7"/>
  <c r="E153" i="7"/>
  <c r="D136" i="7"/>
  <c r="E165" i="7"/>
  <c r="D166" i="7"/>
  <c r="D127" i="7"/>
  <c r="D168" i="7"/>
  <c r="D210" i="7"/>
  <c r="D52" i="7"/>
  <c r="D162" i="7"/>
  <c r="E36" i="7"/>
  <c r="D181" i="7"/>
  <c r="D34" i="7"/>
  <c r="D23" i="7"/>
  <c r="E21" i="7"/>
  <c r="D77" i="7"/>
  <c r="D174" i="7"/>
  <c r="D68" i="7"/>
  <c r="E192" i="7"/>
  <c r="E121" i="7"/>
  <c r="D203" i="7"/>
  <c r="E176" i="7"/>
  <c r="D119" i="7"/>
  <c r="D115" i="7"/>
  <c r="D19" i="7"/>
  <c r="D125" i="7"/>
  <c r="E72" i="7"/>
  <c r="D194" i="7"/>
  <c r="E215" i="7"/>
  <c r="D130" i="7"/>
  <c r="E82" i="7"/>
  <c r="D66" i="7"/>
  <c r="D189" i="7"/>
  <c r="D106" i="7"/>
  <c r="E20" i="7"/>
  <c r="E95" i="7"/>
  <c r="D191" i="7"/>
  <c r="E187" i="7"/>
  <c r="E40" i="7"/>
  <c r="E25" i="7"/>
  <c r="D199" i="7"/>
  <c r="E71" i="7"/>
  <c r="D94" i="7"/>
  <c r="D30" i="7"/>
  <c r="D183" i="7"/>
  <c r="D186" i="7"/>
  <c r="D147" i="7"/>
  <c r="D84" i="7"/>
  <c r="D156" i="7"/>
  <c r="E122" i="7"/>
  <c r="D80" i="7"/>
  <c r="D65" i="7"/>
  <c r="D55" i="7"/>
  <c r="D195" i="7"/>
  <c r="D113" i="7"/>
  <c r="D167" i="7"/>
  <c r="D93" i="7"/>
  <c r="E217" i="7"/>
  <c r="E159" i="7"/>
  <c r="E38" i="7"/>
  <c r="D207" i="7"/>
  <c r="E116" i="7"/>
  <c r="E171" i="7"/>
  <c r="D74" i="7"/>
  <c r="D29" i="7"/>
  <c r="D118" i="7"/>
  <c r="D28" i="7"/>
  <c r="D64" i="7"/>
  <c r="D179" i="7"/>
  <c r="D154" i="7"/>
  <c r="D184" i="7"/>
  <c r="D198" i="7"/>
  <c r="D33" i="7"/>
  <c r="E17" i="7"/>
  <c r="E61" i="7"/>
  <c r="D208" i="7"/>
  <c r="D204" i="7"/>
  <c r="D22" i="7"/>
  <c r="E140" i="7"/>
  <c r="E75" i="7"/>
  <c r="E109" i="7"/>
  <c r="E59" i="7"/>
  <c r="E178" i="7"/>
  <c r="E27" i="7"/>
  <c r="E182" i="7"/>
  <c r="E170" i="7"/>
  <c r="E100" i="7"/>
  <c r="E142" i="7"/>
  <c r="D35" i="7"/>
  <c r="D90" i="7"/>
  <c r="D134" i="7"/>
  <c r="D86" i="7"/>
  <c r="D62" i="7"/>
  <c r="D131" i="7"/>
  <c r="D99" i="7"/>
  <c r="D180" i="7"/>
  <c r="D144" i="7"/>
  <c r="E164" i="7"/>
  <c r="D157" i="7"/>
  <c r="E107" i="7"/>
  <c r="D143" i="7"/>
  <c r="E73" i="7"/>
  <c r="D110" i="7"/>
  <c r="D98" i="7"/>
  <c r="D69" i="7"/>
  <c r="D83" i="7"/>
  <c r="E56" i="7"/>
  <c r="D177" i="7"/>
  <c r="D149" i="7"/>
  <c r="E112" i="7"/>
  <c r="E206" i="7"/>
  <c r="E57" i="7"/>
  <c r="D141" i="7"/>
  <c r="D132" i="7"/>
  <c r="D150" i="7"/>
  <c r="D135" i="7"/>
  <c r="D63" i="7"/>
  <c r="E185" i="7"/>
  <c r="D124" i="7"/>
  <c r="D103" i="7"/>
  <c r="D42" i="7"/>
  <c r="D148" i="7"/>
  <c r="E120" i="7"/>
  <c r="D47" i="7"/>
  <c r="D214" i="7"/>
  <c r="E200" i="7"/>
  <c r="D102" i="7"/>
  <c r="D196" i="7"/>
  <c r="D39" i="7"/>
  <c r="E145" i="7"/>
  <c r="D67" i="7"/>
  <c r="D58" i="7"/>
  <c r="E41" i="7"/>
  <c r="D133" i="7"/>
  <c r="D190" i="7"/>
  <c r="D123" i="7"/>
  <c r="D31" i="7"/>
  <c r="E129" i="7"/>
  <c r="D51" i="7"/>
  <c r="D211" i="7"/>
  <c r="E175" i="7"/>
  <c r="D175" i="7"/>
  <c r="D216" i="7"/>
  <c r="E216" i="7"/>
  <c r="E111" i="7"/>
  <c r="D111" i="7"/>
  <c r="D201" i="7"/>
  <c r="E201" i="7"/>
  <c r="D81" i="7"/>
  <c r="E81" i="7"/>
  <c r="D152" i="7"/>
  <c r="E152" i="7"/>
  <c r="D160" i="7"/>
  <c r="E160" i="7"/>
  <c r="D88" i="7"/>
  <c r="E88" i="7"/>
  <c r="D96" i="7"/>
  <c r="E96" i="7"/>
  <c r="D24" i="7"/>
  <c r="E24" i="7"/>
  <c r="D32" i="7"/>
  <c r="E32" i="7"/>
  <c r="D193" i="7"/>
  <c r="E193" i="7"/>
  <c r="X7" i="4"/>
  <c r="AD7" i="4" s="1"/>
  <c r="C53" i="4"/>
  <c r="D53" i="4"/>
  <c r="K9" i="3"/>
  <c r="X6" i="3"/>
  <c r="AB6" i="3" s="1"/>
  <c r="C52" i="3"/>
  <c r="D52" i="3"/>
  <c r="X7" i="3"/>
  <c r="AE7" i="3" s="1"/>
  <c r="D53" i="3"/>
  <c r="C53" i="3"/>
  <c r="X5" i="3"/>
  <c r="AH5" i="3" s="1"/>
  <c r="C51" i="3"/>
  <c r="D51" i="3"/>
  <c r="X8" i="3"/>
  <c r="AC8" i="3" s="1"/>
  <c r="D54" i="3"/>
  <c r="C54" i="3"/>
  <c r="X9" i="3"/>
  <c r="AG9" i="3" s="1"/>
  <c r="C55" i="3"/>
  <c r="D55" i="3"/>
  <c r="AF13" i="1"/>
  <c r="AG13" i="1"/>
  <c r="N10" i="1"/>
  <c r="O8" i="1"/>
  <c r="C70" i="1" s="1"/>
  <c r="AG12" i="1"/>
  <c r="N5" i="1"/>
  <c r="AC14" i="1"/>
  <c r="AC13" i="1"/>
  <c r="N7" i="1"/>
  <c r="N6" i="1"/>
  <c r="AD12" i="1"/>
  <c r="N9" i="1"/>
  <c r="AD14" i="1"/>
  <c r="AE14" i="1"/>
  <c r="AF12" i="1"/>
  <c r="AI14" i="1"/>
  <c r="AK14" i="1"/>
  <c r="AL13" i="1"/>
  <c r="AL14" i="1"/>
  <c r="AS10" i="4"/>
  <c r="AS12" i="4"/>
  <c r="AS11" i="4"/>
  <c r="AS13" i="4"/>
  <c r="AC12" i="4"/>
  <c r="AL13" i="4"/>
  <c r="AN13" i="4" s="1"/>
  <c r="J8" i="4"/>
  <c r="K8" i="4" s="1"/>
  <c r="AD11" i="4"/>
  <c r="AE11" i="4"/>
  <c r="AL10" i="4"/>
  <c r="AN10" i="4" s="1"/>
  <c r="AC10" i="4"/>
  <c r="J5" i="4"/>
  <c r="AH11" i="4"/>
  <c r="AC11" i="4"/>
  <c r="Z11" i="4"/>
  <c r="J6" i="4"/>
  <c r="AA10" i="4"/>
  <c r="AS14" i="4"/>
  <c r="AT14" i="4"/>
  <c r="AL11" i="4"/>
  <c r="AN11" i="4" s="1"/>
  <c r="Z13" i="4"/>
  <c r="AB14" i="4"/>
  <c r="AC13" i="4"/>
  <c r="AF10" i="4"/>
  <c r="AH14" i="4"/>
  <c r="AD13" i="4"/>
  <c r="AE13" i="4"/>
  <c r="AG13" i="4"/>
  <c r="AL12" i="4"/>
  <c r="AN12" i="4" s="1"/>
  <c r="AL14" i="4"/>
  <c r="AN14" i="4" s="1"/>
  <c r="AB13" i="4"/>
  <c r="K7" i="4"/>
  <c r="AF13" i="4"/>
  <c r="AB11" i="4"/>
  <c r="AG11" i="4"/>
  <c r="AT10" i="4"/>
  <c r="AT11" i="4"/>
  <c r="AT13" i="4"/>
  <c r="AT12" i="4"/>
  <c r="AT12" i="3"/>
  <c r="AT14" i="3"/>
  <c r="AS13" i="3"/>
  <c r="AR10" i="3"/>
  <c r="AR11" i="3"/>
  <c r="AL12" i="3"/>
  <c r="AN12" i="3" s="1"/>
  <c r="K7" i="3"/>
  <c r="Y11" i="3"/>
  <c r="AL13" i="3"/>
  <c r="AN13" i="3" s="1"/>
  <c r="AL14" i="3"/>
  <c r="AN14" i="3" s="1"/>
  <c r="AE11" i="3"/>
  <c r="Z11" i="3"/>
  <c r="AA11" i="3"/>
  <c r="AC11" i="3"/>
  <c r="AN10" i="3"/>
  <c r="AM11" i="3"/>
  <c r="AP11" i="3" s="1"/>
  <c r="F73" i="3" s="1"/>
  <c r="Y13" i="3"/>
  <c r="AG13" i="3"/>
  <c r="K6" i="3"/>
  <c r="AB11" i="3"/>
  <c r="Z13" i="3"/>
  <c r="AA10" i="3"/>
  <c r="K5" i="3"/>
  <c r="AF12" i="4"/>
  <c r="AG12" i="4"/>
  <c r="AE12" i="4"/>
  <c r="AD14" i="4"/>
  <c r="AE14" i="4"/>
  <c r="AG14" i="4"/>
  <c r="AA12" i="4"/>
  <c r="Y14" i="4"/>
  <c r="AA14" i="4"/>
  <c r="AH10" i="4"/>
  <c r="AG10" i="4"/>
  <c r="AE10" i="4"/>
  <c r="AH12" i="4"/>
  <c r="AD10" i="4"/>
  <c r="P12" i="4"/>
  <c r="AB12" i="4" s="1"/>
  <c r="O13" i="4"/>
  <c r="AA13" i="4" s="1"/>
  <c r="N14" i="4"/>
  <c r="Z14" i="4" s="1"/>
  <c r="M10" i="4"/>
  <c r="Y10" i="4" s="1"/>
  <c r="Q14" i="4"/>
  <c r="AC14" i="4" s="1"/>
  <c r="R12" i="4"/>
  <c r="AD12" i="4" s="1"/>
  <c r="O9" i="4"/>
  <c r="N10" i="4"/>
  <c r="Z10" i="4" s="1"/>
  <c r="M11" i="4"/>
  <c r="Y11" i="4" s="1"/>
  <c r="N8" i="4"/>
  <c r="M12" i="4"/>
  <c r="Y12" i="4" s="1"/>
  <c r="P10" i="4"/>
  <c r="AB10" i="4" s="1"/>
  <c r="O11" i="4"/>
  <c r="AA11" i="4" s="1"/>
  <c r="N12" i="4"/>
  <c r="Z12" i="4" s="1"/>
  <c r="M13" i="4"/>
  <c r="Y13" i="4" s="1"/>
  <c r="T14" i="4"/>
  <c r="AF14" i="4" s="1"/>
  <c r="M10" i="3"/>
  <c r="Y10" i="3" s="1"/>
  <c r="J15" i="3"/>
  <c r="AC10" i="3"/>
  <c r="AF12" i="3"/>
  <c r="AF13" i="3"/>
  <c r="K8" i="3"/>
  <c r="AB12" i="3"/>
  <c r="AA12" i="3"/>
  <c r="AE12" i="3"/>
  <c r="AH12" i="3"/>
  <c r="AG12" i="3"/>
  <c r="AC12" i="3"/>
  <c r="AD12" i="3"/>
  <c r="AC14" i="3"/>
  <c r="AG10" i="3"/>
  <c r="AB10" i="3"/>
  <c r="AF10" i="3"/>
  <c r="AE10" i="3"/>
  <c r="AD10" i="3"/>
  <c r="AH10" i="3"/>
  <c r="Z10" i="3"/>
  <c r="Y12" i="3"/>
  <c r="AF14" i="3"/>
  <c r="AE14" i="3"/>
  <c r="Z12" i="3"/>
  <c r="AB13" i="3"/>
  <c r="AA13" i="3"/>
  <c r="AH13" i="3"/>
  <c r="AE13" i="3"/>
  <c r="AC13" i="3"/>
  <c r="AD13" i="3"/>
  <c r="Y14" i="3"/>
  <c r="AG14" i="3"/>
  <c r="AA14" i="3"/>
  <c r="AD14" i="3"/>
  <c r="AB14" i="3"/>
  <c r="AH11" i="3"/>
  <c r="AG11" i="3"/>
  <c r="AF11" i="3"/>
  <c r="AD11" i="3"/>
  <c r="Z14" i="3"/>
  <c r="AH14" i="3"/>
  <c r="AE12" i="1"/>
  <c r="AI12" i="1"/>
  <c r="AJ12" i="1"/>
  <c r="AJ13" i="1"/>
  <c r="AF14" i="1"/>
  <c r="AD13" i="1"/>
  <c r="AE13" i="1"/>
  <c r="AH13" i="1"/>
  <c r="AI13" i="1"/>
  <c r="AK12" i="1"/>
  <c r="AK13" i="1"/>
  <c r="AH14" i="1"/>
  <c r="R7" i="1"/>
  <c r="Q8" i="1"/>
  <c r="U10" i="1"/>
  <c r="Q12" i="1"/>
  <c r="AC12" i="1" s="1"/>
  <c r="U14" i="1"/>
  <c r="AG14" i="1" s="1"/>
  <c r="R8" i="1"/>
  <c r="U11" i="1"/>
  <c r="N11" i="1"/>
  <c r="D73" i="1" s="1"/>
  <c r="V11" i="1"/>
  <c r="X14" i="1"/>
  <c r="AJ14" i="1" s="1"/>
  <c r="AL12" i="1"/>
  <c r="V12" i="1"/>
  <c r="AH12" i="1" s="1"/>
  <c r="AH7" i="3" l="1"/>
  <c r="AC7" i="3"/>
  <c r="D55" i="4"/>
  <c r="X9" i="4"/>
  <c r="AC9" i="4" s="1"/>
  <c r="K9" i="4"/>
  <c r="AR13" i="1"/>
  <c r="AR26" i="1" s="1"/>
  <c r="AQ13" i="1"/>
  <c r="AR14" i="1"/>
  <c r="AR27" i="1" s="1"/>
  <c r="AQ14" i="1"/>
  <c r="AR12" i="1"/>
  <c r="AR25" i="1" s="1"/>
  <c r="AQ12" i="1"/>
  <c r="AE9" i="4"/>
  <c r="AG9" i="4"/>
  <c r="AF7" i="4"/>
  <c r="AK8" i="1"/>
  <c r="AF8" i="1"/>
  <c r="AC8" i="1"/>
  <c r="AI8" i="1"/>
  <c r="AA6" i="1"/>
  <c r="AI6" i="1" s="1"/>
  <c r="D68" i="1"/>
  <c r="AG8" i="1"/>
  <c r="AA9" i="1"/>
  <c r="AJ9" i="1" s="1"/>
  <c r="D71" i="1"/>
  <c r="AJ8" i="1"/>
  <c r="AE8" i="1"/>
  <c r="AA10" i="1"/>
  <c r="AL10" i="1" s="1"/>
  <c r="D72" i="1"/>
  <c r="AD8" i="1"/>
  <c r="AH8" i="1"/>
  <c r="O7" i="1"/>
  <c r="C69" i="1" s="1"/>
  <c r="D69" i="1"/>
  <c r="AA5" i="1"/>
  <c r="AH5" i="1" s="1"/>
  <c r="D67" i="1"/>
  <c r="AA7" i="1"/>
  <c r="AE7" i="1" s="1"/>
  <c r="O10" i="1"/>
  <c r="C72" i="1" s="1"/>
  <c r="O5" i="1"/>
  <c r="C67" i="1" s="1"/>
  <c r="AW14" i="1"/>
  <c r="AX14" i="1"/>
  <c r="AW13" i="1"/>
  <c r="AX13" i="1"/>
  <c r="AW12" i="1"/>
  <c r="AX12" i="1"/>
  <c r="Y7" i="4"/>
  <c r="AH7" i="4"/>
  <c r="AM13" i="4"/>
  <c r="AP13" i="4" s="1"/>
  <c r="F75" i="4" s="1"/>
  <c r="Z7" i="4"/>
  <c r="AB7" i="4"/>
  <c r="AC7" i="4"/>
  <c r="AF7" i="3"/>
  <c r="D13" i="7"/>
  <c r="F13" i="7" s="1"/>
  <c r="AE8" i="3"/>
  <c r="AM10" i="4"/>
  <c r="AP10" i="4" s="1"/>
  <c r="F72" i="4" s="1"/>
  <c r="AA7" i="4"/>
  <c r="AG7" i="4"/>
  <c r="AE7" i="4"/>
  <c r="X5" i="4"/>
  <c r="Y5" i="4" s="1"/>
  <c r="D51" i="4"/>
  <c r="C51" i="4"/>
  <c r="X8" i="4"/>
  <c r="D54" i="4"/>
  <c r="C54" i="4"/>
  <c r="X6" i="4"/>
  <c r="Z6" i="4" s="1"/>
  <c r="D52" i="4"/>
  <c r="C52" i="4"/>
  <c r="AF9" i="3"/>
  <c r="AH8" i="3"/>
  <c r="Y9" i="3"/>
  <c r="Z8" i="3"/>
  <c r="AA8" i="3"/>
  <c r="AB7" i="3"/>
  <c r="AE5" i="3"/>
  <c r="AE9" i="3"/>
  <c r="AB9" i="3"/>
  <c r="AB8" i="3"/>
  <c r="AG8" i="3"/>
  <c r="AD8" i="3"/>
  <c r="AC6" i="3"/>
  <c r="AA6" i="3"/>
  <c r="AH6" i="3"/>
  <c r="AG6" i="3"/>
  <c r="Y8" i="3"/>
  <c r="AE6" i="3"/>
  <c r="AF6" i="3"/>
  <c r="AF8" i="3"/>
  <c r="AG5" i="3"/>
  <c r="AA5" i="3"/>
  <c r="AB5" i="3"/>
  <c r="Y5" i="3"/>
  <c r="AF5" i="3"/>
  <c r="AD7" i="3"/>
  <c r="Y7" i="3"/>
  <c r="AC5" i="3"/>
  <c r="Z5" i="3"/>
  <c r="AD6" i="3"/>
  <c r="Y6" i="3"/>
  <c r="AD9" i="3"/>
  <c r="Z6" i="3"/>
  <c r="AH9" i="3"/>
  <c r="AC9" i="3"/>
  <c r="Z9" i="3"/>
  <c r="AA7" i="3"/>
  <c r="AG7" i="3"/>
  <c r="AA9" i="3"/>
  <c r="Z7" i="3"/>
  <c r="AD5" i="3"/>
  <c r="O6" i="1"/>
  <c r="C68" i="1" s="1"/>
  <c r="O9" i="1"/>
  <c r="C71" i="1" s="1"/>
  <c r="N15" i="1"/>
  <c r="AM11" i="4"/>
  <c r="AP11" i="4" s="1"/>
  <c r="F73" i="4" s="1"/>
  <c r="K6" i="4"/>
  <c r="AM14" i="4"/>
  <c r="AP14" i="4" s="1"/>
  <c r="F76" i="4" s="1"/>
  <c r="K5" i="4"/>
  <c r="J15" i="4"/>
  <c r="AM12" i="4"/>
  <c r="AP12" i="4" s="1"/>
  <c r="F74" i="4" s="1"/>
  <c r="AS10" i="3"/>
  <c r="AT10" i="3"/>
  <c r="AS11" i="3"/>
  <c r="AT11" i="3"/>
  <c r="AM12" i="3"/>
  <c r="AP12" i="3" s="1"/>
  <c r="F74" i="3" s="1"/>
  <c r="AM14" i="3"/>
  <c r="AP14" i="3" s="1"/>
  <c r="F76" i="3" s="1"/>
  <c r="AM13" i="3"/>
  <c r="AP13" i="3" s="1"/>
  <c r="F75" i="3" s="1"/>
  <c r="K15" i="3"/>
  <c r="O11" i="1"/>
  <c r="C73" i="1" s="1"/>
  <c r="AA11" i="1"/>
  <c r="AG11" i="1" s="1"/>
  <c r="AH9" i="4" l="1"/>
  <c r="AB9" i="4"/>
  <c r="AD9" i="4"/>
  <c r="Z9" i="4"/>
  <c r="Y9" i="4"/>
  <c r="AF9" i="4"/>
  <c r="AA9" i="4"/>
  <c r="AQ27" i="1"/>
  <c r="AT14" i="1"/>
  <c r="F92" i="1" s="1"/>
  <c r="AT12" i="1"/>
  <c r="F90" i="1" s="1"/>
  <c r="AQ25" i="1"/>
  <c r="AT13" i="1"/>
  <c r="F91" i="1" s="1"/>
  <c r="AQ26" i="1"/>
  <c r="AL5" i="1"/>
  <c r="AI9" i="1"/>
  <c r="AF9" i="1"/>
  <c r="AD10" i="1"/>
  <c r="AF10" i="1"/>
  <c r="AI5" i="1"/>
  <c r="AH9" i="1"/>
  <c r="AC9" i="1"/>
  <c r="AC10" i="1"/>
  <c r="AE9" i="1"/>
  <c r="AH10" i="1"/>
  <c r="AK9" i="1"/>
  <c r="AF5" i="1"/>
  <c r="AL9" i="1"/>
  <c r="AK5" i="1"/>
  <c r="AD9" i="1"/>
  <c r="AG9" i="1"/>
  <c r="AD6" i="1"/>
  <c r="AG10" i="1"/>
  <c r="AJ6" i="1"/>
  <c r="AG6" i="1"/>
  <c r="AL6" i="1"/>
  <c r="AD5" i="1"/>
  <c r="AF6" i="1"/>
  <c r="AI10" i="1"/>
  <c r="AK10" i="1"/>
  <c r="AE10" i="1"/>
  <c r="AC6" i="1"/>
  <c r="AJ5" i="1"/>
  <c r="AC5" i="1"/>
  <c r="AH6" i="1"/>
  <c r="AG5" i="1"/>
  <c r="AE5" i="1"/>
  <c r="AE6" i="1"/>
  <c r="AK6" i="1"/>
  <c r="AJ10" i="1"/>
  <c r="AL7" i="1"/>
  <c r="AJ7" i="1"/>
  <c r="AC7" i="1"/>
  <c r="AH7" i="1"/>
  <c r="AK7" i="1"/>
  <c r="AI7" i="1"/>
  <c r="AF7" i="1"/>
  <c r="AG7" i="1"/>
  <c r="AD7" i="1"/>
  <c r="F12" i="7"/>
  <c r="AB5" i="4"/>
  <c r="AE6" i="4"/>
  <c r="AG5" i="4"/>
  <c r="AB6" i="4"/>
  <c r="AF6" i="4"/>
  <c r="AC5" i="4"/>
  <c r="AC6" i="4"/>
  <c r="AH6" i="4"/>
  <c r="AF5" i="4"/>
  <c r="AE5" i="4"/>
  <c r="AD5" i="4"/>
  <c r="AH5" i="4"/>
  <c r="Z5" i="4"/>
  <c r="AH8" i="4"/>
  <c r="AG8" i="4"/>
  <c r="AD8" i="4"/>
  <c r="Y8" i="4"/>
  <c r="AA8" i="4"/>
  <c r="AC8" i="4"/>
  <c r="AF8" i="4"/>
  <c r="AB8" i="4"/>
  <c r="AE8" i="4"/>
  <c r="AA5" i="4"/>
  <c r="Y6" i="4"/>
  <c r="AA6" i="4"/>
  <c r="AG6" i="4"/>
  <c r="AD6" i="4"/>
  <c r="Z8" i="4"/>
  <c r="AJ5" i="3" a="1"/>
  <c r="AJ5" i="3" s="1"/>
  <c r="AJ15" i="3" s="1"/>
  <c r="AJ16" i="3" s="1"/>
  <c r="AR6" i="3"/>
  <c r="AT6" i="3" s="1"/>
  <c r="E83" i="3" s="1"/>
  <c r="AR9" i="3"/>
  <c r="AL9" i="3"/>
  <c r="O15" i="1"/>
  <c r="K15" i="4"/>
  <c r="AR5" i="3"/>
  <c r="AR7" i="3"/>
  <c r="AR8" i="3"/>
  <c r="AL5" i="3"/>
  <c r="AN5" i="3" s="1"/>
  <c r="E67" i="3" s="1"/>
  <c r="AL6" i="3"/>
  <c r="AL7" i="3"/>
  <c r="AL8" i="3"/>
  <c r="K17" i="3"/>
  <c r="AK11" i="1"/>
  <c r="AJ11" i="1"/>
  <c r="AE11" i="1"/>
  <c r="AL11" i="1"/>
  <c r="AI11" i="1"/>
  <c r="AF11" i="1"/>
  <c r="AD11" i="1"/>
  <c r="AC11" i="1"/>
  <c r="AH11" i="1"/>
  <c r="AV7" i="1" l="1"/>
  <c r="AV8" i="1"/>
  <c r="AV9" i="1"/>
  <c r="AX9" i="1" s="1"/>
  <c r="E125" i="1" s="1"/>
  <c r="AV10" i="1"/>
  <c r="AV11" i="1"/>
  <c r="AX11" i="1" s="1"/>
  <c r="E127" i="1" s="1"/>
  <c r="AV6" i="1"/>
  <c r="AV5" i="1"/>
  <c r="AW5" i="1" s="1"/>
  <c r="D121" i="1" s="1"/>
  <c r="AP8" i="1"/>
  <c r="AP7" i="1"/>
  <c r="AP6" i="1"/>
  <c r="AP11" i="1"/>
  <c r="AP10" i="1"/>
  <c r="AP9" i="1"/>
  <c r="AP5" i="1"/>
  <c r="O17" i="1"/>
  <c r="AJ5" i="4" a="1"/>
  <c r="AJ5" i="4" s="1"/>
  <c r="AJ15" i="4" s="1"/>
  <c r="AJ16" i="4" s="1"/>
  <c r="AR6" i="4"/>
  <c r="AL9" i="4"/>
  <c r="AR9" i="4"/>
  <c r="AR8" i="4"/>
  <c r="AR7" i="4"/>
  <c r="AS7" i="4" s="1"/>
  <c r="D86" i="4" s="1"/>
  <c r="AR5" i="4"/>
  <c r="AS6" i="3"/>
  <c r="D83" i="3" s="1"/>
  <c r="AM9" i="3"/>
  <c r="AN9" i="3"/>
  <c r="E71" i="3" s="1"/>
  <c r="AS9" i="3"/>
  <c r="D86" i="3" s="1"/>
  <c r="AT9" i="3"/>
  <c r="E86" i="3" s="1"/>
  <c r="K24" i="3"/>
  <c r="C61" i="3"/>
  <c r="AN5" i="1" a="1"/>
  <c r="AN5" i="1" s="1"/>
  <c r="AN15" i="1" s="1"/>
  <c r="AN16" i="1" s="1"/>
  <c r="O22" i="1" s="1"/>
  <c r="AL5" i="4"/>
  <c r="K17" i="4"/>
  <c r="AL6" i="4"/>
  <c r="AN6" i="4" s="1"/>
  <c r="E68" i="4" s="1"/>
  <c r="AL7" i="4"/>
  <c r="AL8" i="4"/>
  <c r="AT8" i="3"/>
  <c r="E85" i="3" s="1"/>
  <c r="AS8" i="3"/>
  <c r="D85" i="3" s="1"/>
  <c r="AT7" i="3"/>
  <c r="E84" i="3" s="1"/>
  <c r="AS7" i="3"/>
  <c r="D84" i="3" s="1"/>
  <c r="AT5" i="3"/>
  <c r="E82" i="3" s="1"/>
  <c r="AS5" i="3"/>
  <c r="D82" i="3" s="1"/>
  <c r="AM5" i="3"/>
  <c r="K22" i="3"/>
  <c r="K19" i="3"/>
  <c r="K26" i="3" s="1"/>
  <c r="AN6" i="3"/>
  <c r="E68" i="3" s="1"/>
  <c r="AM6" i="3"/>
  <c r="AM8" i="3"/>
  <c r="AN8" i="3"/>
  <c r="E70" i="3" s="1"/>
  <c r="AN7" i="3"/>
  <c r="E69" i="3" s="1"/>
  <c r="AM7" i="3"/>
  <c r="K18" i="3"/>
  <c r="K25" i="3" s="1"/>
  <c r="D71" i="3" l="1"/>
  <c r="AP9" i="3"/>
  <c r="F71" i="3" s="1"/>
  <c r="D70" i="3"/>
  <c r="AP8" i="3"/>
  <c r="F70" i="3" s="1"/>
  <c r="D68" i="3"/>
  <c r="AP6" i="3"/>
  <c r="F68" i="3" s="1"/>
  <c r="D69" i="3"/>
  <c r="AP7" i="3"/>
  <c r="F69" i="3" s="1"/>
  <c r="D67" i="3"/>
  <c r="AP5" i="3"/>
  <c r="F67" i="3" s="1"/>
  <c r="AR7" i="1"/>
  <c r="AQ7" i="1"/>
  <c r="AQ8" i="1"/>
  <c r="AR8" i="1"/>
  <c r="AR5" i="1"/>
  <c r="AQ5" i="1"/>
  <c r="AQ9" i="1"/>
  <c r="AR9" i="1"/>
  <c r="AQ10" i="1"/>
  <c r="AR10" i="1"/>
  <c r="AQ11" i="1"/>
  <c r="AR11" i="1"/>
  <c r="AR6" i="1"/>
  <c r="AQ6" i="1"/>
  <c r="C77" i="1"/>
  <c r="AW9" i="1"/>
  <c r="D125" i="1" s="1"/>
  <c r="AX5" i="1"/>
  <c r="E121" i="1" s="1"/>
  <c r="AW11" i="1"/>
  <c r="D127" i="1" s="1"/>
  <c r="AW7" i="1"/>
  <c r="D123" i="1" s="1"/>
  <c r="AX7" i="1"/>
  <c r="E123" i="1" s="1"/>
  <c r="AW10" i="1"/>
  <c r="D126" i="1" s="1"/>
  <c r="AX10" i="1"/>
  <c r="E126" i="1" s="1"/>
  <c r="AW6" i="1"/>
  <c r="D122" i="1" s="1"/>
  <c r="AX6" i="1"/>
  <c r="E122" i="1" s="1"/>
  <c r="AW8" i="1"/>
  <c r="D124" i="1" s="1"/>
  <c r="AX8" i="1"/>
  <c r="E124" i="1" s="1"/>
  <c r="AT9" i="4"/>
  <c r="AS9" i="4"/>
  <c r="D88" i="4" s="1"/>
  <c r="AN9" i="4"/>
  <c r="E71" i="4" s="1"/>
  <c r="AM9" i="4"/>
  <c r="AT7" i="4"/>
  <c r="E86" i="4" s="1"/>
  <c r="C61" i="4"/>
  <c r="AS5" i="4"/>
  <c r="D84" i="4" s="1"/>
  <c r="AT5" i="4"/>
  <c r="E84" i="4" s="1"/>
  <c r="AM6" i="4"/>
  <c r="K19" i="4"/>
  <c r="K26" i="4" s="1"/>
  <c r="D61" i="3"/>
  <c r="O18" i="1"/>
  <c r="D77" i="1" s="1"/>
  <c r="O19" i="1"/>
  <c r="AN5" i="4"/>
  <c r="E67" i="4" s="1"/>
  <c r="AM5" i="4"/>
  <c r="K24" i="4"/>
  <c r="K18" i="4"/>
  <c r="K25" i="4" s="1"/>
  <c r="K22" i="4"/>
  <c r="AT6" i="4"/>
  <c r="E85" i="4" s="1"/>
  <c r="AS6" i="4"/>
  <c r="D85" i="4" s="1"/>
  <c r="AN8" i="4"/>
  <c r="E70" i="4" s="1"/>
  <c r="AM8" i="4"/>
  <c r="AM7" i="4"/>
  <c r="AN7" i="4"/>
  <c r="E69" i="4" s="1"/>
  <c r="AT8" i="4"/>
  <c r="E87" i="4" s="1"/>
  <c r="AS8" i="4"/>
  <c r="D87" i="4" s="1"/>
  <c r="D88" i="1" l="1"/>
  <c r="AQ23" i="1"/>
  <c r="E85" i="1"/>
  <c r="AR20" i="1"/>
  <c r="E87" i="1"/>
  <c r="AR22" i="1"/>
  <c r="AQ22" i="1"/>
  <c r="AT9" i="1" s="1"/>
  <c r="F87" i="1" s="1"/>
  <c r="D87" i="1"/>
  <c r="AQ19" i="1"/>
  <c r="D84" i="1"/>
  <c r="D83" i="1"/>
  <c r="AQ18" i="1"/>
  <c r="E84" i="1"/>
  <c r="AR19" i="1"/>
  <c r="AR18" i="1"/>
  <c r="E83" i="1"/>
  <c r="E89" i="1"/>
  <c r="AR24" i="1"/>
  <c r="AR21" i="1"/>
  <c r="E86" i="1"/>
  <c r="D89" i="1"/>
  <c r="AQ24" i="1"/>
  <c r="AQ21" i="1"/>
  <c r="D86" i="1"/>
  <c r="E88" i="1"/>
  <c r="AR23" i="1"/>
  <c r="AT10" i="1" s="1"/>
  <c r="F88" i="1" s="1"/>
  <c r="AQ20" i="1"/>
  <c r="D85" i="1"/>
  <c r="D68" i="4"/>
  <c r="AP6" i="4"/>
  <c r="F68" i="4" s="1"/>
  <c r="D71" i="4"/>
  <c r="AP9" i="4"/>
  <c r="F71" i="4" s="1"/>
  <c r="D69" i="4"/>
  <c r="AP7" i="4"/>
  <c r="F69" i="4" s="1"/>
  <c r="D67" i="4"/>
  <c r="AP5" i="4"/>
  <c r="F67" i="4" s="1"/>
  <c r="D70" i="4"/>
  <c r="AP8" i="4"/>
  <c r="F70" i="4" s="1"/>
  <c r="D61" i="4"/>
  <c r="AT7" i="1" l="1"/>
  <c r="F85" i="1" s="1"/>
  <c r="AT11" i="1"/>
  <c r="F89" i="1" s="1"/>
  <c r="AT6" i="1"/>
  <c r="F84" i="1" s="1"/>
  <c r="AT8" i="1"/>
  <c r="F86" i="1" s="1"/>
  <c r="AT5" i="1"/>
  <c r="F8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Toshio Morizane</author>
  </authors>
  <commentList>
    <comment ref="B3" authorId="0" shapeId="0" xr:uid="{F9D8DE43-2D4A-4A02-86C9-087BF2F6198D}">
      <text>
        <r>
          <rPr>
            <b/>
            <sz val="9"/>
            <color indexed="81"/>
            <rFont val="MS P ゴシック"/>
            <family val="3"/>
            <charset val="128"/>
          </rPr>
          <t>データを入力するセルは肌色のセル、薄緑のセルはポップアップメニューから選択。それ以外のセルは計算式または計算結果を含むのでデータを入力しないこと。</t>
        </r>
      </text>
    </comment>
    <comment ref="B5" authorId="0" shapeId="0" xr:uid="{AA2A8D01-AF60-4BF7-83B7-B60090492E1D}">
      <text>
        <r>
          <rPr>
            <b/>
            <sz val="9"/>
            <color indexed="81"/>
            <rFont val="MS P ゴシック"/>
            <family val="3"/>
            <charset val="128"/>
          </rPr>
          <t xml:space="preserve">アウトカム名を入力
</t>
        </r>
        <r>
          <rPr>
            <sz val="9"/>
            <color indexed="81"/>
            <rFont val="MS P ゴシック"/>
            <family val="3"/>
            <charset val="128"/>
          </rPr>
          <t xml:space="preserve">
</t>
        </r>
      </text>
    </comment>
    <comment ref="C5" authorId="0" shapeId="0" xr:uid="{1844CE6B-E45A-4E59-BEA6-27292C151CFC}">
      <text>
        <r>
          <rPr>
            <b/>
            <sz val="9"/>
            <color indexed="81"/>
            <rFont val="MS P ゴシック"/>
            <family val="3"/>
            <charset val="128"/>
          </rPr>
          <t>ポップアップメニューから選択</t>
        </r>
      </text>
    </comment>
    <comment ref="E5" authorId="0" shapeId="0" xr:uid="{0F4B5DEA-6554-40AE-9F43-7F68B8EE152E}">
      <text>
        <r>
          <rPr>
            <b/>
            <sz val="9"/>
            <color indexed="81"/>
            <rFont val="MS P ゴシック"/>
            <family val="3"/>
            <charset val="128"/>
          </rPr>
          <t>演算結果。変更不可。</t>
        </r>
      </text>
    </comment>
    <comment ref="F5" authorId="0" shapeId="0" xr:uid="{076E1DF4-3EAD-4617-B244-AE4342006DDD}">
      <text>
        <r>
          <rPr>
            <b/>
            <sz val="9"/>
            <color indexed="81"/>
            <rFont val="MS P ゴシック"/>
            <family val="3"/>
            <charset val="128"/>
          </rPr>
          <t>値を入力</t>
        </r>
      </text>
    </comment>
    <comment ref="J5" authorId="0" shapeId="0" xr:uid="{160EAEB5-384B-46F5-BE3A-551C334C727F}">
      <text>
        <r>
          <rPr>
            <b/>
            <sz val="9"/>
            <color indexed="81"/>
            <rFont val="MS P ゴシック"/>
            <family val="3"/>
            <charset val="128"/>
          </rPr>
          <t>演算結果。変更不可。</t>
        </r>
      </text>
    </comment>
    <comment ref="I24" authorId="0" shapeId="0" xr:uid="{F95C861C-9A67-41F6-B40B-1FE0A64A1A6E}">
      <text>
        <r>
          <rPr>
            <b/>
            <sz val="9"/>
            <color indexed="81"/>
            <rFont val="MS P ゴシック"/>
            <family val="3"/>
            <charset val="128"/>
          </rPr>
          <t>最重要のアウトカムが生起した人数に相当する。</t>
        </r>
      </text>
    </comment>
    <comment ref="B30" authorId="0" shapeId="0" xr:uid="{318D9EE1-A215-4ED4-81BD-FCD1D68B181A}">
      <text>
        <r>
          <rPr>
            <b/>
            <sz val="9"/>
            <color indexed="81"/>
            <rFont val="MS P ゴシック"/>
            <family val="3"/>
            <charset val="128"/>
          </rPr>
          <t>グラフ画面を左クリックし、漏斗のアイコン（グラフフィルター）をクリックして、表示する系列にチェックを入れる。</t>
        </r>
        <r>
          <rPr>
            <sz val="9"/>
            <color indexed="81"/>
            <rFont val="MS P ゴシック"/>
            <family val="3"/>
            <charset val="128"/>
          </rPr>
          <t xml:space="preserve">
</t>
        </r>
      </text>
    </comment>
    <comment ref="B31" authorId="0" shapeId="0" xr:uid="{05C5CD76-B19E-4BD2-8FDF-64DC4F3BFA25}">
      <text>
        <r>
          <rPr>
            <b/>
            <sz val="9"/>
            <color indexed="81"/>
            <rFont val="MS P ゴシック"/>
            <family val="3"/>
            <charset val="128"/>
          </rPr>
          <t>横軸目盛りの範囲の設定は、軸の部分を左クリックして、＋のアイコンをクリックし、軸の右の三角をクリックし、その他のオプションをクリックして、最小値、最大値などを設定する。</t>
        </r>
        <r>
          <rPr>
            <sz val="9"/>
            <color indexed="81"/>
            <rFont val="MS P ゴシック"/>
            <family val="3"/>
            <charset val="128"/>
          </rPr>
          <t xml:space="preserve">
横軸のラベル位置も適宜移動させること。</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Toshio Morizane</author>
  </authors>
  <commentList>
    <comment ref="B3" authorId="0" shapeId="0" xr:uid="{51BCD4BE-84C8-47BB-B70B-7A34D487A10F}">
      <text>
        <r>
          <rPr>
            <b/>
            <sz val="9"/>
            <color indexed="81"/>
            <rFont val="MS P ゴシック"/>
            <family val="3"/>
            <charset val="128"/>
          </rPr>
          <t>データを入力するセルは肌色のセル、薄緑のセルはポップアップメニューから選択。それ以外のセルは計算式または計算結果を含むのでデータを入力しないこと。</t>
        </r>
      </text>
    </comment>
    <comment ref="B30" authorId="0" shapeId="0" xr:uid="{7E4CFF72-329D-4E42-AACB-8AE746766F94}">
      <text>
        <r>
          <rPr>
            <b/>
            <sz val="9"/>
            <color indexed="81"/>
            <rFont val="MS P ゴシック"/>
            <family val="3"/>
            <charset val="128"/>
          </rPr>
          <t>グラフ画面を左クリックし、漏斗のアイコン（グラフフィルター）をクリックして、表示する系列にチェックを入れる。</t>
        </r>
        <r>
          <rPr>
            <sz val="9"/>
            <color indexed="81"/>
            <rFont val="MS P ゴシック"/>
            <family val="3"/>
            <charset val="128"/>
          </rPr>
          <t xml:space="preserve">
</t>
        </r>
      </text>
    </comment>
    <comment ref="B31" authorId="0" shapeId="0" xr:uid="{1886F8CC-DBBA-46FC-A0AC-88BAA27B0BE7}">
      <text>
        <r>
          <rPr>
            <b/>
            <sz val="9"/>
            <color indexed="81"/>
            <rFont val="MS P ゴシック"/>
            <family val="3"/>
            <charset val="128"/>
          </rPr>
          <t>横軸目盛りの範囲の設定は、軸の部分を左クリックして、＋のアイコンをクリックし、軸の右の三角をクリックし、その他のオプションをクリックして、最小値、最大値などを設定する。</t>
        </r>
        <r>
          <rPr>
            <sz val="9"/>
            <color indexed="81"/>
            <rFont val="MS P ゴシック"/>
            <family val="3"/>
            <charset val="128"/>
          </rPr>
          <t xml:space="preserve">
横軸のラベル位置も適宜移動させること。</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Toshio Morizane</author>
  </authors>
  <commentList>
    <comment ref="G3" authorId="0" shapeId="0" xr:uid="{8E9BA40B-D065-47D5-B168-E76123EFD850}">
      <text>
        <r>
          <rPr>
            <b/>
            <sz val="9"/>
            <color indexed="81"/>
            <rFont val="MS P ゴシック"/>
            <family val="3"/>
            <charset val="128"/>
          </rPr>
          <t>データを入力するセルは肌色のセル、薄緑のセルはポップアップメニューから選択。それ以外のセルは計算式または計算結果を含むのでデータを入力しないこと。</t>
        </r>
      </text>
    </comment>
    <comment ref="M4" authorId="0" shapeId="0" xr:uid="{5E95D660-5067-4D0D-9933-61019EF542D1}">
      <text>
        <r>
          <rPr>
            <b/>
            <sz val="9"/>
            <color indexed="81"/>
            <rFont val="MS P ゴシック"/>
            <family val="3"/>
            <charset val="128"/>
          </rPr>
          <t>Wk-Bk、すなわちSwingを考慮して設定すること。Swingが小さい場合、本来の価値に基づく重要度より小さくなる。</t>
        </r>
      </text>
    </comment>
    <comment ref="AT4" authorId="0" shapeId="0" xr:uid="{FCC5D0C3-D881-4CA6-8E3B-0242117A0456}">
      <text>
        <r>
          <rPr>
            <b/>
            <sz val="9"/>
            <color indexed="81"/>
            <rFont val="MS P ゴシック"/>
            <family val="3"/>
            <charset val="128"/>
          </rPr>
          <t>Unreversal rangeの外にに効果推定値の上限値または下限値のいずれままたは両方がある場合uncertain、両方とも含まれる場合はcertainと判定する。-∞は-1000000を+∞は1000000の値を設定する。</t>
        </r>
      </text>
    </comment>
    <comment ref="AQ15" authorId="0" shapeId="0" xr:uid="{B5193700-A894-4F06-96FD-312177AD1FD0}">
      <text>
        <r>
          <rPr>
            <b/>
            <sz val="9"/>
            <color indexed="81"/>
            <rFont val="MS P ゴシック"/>
            <family val="3"/>
            <charset val="128"/>
          </rPr>
          <t xml:space="preserve">グラフではX軸の下限値をThresholdからUpper limit of unreversal rangeの差を10倍下値で信頼区間を描画させる。上限値についても同様にThresholdからLower limit of unreversal rangeの差を10倍した値に設定する。そうすることで、先端のキャップがないので∞であることが分かる。
</t>
        </r>
      </text>
    </comment>
    <comment ref="B26" authorId="0" shapeId="0" xr:uid="{1DDEC7F6-9099-4532-B7CC-3BCC7B077A27}">
      <text>
        <r>
          <rPr>
            <b/>
            <sz val="9"/>
            <color indexed="81"/>
            <rFont val="MS P ゴシック"/>
            <family val="3"/>
            <charset val="128"/>
          </rPr>
          <t>グラフ画面を左クリックし、漏斗のアイコン（グラフフィルター）をクリックして、表示する系列にチェックを入れる。</t>
        </r>
        <r>
          <rPr>
            <sz val="9"/>
            <color indexed="81"/>
            <rFont val="MS P ゴシック"/>
            <family val="3"/>
            <charset val="128"/>
          </rPr>
          <t xml:space="preserve">
</t>
        </r>
      </text>
    </comment>
    <comment ref="B27" authorId="0" shapeId="0" xr:uid="{049A8073-7E3F-4BB1-9189-3B3003ABED37}">
      <text>
        <r>
          <rPr>
            <b/>
            <sz val="9"/>
            <color indexed="81"/>
            <rFont val="MS P ゴシック"/>
            <family val="3"/>
            <charset val="128"/>
          </rPr>
          <t>横軸目盛りの範囲の設定は、軸の部分を左クリックして、＋のアイコンをクリックし、軸の右の三角をクリックし、その他のオプションをクリックして、最小値、最大値などを設定する。</t>
        </r>
        <r>
          <rPr>
            <sz val="9"/>
            <color indexed="81"/>
            <rFont val="MS P ゴシック"/>
            <family val="3"/>
            <charset val="128"/>
          </rPr>
          <t xml:space="preserve">
横軸のラベル位置も適宜移動させること。</t>
        </r>
      </text>
    </comment>
    <comment ref="E82" authorId="0" shapeId="0" xr:uid="{95036540-B2C2-4CE2-92C0-A8614B2193AA}">
      <text>
        <r>
          <rPr>
            <b/>
            <sz val="9"/>
            <color indexed="81"/>
            <rFont val="MS P ゴシック"/>
            <family val="3"/>
            <charset val="128"/>
          </rPr>
          <t>∞の場合は、反対側の信頼区間の幅に10倍した値を設定。そして、X軸の上限下限をそれを含まない範囲に設定することで、∞であることを表す。-∞の場合も同様。X軸の範囲はそれら以外の値が収まる範囲に設定す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Toshio Morizane</author>
  </authors>
  <commentList>
    <comment ref="C2" authorId="0" shapeId="0" xr:uid="{D3324BFF-A3A0-4882-8C23-C82C9821A367}">
      <text>
        <r>
          <rPr>
            <b/>
            <sz val="9"/>
            <color indexed="81"/>
            <rFont val="MS P ゴシック"/>
            <family val="3"/>
            <charset val="128"/>
          </rPr>
          <t>データを入力するセルは肌色のセル、薄緑のセルはポップアップメニューから選択。それ以外のセルは計算式または計算結果を含むのでデータを入力しないこと。</t>
        </r>
      </text>
    </comment>
    <comment ref="F8" authorId="0" shapeId="0" xr:uid="{A1A93DD0-1748-47E6-B51C-496EFA5744AD}">
      <text>
        <r>
          <rPr>
            <b/>
            <sz val="9"/>
            <color indexed="81"/>
            <rFont val="MS P ゴシック"/>
            <family val="3"/>
            <charset val="128"/>
          </rPr>
          <t xml:space="preserve">アウトカムが有益事象の場合は効果推定値の値が大きい方が望ましいので1、有害事象の場合は値が小さい方が望ましいので-1。
 例えば、HbA1cであれば、値が小さい方が望ましいので-1となり、正規分布の閾値以下の曲線下の面積を割合として求める。
 血清アルブミン値であれば、値が大きい方が望ましいので、1となり、正規分布の閾値以上の曲線下の面積を割合として求める。
</t>
        </r>
      </text>
    </comment>
    <comment ref="K8" authorId="0" shapeId="0" xr:uid="{DF24D351-17F3-4B36-87BD-F3B43A3874AA}">
      <text>
        <r>
          <rPr>
            <b/>
            <sz val="9"/>
            <color indexed="81"/>
            <rFont val="MS P ゴシック"/>
            <family val="3"/>
            <charset val="128"/>
          </rPr>
          <t xml:space="preserve"> 閾値は臨床的に設定された目標値や基準値の上限あるいは下限値を設定する。</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<sst xmlns="http://schemas.openxmlformats.org/spreadsheetml/2006/main" count="337" uniqueCount="160">
  <si>
    <t>ペア比較に基づくリスク差Risk Differenceと平均値差Mean Differenceからの正味の益の計算</t>
    <rPh sb="2" eb="4">
      <t>ヒカク</t>
    </rPh>
    <rPh sb="5" eb="6">
      <t>モト</t>
    </rPh>
    <rPh sb="11" eb="12">
      <t>サ</t>
    </rPh>
    <rPh sb="28" eb="32">
      <t>ヘイキンチサ</t>
    </rPh>
    <rPh sb="50" eb="52">
      <t>ショウミ</t>
    </rPh>
    <rPh sb="53" eb="54">
      <t>エキ</t>
    </rPh>
    <rPh sb="55" eb="57">
      <t>ケイサン</t>
    </rPh>
    <phoneticPr fontId="3"/>
  </si>
  <si>
    <t>Keeney &amp; RaiffaのSwing-weighting法</t>
    <rPh sb="31" eb="32">
      <t>ホウ</t>
    </rPh>
    <phoneticPr fontId="3"/>
  </si>
  <si>
    <t>:二値変数のアウトカムと連続変数のアウトカムが混在する場合。介入iと介入j（対照）の比較</t>
    <rPh sb="1" eb="5">
      <t>ニチヘンスウ</t>
    </rPh>
    <rPh sb="12" eb="14">
      <t>レンゾク</t>
    </rPh>
    <rPh sb="14" eb="16">
      <t>ヘンスウ</t>
    </rPh>
    <rPh sb="23" eb="25">
      <t>コンザイ</t>
    </rPh>
    <rPh sb="27" eb="29">
      <t>バアイ</t>
    </rPh>
    <rPh sb="30" eb="32">
      <t>カイニュウ</t>
    </rPh>
    <rPh sb="34" eb="36">
      <t>カイニュウ</t>
    </rPh>
    <rPh sb="38" eb="40">
      <t>タイショウ</t>
    </rPh>
    <rPh sb="42" eb="44">
      <t>ヒカク</t>
    </rPh>
    <phoneticPr fontId="3"/>
  </si>
  <si>
    <t>分散共分散行列</t>
    <rPh sb="0" eb="2">
      <t>ブンサン</t>
    </rPh>
    <rPh sb="2" eb="5">
      <t>キョウブンサン</t>
    </rPh>
    <rPh sb="5" eb="7">
      <t>ギョウレツ</t>
    </rPh>
    <phoneticPr fontId="3"/>
  </si>
  <si>
    <t>RD, MDの係数</t>
    <rPh sb="7" eb="9">
      <t>ケイスウ</t>
    </rPh>
    <phoneticPr fontId="3"/>
  </si>
  <si>
    <t>分散共分散行列×A</t>
    <rPh sb="0" eb="5">
      <t>ブンサンキョウブンサン</t>
    </rPh>
    <rPh sb="5" eb="7">
      <t>ギョウレツ</t>
    </rPh>
    <phoneticPr fontId="3"/>
  </si>
  <si>
    <t>k</t>
    <phoneticPr fontId="3"/>
  </si>
  <si>
    <r>
      <t>アウトカム</t>
    </r>
    <r>
      <rPr>
        <vertAlign val="subscript"/>
        <sz val="11"/>
        <color theme="1"/>
        <rFont val="游ゴシック"/>
        <family val="3"/>
        <charset val="128"/>
        <scheme val="minor"/>
      </rPr>
      <t>k</t>
    </r>
    <phoneticPr fontId="3"/>
  </si>
  <si>
    <t>益/害(オプショナル）</t>
    <phoneticPr fontId="3"/>
  </si>
  <si>
    <t>有益事象/有害事象</t>
    <rPh sb="0" eb="4">
      <t>ユウエキジショウ</t>
    </rPh>
    <rPh sb="5" eb="9">
      <t>ユウガイジショウ</t>
    </rPh>
    <phoneticPr fontId="3"/>
  </si>
  <si>
    <t>変数タイプ</t>
    <rPh sb="0" eb="2">
      <t>ヘンスウ</t>
    </rPh>
    <phoneticPr fontId="3"/>
  </si>
  <si>
    <r>
      <t>ありうる最善の絶対リスク(B</t>
    </r>
    <r>
      <rPr>
        <vertAlign val="subscript"/>
        <sz val="11"/>
        <color theme="1"/>
        <rFont val="游ゴシック"/>
        <family val="3"/>
        <charset val="128"/>
        <scheme val="minor"/>
      </rPr>
      <t>k</t>
    </r>
    <r>
      <rPr>
        <sz val="11"/>
        <color theme="1"/>
        <rFont val="游ゴシック"/>
        <family val="2"/>
        <charset val="128"/>
        <scheme val="minor"/>
      </rPr>
      <t>)</t>
    </r>
    <rPh sb="4" eb="6">
      <t>サイゼン</t>
    </rPh>
    <rPh sb="7" eb="9">
      <t>ゼッタイ</t>
    </rPh>
    <phoneticPr fontId="3"/>
  </si>
  <si>
    <r>
      <t>ありうる最悪の絶対リスク(W</t>
    </r>
    <r>
      <rPr>
        <vertAlign val="subscript"/>
        <sz val="11"/>
        <color theme="1"/>
        <rFont val="游ゴシック"/>
        <family val="3"/>
        <charset val="128"/>
        <scheme val="minor"/>
      </rPr>
      <t>k</t>
    </r>
    <r>
      <rPr>
        <sz val="11"/>
        <color theme="1"/>
        <rFont val="游ゴシック"/>
        <family val="2"/>
        <charset val="128"/>
        <scheme val="minor"/>
      </rPr>
      <t>)</t>
    </r>
    <rPh sb="4" eb="6">
      <t>サイアク</t>
    </rPh>
    <rPh sb="7" eb="9">
      <t>ゼッタイ</t>
    </rPh>
    <phoneticPr fontId="3"/>
  </si>
  <si>
    <r>
      <t>F</t>
    </r>
    <r>
      <rPr>
        <vertAlign val="subscript"/>
        <sz val="11"/>
        <color theme="1"/>
        <rFont val="游ゴシック"/>
        <family val="3"/>
        <charset val="128"/>
        <scheme val="minor"/>
      </rPr>
      <t>k</t>
    </r>
    <phoneticPr fontId="3"/>
  </si>
  <si>
    <t>95%信頼区間下限値</t>
    <rPh sb="3" eb="7">
      <t>シンライクカン</t>
    </rPh>
    <rPh sb="7" eb="10">
      <t>カゲンチ</t>
    </rPh>
    <phoneticPr fontId="3"/>
  </si>
  <si>
    <t>95%信頼区間上限値</t>
    <rPh sb="3" eb="7">
      <t>シンライクカン</t>
    </rPh>
    <rPh sb="7" eb="10">
      <t>ジョウゲンチ</t>
    </rPh>
    <phoneticPr fontId="3"/>
  </si>
  <si>
    <t>アウトカム</t>
    <phoneticPr fontId="3"/>
  </si>
  <si>
    <r>
      <t>Gradient (A)=w</t>
    </r>
    <r>
      <rPr>
        <vertAlign val="superscript"/>
        <sz val="11"/>
        <color theme="1"/>
        <rFont val="游ゴシック"/>
        <family val="3"/>
        <charset val="128"/>
        <scheme val="minor"/>
      </rPr>
      <t>s</t>
    </r>
    <r>
      <rPr>
        <vertAlign val="subscript"/>
        <sz val="11"/>
        <color theme="1"/>
        <rFont val="游ゴシック"/>
        <family val="3"/>
        <charset val="128"/>
        <scheme val="minor"/>
      </rPr>
      <t>k</t>
    </r>
    <r>
      <rPr>
        <sz val="11"/>
        <color theme="1"/>
        <rFont val="游ゴシック"/>
        <family val="2"/>
        <charset val="128"/>
        <scheme val="minor"/>
      </rPr>
      <t>*100/(B</t>
    </r>
    <r>
      <rPr>
        <vertAlign val="subscript"/>
        <sz val="11"/>
        <color theme="1"/>
        <rFont val="游ゴシック"/>
        <family val="3"/>
        <charset val="128"/>
        <scheme val="minor"/>
      </rPr>
      <t>k</t>
    </r>
    <r>
      <rPr>
        <sz val="11"/>
        <color theme="1"/>
        <rFont val="游ゴシック"/>
        <family val="2"/>
        <charset val="128"/>
        <scheme val="minor"/>
      </rPr>
      <t>-W</t>
    </r>
    <r>
      <rPr>
        <vertAlign val="subscript"/>
        <sz val="11"/>
        <color theme="1"/>
        <rFont val="游ゴシック"/>
        <family val="3"/>
        <charset val="128"/>
        <scheme val="minor"/>
      </rPr>
      <t>k</t>
    </r>
    <r>
      <rPr>
        <sz val="11"/>
        <color theme="1"/>
        <rFont val="游ゴシック"/>
        <family val="2"/>
        <charset val="128"/>
        <scheme val="minor"/>
      </rPr>
      <t>)</t>
    </r>
    <phoneticPr fontId="3"/>
  </si>
  <si>
    <t>アウトカムごとの効果推定値の分散、総バリュースコアの分散と標準誤差</t>
    <rPh sb="8" eb="13">
      <t>コウカスイテイチ</t>
    </rPh>
    <rPh sb="14" eb="16">
      <t>ブンサン</t>
    </rPh>
    <rPh sb="26" eb="28">
      <t>ブンサン</t>
    </rPh>
    <rPh sb="29" eb="33">
      <t>ヒョウジュンゴサ</t>
    </rPh>
    <phoneticPr fontId="3"/>
  </si>
  <si>
    <t>1ヶ月以降1年以内の再発無し</t>
    <rPh sb="2" eb="5">
      <t>ゲツイコウ</t>
    </rPh>
    <rPh sb="6" eb="7">
      <t>ネン</t>
    </rPh>
    <rPh sb="7" eb="9">
      <t>イナイ</t>
    </rPh>
    <rPh sb="10" eb="12">
      <t>サイハツ</t>
    </rPh>
    <rPh sb="12" eb="13">
      <t>ナシ</t>
    </rPh>
    <phoneticPr fontId="3"/>
  </si>
  <si>
    <t>益</t>
  </si>
  <si>
    <t>有益事象</t>
  </si>
  <si>
    <t>二値変数</t>
  </si>
  <si>
    <t>虫垂切除（1ヶ月以内）</t>
    <rPh sb="0" eb="4">
      <t>チュウスイセツジョ</t>
    </rPh>
    <rPh sb="7" eb="10">
      <t>ゲツイナイ</t>
    </rPh>
    <phoneticPr fontId="3"/>
  </si>
  <si>
    <t>害</t>
  </si>
  <si>
    <t>有害事象</t>
  </si>
  <si>
    <t>主要な合併症</t>
    <rPh sb="0" eb="2">
      <t>シュヨウ</t>
    </rPh>
    <rPh sb="3" eb="6">
      <t>ガッペイショウ</t>
    </rPh>
    <phoneticPr fontId="3"/>
  </si>
  <si>
    <t>その他の合併症</t>
    <rPh sb="2" eb="3">
      <t>ホカ</t>
    </rPh>
    <rPh sb="4" eb="7">
      <t>ガッペイショウ</t>
    </rPh>
    <phoneticPr fontId="3"/>
  </si>
  <si>
    <t>入院期間</t>
    <rPh sb="0" eb="4">
      <t>ニュウインキカン</t>
    </rPh>
    <phoneticPr fontId="3"/>
  </si>
  <si>
    <t>負担</t>
  </si>
  <si>
    <t>連続変数</t>
  </si>
  <si>
    <t>病休期間</t>
    <rPh sb="0" eb="4">
      <t>ビョウキュウキカン</t>
    </rPh>
    <phoneticPr fontId="3"/>
  </si>
  <si>
    <t>費用</t>
    <rPh sb="0" eb="2">
      <t>ヒヨウ</t>
    </rPh>
    <phoneticPr fontId="3"/>
  </si>
  <si>
    <t>費用</t>
  </si>
  <si>
    <t>総バリュースコアの分散</t>
    <rPh sb="9" eb="11">
      <t>ブンサン</t>
    </rPh>
    <phoneticPr fontId="3"/>
  </si>
  <si>
    <t>相関行列（相関係数）</t>
    <rPh sb="0" eb="4">
      <t>ソウカンギョウレツ</t>
    </rPh>
    <rPh sb="5" eb="9">
      <t>ソウカンケイスウ</t>
    </rPh>
    <phoneticPr fontId="3"/>
  </si>
  <si>
    <t>標準誤差</t>
    <rPh sb="0" eb="4">
      <t>ヒョウジュンゴサ</t>
    </rPh>
    <phoneticPr fontId="3"/>
  </si>
  <si>
    <t>総バリュースコア</t>
    <phoneticPr fontId="3"/>
  </si>
  <si>
    <t>正味の益＝</t>
    <rPh sb="0" eb="2">
      <t>ショウミ</t>
    </rPh>
    <rPh sb="3" eb="4">
      <t>エキ</t>
    </rPh>
    <phoneticPr fontId="3"/>
  </si>
  <si>
    <t>:アウトカム間の相関係数→分散共分散行列→総バリュースコアの信頼区間</t>
    <rPh sb="6" eb="7">
      <t>カン</t>
    </rPh>
    <rPh sb="8" eb="10">
      <t>ソウカン</t>
    </rPh>
    <rPh sb="10" eb="12">
      <t>ケイスウ</t>
    </rPh>
    <rPh sb="13" eb="15">
      <t>ブンサン</t>
    </rPh>
    <rPh sb="15" eb="18">
      <t>キョウブンサン</t>
    </rPh>
    <rPh sb="18" eb="20">
      <t>ギョウレツ</t>
    </rPh>
    <rPh sb="21" eb="22">
      <t>ソウ</t>
    </rPh>
    <rPh sb="30" eb="32">
      <t>シンライ</t>
    </rPh>
    <rPh sb="32" eb="34">
      <t>クカン</t>
    </rPh>
    <phoneticPr fontId="3"/>
  </si>
  <si>
    <t>Gail MH, Costantino JP, Bryant J, Croyle R, Freedman L, Helzlsouer K, Vogel V: Weighing the risks and benefits of tamoxifen treatment for preventing breast cancer. J Natl Cancer Inst 1999;91:1829-46. PMID: 10547390</t>
    <phoneticPr fontId="3"/>
  </si>
  <si>
    <t>Keeney R, Raiffa H: Decisions with multiple objectives: Preferences and Value Tradeoffs. 1993, Cambridge University Press.</t>
    <phoneticPr fontId="3"/>
  </si>
  <si>
    <t xml:space="preserve">Marsh K, Goetghebeur M, Thokala P: Multi-criteria decision analysis to support healthcare decisions. Springer, 2017. </t>
    <phoneticPr fontId="3"/>
  </si>
  <si>
    <t>Wen S, Zhang L, Yang B: Two approaches to incorporate clinical data uncertainty into multiple criteria decision analysis for benefit-risk assessment of medicinal products. Value Health 2014;17:619-28. PMID: 2512805</t>
    <phoneticPr fontId="3"/>
  </si>
  <si>
    <t>Alper BS, Oettgen P, Kunnamo I, Iorio A, Ansari MT, Murad MH, Meerpohl JJ, Qaseem A, Hultcrantz M, Schünemann HJ, Guyatt G, GRADE Working Group: Defining certainty of net benefit: a GRADE concept paper. BMJ Open 2019;9:e027445. doi: 10.1136/bmjopen-2018-027445 PMID: 31167868</t>
    <phoneticPr fontId="3"/>
  </si>
  <si>
    <t>Marsh K, IJzerman M, Thokala P, Baltussen R, Boysen M, Kaló Z, Lönngren T, Mussen F, Peacock S, Watkins J, Devlin N, ISPOR Task Force: Multiple Criteria Decision Analysis for Health Care Decision Making–Emerging Good Practices: Report 2 of the ISPOR MCDA Emerging Good Practices Task Force. Value Health 2016;19:125-37. PMID: 27021745</t>
    <phoneticPr fontId="3"/>
  </si>
  <si>
    <t>Rutten-van Mölken M, Leijten F, Hoedemakers M, Tsiachristas A, Verbeek N, Karimi M, Bal R, de Bont A, Islam K, Askildsen JE, Czypionka T, Kraus M, Huic M, Pitter JG, Vogt V, Stokes J, Baltaxe E; SELFIE consortium. Strengthening the evidence-base of integrated care for people with multi-morbidity in Europe using Multi-Criteria Decision Analysis (MCDA). BMC Health Serv Res. 2018 Jul 24;18(1):576. doi: 10.1186/s12913-018-3367-4. PMID: 30041653; PMCID: PMC6057041.</t>
    <phoneticPr fontId="3"/>
  </si>
  <si>
    <t>文献：</t>
    <rPh sb="0" eb="2">
      <t>ブンケン</t>
    </rPh>
    <phoneticPr fontId="3"/>
  </si>
  <si>
    <t>Wikipedia</t>
  </si>
  <si>
    <t>Variance</t>
    <phoneticPr fontId="3"/>
  </si>
  <si>
    <r>
      <t>•</t>
    </r>
    <r>
      <rPr>
        <u/>
        <sz val="11"/>
        <color theme="10"/>
        <rFont val="游ゴシック"/>
        <family val="3"/>
        <charset val="128"/>
        <scheme val="minor"/>
      </rPr>
      <t>https://en.wikipedia.org/wiki/Variance#Sum_of_correlated_variables</t>
    </r>
  </si>
  <si>
    <t>Skoetz N, et al: GRADE guidelines 27: how to calculate absolute effects for time-to-event outcomes in summary of findings tables and Evidence Profiles. J Clin Epidemiol 2020;118:124-131. doi: 10.1016/j.jclinepi.2019.10.015 PMID: 31711910</t>
    <phoneticPr fontId="3"/>
  </si>
  <si>
    <t>Guyatt GH, et al: GRADE guidelines: 13. Preparing summary of findings tables and evidence profiles-continuous outcomes. J Clin Epidemiol 2013;66:173-83. doi: 10.1016/j.jclinepi.2012.08.001 PMID: 23116689</t>
    <phoneticPr fontId="3"/>
  </si>
  <si>
    <t>Guyatt GH, et al: GRADE guidelines: 12. Preparing summary of findings tables-binary outcomes. J Clin Epidemiol 2013;66:158-72. doi: 10.1016/j.jclinepi.2012.01.012 PMID: 22609141</t>
    <phoneticPr fontId="3"/>
  </si>
  <si>
    <t>定量的益と害の分析法：</t>
    <rPh sb="0" eb="3">
      <t>テイリョウテキ</t>
    </rPh>
    <rPh sb="3" eb="4">
      <t>エキ</t>
    </rPh>
    <rPh sb="5" eb="6">
      <t>ガイ</t>
    </rPh>
    <rPh sb="7" eb="10">
      <t>ブンセキホウ</t>
    </rPh>
    <phoneticPr fontId="3"/>
  </si>
  <si>
    <t>相対効果指標から絶対効果の計算法：</t>
    <rPh sb="0" eb="2">
      <t>ソウタイ</t>
    </rPh>
    <rPh sb="2" eb="4">
      <t>コウカ</t>
    </rPh>
    <rPh sb="4" eb="6">
      <t>シヒョウ</t>
    </rPh>
    <rPh sb="8" eb="10">
      <t>ゼッタイ</t>
    </rPh>
    <rPh sb="10" eb="12">
      <t>コウカ</t>
    </rPh>
    <rPh sb="13" eb="15">
      <t>ケイサン</t>
    </rPh>
    <rPh sb="15" eb="16">
      <t>ホウ</t>
    </rPh>
    <phoneticPr fontId="3"/>
  </si>
  <si>
    <t>ペア比較に基づくリスク差Risk Difference (RD)からの正味の益の計算</t>
    <rPh sb="2" eb="4">
      <t>ヒカク</t>
    </rPh>
    <rPh sb="5" eb="6">
      <t>モト</t>
    </rPh>
    <rPh sb="11" eb="12">
      <t>サ</t>
    </rPh>
    <rPh sb="35" eb="37">
      <t>ショウミ</t>
    </rPh>
    <rPh sb="38" eb="39">
      <t>エキ</t>
    </rPh>
    <rPh sb="40" eb="42">
      <t>ケイサン</t>
    </rPh>
    <phoneticPr fontId="3"/>
  </si>
  <si>
    <t>Gail/NCIの方法に準ずる</t>
    <rPh sb="9" eb="11">
      <t>ホウホウ</t>
    </rPh>
    <rPh sb="12" eb="13">
      <t>ジュン</t>
    </rPh>
    <phoneticPr fontId="3"/>
  </si>
  <si>
    <t>:アウトカムの重要度を標準化</t>
    <rPh sb="11" eb="14">
      <t>ヒョウジュンカ</t>
    </rPh>
    <phoneticPr fontId="3"/>
  </si>
  <si>
    <t>分散共分散行列</t>
    <rPh sb="0" eb="2">
      <t>ブンサン</t>
    </rPh>
    <rPh sb="2" eb="7">
      <t>キョウブンサンギョウレツ</t>
    </rPh>
    <phoneticPr fontId="3"/>
  </si>
  <si>
    <r>
      <t>分散共分散行列×w</t>
    </r>
    <r>
      <rPr>
        <vertAlign val="superscript"/>
        <sz val="11"/>
        <color theme="1"/>
        <rFont val="游ゴシック"/>
        <family val="3"/>
        <charset val="128"/>
        <scheme val="minor"/>
      </rPr>
      <t>s</t>
    </r>
    <r>
      <rPr>
        <vertAlign val="subscript"/>
        <sz val="11"/>
        <color theme="1"/>
        <rFont val="游ゴシック"/>
        <family val="3"/>
        <charset val="128"/>
        <scheme val="minor"/>
      </rPr>
      <t>k</t>
    </r>
    <rPh sb="0" eb="7">
      <t>ブンサンキョウブンサンギョウレツ</t>
    </rPh>
    <phoneticPr fontId="3"/>
  </si>
  <si>
    <r>
      <t>Gradient (A) w</t>
    </r>
    <r>
      <rPr>
        <vertAlign val="superscript"/>
        <sz val="11"/>
        <color theme="1"/>
        <rFont val="游ゴシック"/>
        <family val="3"/>
        <charset val="128"/>
        <scheme val="minor"/>
      </rPr>
      <t>s</t>
    </r>
    <r>
      <rPr>
        <vertAlign val="subscript"/>
        <sz val="11"/>
        <color theme="1"/>
        <rFont val="游ゴシック"/>
        <family val="3"/>
        <charset val="128"/>
        <scheme val="minor"/>
      </rPr>
      <t>k</t>
    </r>
    <phoneticPr fontId="3"/>
  </si>
  <si>
    <t>脳卒中予防</t>
    <rPh sb="0" eb="3">
      <t>ノウソッチュウ</t>
    </rPh>
    <rPh sb="3" eb="5">
      <t>ヨボウ</t>
    </rPh>
    <phoneticPr fontId="3"/>
  </si>
  <si>
    <t>心不全予防</t>
    <rPh sb="0" eb="5">
      <t>シンフゼンヨボウ</t>
    </rPh>
    <phoneticPr fontId="3"/>
  </si>
  <si>
    <t>めまい</t>
    <phoneticPr fontId="3"/>
  </si>
  <si>
    <t>頻尿</t>
    <rPh sb="0" eb="2">
      <t>ヒンニョウ</t>
    </rPh>
    <phoneticPr fontId="3"/>
  </si>
  <si>
    <t>単位人数</t>
    <rPh sb="0" eb="4">
      <t>タンイニンズウ</t>
    </rPh>
    <phoneticPr fontId="3"/>
  </si>
  <si>
    <t>閾値</t>
    <rPh sb="0" eb="2">
      <t>イキチ</t>
    </rPh>
    <phoneticPr fontId="3"/>
  </si>
  <si>
    <t>P(正味の益&gt;閾値）</t>
    <rPh sb="2" eb="4">
      <t>ショウミ</t>
    </rPh>
    <rPh sb="5" eb="6">
      <t>エキ</t>
    </rPh>
    <rPh sb="7" eb="9">
      <t>イキチ</t>
    </rPh>
    <phoneticPr fontId="3"/>
  </si>
  <si>
    <t>正味の益</t>
    <rPh sb="0" eb="2">
      <t>ショウミ</t>
    </rPh>
    <rPh sb="3" eb="4">
      <t>エキ</t>
    </rPh>
    <phoneticPr fontId="3"/>
  </si>
  <si>
    <t>*相関係数と各変数のSDから共分散を計算。</t>
    <rPh sb="1" eb="3">
      <t>ソウカン</t>
    </rPh>
    <rPh sb="3" eb="5">
      <t>ケイスウ</t>
    </rPh>
    <rPh sb="6" eb="9">
      <t>カクヘンスウ</t>
    </rPh>
    <rPh sb="14" eb="17">
      <t>キョウブンサン</t>
    </rPh>
    <rPh sb="18" eb="20">
      <t>ケイサン</t>
    </rPh>
    <phoneticPr fontId="3"/>
  </si>
  <si>
    <t>正味の益/単位人数</t>
    <rPh sb="0" eb="2">
      <t>ショウミ</t>
    </rPh>
    <rPh sb="3" eb="4">
      <t>エキ</t>
    </rPh>
    <rPh sb="5" eb="7">
      <t>タンイ</t>
    </rPh>
    <rPh sb="7" eb="9">
      <t>ニンズウ</t>
    </rPh>
    <phoneticPr fontId="3"/>
  </si>
  <si>
    <t>*四捨五入</t>
    <rPh sb="1" eb="5">
      <t>シシャゴニュウ</t>
    </rPh>
    <phoneticPr fontId="3"/>
  </si>
  <si>
    <t>*</t>
    <phoneticPr fontId="3"/>
  </si>
  <si>
    <t>*</t>
    <phoneticPr fontId="3"/>
  </si>
  <si>
    <t>:アウトカムの重要度を最大値に対する比</t>
    <rPh sb="11" eb="14">
      <t>サイダイチ</t>
    </rPh>
    <rPh sb="15" eb="16">
      <t>タイ</t>
    </rPh>
    <rPh sb="18" eb="19">
      <t>ヒ</t>
    </rPh>
    <phoneticPr fontId="3"/>
  </si>
  <si>
    <t>Threshold</t>
    <phoneticPr fontId="3"/>
  </si>
  <si>
    <t>Indifferent upper range</t>
    <phoneticPr fontId="3"/>
  </si>
  <si>
    <t>Indifferent lower range</t>
    <phoneticPr fontId="3"/>
  </si>
  <si>
    <t>Estimate</t>
    <phoneticPr fontId="3"/>
  </si>
  <si>
    <t>Threshold analysis of outcome importance</t>
    <phoneticPr fontId="3"/>
  </si>
  <si>
    <t>Importance</t>
    <phoneticPr fontId="3"/>
  </si>
  <si>
    <t>Threshold analysis of effect estimate</t>
    <phoneticPr fontId="3"/>
  </si>
  <si>
    <r>
      <t>スコアS</t>
    </r>
    <r>
      <rPr>
        <vertAlign val="subscript"/>
        <sz val="11"/>
        <color theme="1"/>
        <rFont val="游ゴシック"/>
        <family val="3"/>
        <charset val="128"/>
        <scheme val="minor"/>
      </rPr>
      <t>ijk</t>
    </r>
    <r>
      <rPr>
        <sz val="11"/>
        <color theme="1"/>
        <rFont val="游ゴシック"/>
        <family val="2"/>
        <charset val="128"/>
        <scheme val="minor"/>
      </rPr>
      <t xml:space="preserve"> =s</t>
    </r>
    <r>
      <rPr>
        <vertAlign val="subscript"/>
        <sz val="11"/>
        <color theme="1"/>
        <rFont val="游ゴシック"/>
        <family val="3"/>
        <charset val="128"/>
        <scheme val="minor"/>
      </rPr>
      <t>ik</t>
    </r>
    <r>
      <rPr>
        <sz val="11"/>
        <color theme="1"/>
        <rFont val="游ゴシック"/>
        <family val="2"/>
        <charset val="128"/>
        <scheme val="minor"/>
      </rPr>
      <t>-s</t>
    </r>
    <r>
      <rPr>
        <vertAlign val="subscript"/>
        <sz val="11"/>
        <color theme="1"/>
        <rFont val="游ゴシック"/>
        <family val="3"/>
        <charset val="128"/>
        <scheme val="minor"/>
      </rPr>
      <t>jk</t>
    </r>
    <phoneticPr fontId="3"/>
  </si>
  <si>
    <t>min-width</t>
    <phoneticPr fontId="3"/>
  </si>
  <si>
    <t>max-width</t>
    <phoneticPr fontId="3"/>
  </si>
  <si>
    <t>転倒</t>
    <rPh sb="0" eb="2">
      <t>テントウ</t>
    </rPh>
    <phoneticPr fontId="3"/>
  </si>
  <si>
    <t>効果推定値</t>
    <rPh sb="0" eb="5">
      <t>コウカスイテイチ</t>
    </rPh>
    <phoneticPr fontId="3"/>
  </si>
  <si>
    <t>・グラフの表示項目の設定</t>
    <rPh sb="5" eb="7">
      <t>ヒョウジ</t>
    </rPh>
    <rPh sb="7" eb="9">
      <t>コウモク</t>
    </rPh>
    <rPh sb="10" eb="12">
      <t>セッテイ</t>
    </rPh>
    <phoneticPr fontId="3"/>
  </si>
  <si>
    <t>・その他のグラフの設定</t>
    <rPh sb="3" eb="4">
      <t>ホカ</t>
    </rPh>
    <rPh sb="9" eb="11">
      <t>セッテイ</t>
    </rPh>
    <phoneticPr fontId="3"/>
  </si>
  <si>
    <t>重みづけ効果推定値</t>
    <rPh sb="0" eb="1">
      <t>オモ</t>
    </rPh>
    <rPh sb="4" eb="9">
      <t>コウカスイテイチ</t>
    </rPh>
    <phoneticPr fontId="3"/>
  </si>
  <si>
    <t>信頼区間/2</t>
    <rPh sb="0" eb="4">
      <t>シンライクカン</t>
    </rPh>
    <phoneticPr fontId="3"/>
  </si>
  <si>
    <t>転倒</t>
    <rPh sb="0" eb="2">
      <t>テントウ</t>
    </rPh>
    <phoneticPr fontId="3"/>
  </si>
  <si>
    <t>アウトカム</t>
    <phoneticPr fontId="3"/>
  </si>
  <si>
    <r>
      <t>効果推定値RD</t>
    </r>
    <r>
      <rPr>
        <vertAlign val="subscript"/>
        <sz val="11"/>
        <color theme="1"/>
        <rFont val="游ゴシック"/>
        <family val="3"/>
        <charset val="128"/>
        <scheme val="minor"/>
      </rPr>
      <t>ijk</t>
    </r>
    <rPh sb="0" eb="5">
      <t>コウカスイテイチ</t>
    </rPh>
    <phoneticPr fontId="3"/>
  </si>
  <si>
    <t>正味の益の正負が反転しない効果推定値の範囲</t>
    <rPh sb="0" eb="2">
      <t>ショウミ</t>
    </rPh>
    <rPh sb="3" eb="4">
      <t>エキ</t>
    </rPh>
    <rPh sb="5" eb="7">
      <t>セイフ</t>
    </rPh>
    <rPh sb="8" eb="10">
      <t>ハンテン</t>
    </rPh>
    <rPh sb="13" eb="18">
      <t>コウカスイテイチ</t>
    </rPh>
    <rPh sb="19" eb="21">
      <t>ハンイ</t>
    </rPh>
    <phoneticPr fontId="3"/>
  </si>
  <si>
    <t>正味の益の正負が反転しないアウトカムの重要度の範囲</t>
    <rPh sb="0" eb="2">
      <t>ショウミ</t>
    </rPh>
    <rPh sb="3" eb="4">
      <t>エキ</t>
    </rPh>
    <rPh sb="5" eb="7">
      <t>セイフ</t>
    </rPh>
    <rPh sb="8" eb="10">
      <t>ハンテン</t>
    </rPh>
    <rPh sb="19" eb="22">
      <t>ジュウヨウド</t>
    </rPh>
    <rPh sb="23" eb="25">
      <t>ハンイ</t>
    </rPh>
    <phoneticPr fontId="3"/>
  </si>
  <si>
    <r>
      <t>対照群の平均値E</t>
    </r>
    <r>
      <rPr>
        <vertAlign val="subscript"/>
        <sz val="11"/>
        <color theme="1"/>
        <rFont val="游ゴシック"/>
        <family val="3"/>
        <charset val="128"/>
        <scheme val="minor"/>
      </rPr>
      <t>jk</t>
    </r>
    <rPh sb="0" eb="3">
      <t>タイショウグン</t>
    </rPh>
    <rPh sb="4" eb="7">
      <t>ヘイキンチ</t>
    </rPh>
    <phoneticPr fontId="3"/>
  </si>
  <si>
    <r>
      <t>介入群の平均値E</t>
    </r>
    <r>
      <rPr>
        <vertAlign val="subscript"/>
        <sz val="11"/>
        <color theme="1"/>
        <rFont val="游ゴシック"/>
        <family val="3"/>
        <charset val="128"/>
        <scheme val="minor"/>
      </rPr>
      <t>ik</t>
    </r>
    <rPh sb="0" eb="3">
      <t>カイニュウグン</t>
    </rPh>
    <rPh sb="4" eb="7">
      <t>ヘイキンチ</t>
    </rPh>
    <phoneticPr fontId="3"/>
  </si>
  <si>
    <t>閾値Th</t>
    <rPh sb="0" eb="2">
      <t>イキチ</t>
    </rPh>
    <phoneticPr fontId="3"/>
  </si>
  <si>
    <r>
      <t>対照群の標準偏差SD</t>
    </r>
    <r>
      <rPr>
        <vertAlign val="subscript"/>
        <sz val="11"/>
        <color theme="1"/>
        <rFont val="游ゴシック"/>
        <family val="3"/>
        <charset val="128"/>
        <scheme val="minor"/>
      </rPr>
      <t>jk</t>
    </r>
    <rPh sb="0" eb="4">
      <t>タイショ</t>
    </rPh>
    <rPh sb="4" eb="8">
      <t>ヒョウジュンヘンサ</t>
    </rPh>
    <phoneticPr fontId="3"/>
  </si>
  <si>
    <r>
      <t>介入群の標準偏差SD</t>
    </r>
    <r>
      <rPr>
        <vertAlign val="subscript"/>
        <sz val="11"/>
        <color theme="1"/>
        <rFont val="游ゴシック"/>
        <family val="3"/>
        <charset val="128"/>
        <scheme val="minor"/>
      </rPr>
      <t>ik</t>
    </r>
    <rPh sb="0" eb="2">
      <t>カイニュウ</t>
    </rPh>
    <rPh sb="2" eb="3">
      <t>グン</t>
    </rPh>
    <rPh sb="4" eb="8">
      <t>ヒョウジュンヘンサ</t>
    </rPh>
    <phoneticPr fontId="3"/>
  </si>
  <si>
    <r>
      <t>対照群の絶対リスクs</t>
    </r>
    <r>
      <rPr>
        <vertAlign val="subscript"/>
        <sz val="11"/>
        <color theme="1"/>
        <rFont val="游ゴシック"/>
        <family val="3"/>
        <charset val="128"/>
        <scheme val="minor"/>
      </rPr>
      <t>jk</t>
    </r>
    <rPh sb="0" eb="3">
      <t>タイショウグン</t>
    </rPh>
    <rPh sb="4" eb="6">
      <t>ゼッタイ</t>
    </rPh>
    <phoneticPr fontId="3"/>
  </si>
  <si>
    <r>
      <t>介入群の絶対リスクs</t>
    </r>
    <r>
      <rPr>
        <vertAlign val="subscript"/>
        <sz val="11"/>
        <color theme="1"/>
        <rFont val="游ゴシック"/>
        <family val="3"/>
        <charset val="128"/>
        <scheme val="minor"/>
      </rPr>
      <t>ik</t>
    </r>
    <rPh sb="0" eb="3">
      <t>カイニュウグン</t>
    </rPh>
    <rPh sb="4" eb="6">
      <t>ゼッタイ</t>
    </rPh>
    <phoneticPr fontId="3"/>
  </si>
  <si>
    <t>X-axis</t>
    <phoneticPr fontId="3"/>
  </si>
  <si>
    <t>Control</t>
    <phoneticPr fontId="3"/>
  </si>
  <si>
    <t>Intervention</t>
    <phoneticPr fontId="3"/>
  </si>
  <si>
    <t>平均値差（介入－対照）</t>
    <rPh sb="0" eb="3">
      <t>ヘイキンチ</t>
    </rPh>
    <rPh sb="3" eb="4">
      <t>サ</t>
    </rPh>
    <rPh sb="5" eb="7">
      <t>カイニュウ</t>
    </rPh>
    <rPh sb="8" eb="10">
      <t>タイショウ</t>
    </rPh>
    <phoneticPr fontId="3"/>
  </si>
  <si>
    <t>95%CI上限値</t>
    <rPh sb="5" eb="8">
      <t>ジョウゲンチ</t>
    </rPh>
    <phoneticPr fontId="3"/>
  </si>
  <si>
    <t>95%CI下限値</t>
    <rPh sb="5" eb="8">
      <t>カゲンチ</t>
    </rPh>
    <phoneticPr fontId="3"/>
  </si>
  <si>
    <t>グラフ用演算データ：</t>
    <rPh sb="3" eb="4">
      <t>ヨウ</t>
    </rPh>
    <rPh sb="4" eb="6">
      <t>エンザン</t>
    </rPh>
    <phoneticPr fontId="3"/>
  </si>
  <si>
    <t>介入群の絶対リスク</t>
    <rPh sb="0" eb="2">
      <t>カイニュウ</t>
    </rPh>
    <rPh sb="2" eb="3">
      <t>グン</t>
    </rPh>
    <rPh sb="4" eb="6">
      <t>ゼッタイ</t>
    </rPh>
    <phoneticPr fontId="3"/>
  </si>
  <si>
    <t>リスク差</t>
    <rPh sb="3" eb="4">
      <t>サ</t>
    </rPh>
    <phoneticPr fontId="3"/>
  </si>
  <si>
    <t>対照群の絶対リスク</t>
    <rPh sb="0" eb="3">
      <t>タイショウグン</t>
    </rPh>
    <rPh sb="4" eb="6">
      <t>ゼッタイ</t>
    </rPh>
    <phoneticPr fontId="3"/>
  </si>
  <si>
    <t>95% CI下限値</t>
    <rPh sb="6" eb="9">
      <t>カゲンチ</t>
    </rPh>
    <phoneticPr fontId="3"/>
  </si>
  <si>
    <t>95%CI上限値</t>
    <rPh sb="5" eb="8">
      <t>ジョウゲンチ</t>
    </rPh>
    <phoneticPr fontId="3"/>
  </si>
  <si>
    <t>＊SMDから元の測定尺度にバックコンバートする際は、元の値の</t>
    <rPh sb="6" eb="7">
      <t>モト</t>
    </rPh>
    <rPh sb="8" eb="10">
      <t>ソクテイ</t>
    </rPh>
    <rPh sb="10" eb="12">
      <t>シャクド</t>
    </rPh>
    <rPh sb="23" eb="24">
      <t>サイ</t>
    </rPh>
    <rPh sb="26" eb="27">
      <t>モト</t>
    </rPh>
    <rPh sb="28" eb="29">
      <t>アタイ</t>
    </rPh>
    <phoneticPr fontId="3"/>
  </si>
  <si>
    <t>参照した研究の標準偏差の中央値を用いる。SMDの値、信頼限界の値に</t>
    <rPh sb="0" eb="2">
      <t>サンショウ</t>
    </rPh>
    <rPh sb="4" eb="6">
      <t>ケンキュウ</t>
    </rPh>
    <rPh sb="7" eb="9">
      <t>ヒョウジュン</t>
    </rPh>
    <rPh sb="9" eb="11">
      <t>ヘンサ</t>
    </rPh>
    <rPh sb="12" eb="14">
      <t>チュウオウ</t>
    </rPh>
    <rPh sb="14" eb="15">
      <t>チ</t>
    </rPh>
    <rPh sb="16" eb="17">
      <t>モチ</t>
    </rPh>
    <rPh sb="24" eb="25">
      <t>アタイ</t>
    </rPh>
    <rPh sb="26" eb="28">
      <t>シンライ</t>
    </rPh>
    <rPh sb="28" eb="30">
      <t>ゲンカイ</t>
    </rPh>
    <rPh sb="31" eb="32">
      <t>アタイ</t>
    </rPh>
    <phoneticPr fontId="3"/>
  </si>
  <si>
    <t>その値を係数として掛け算し、平均値差として用いる。</t>
    <rPh sb="2" eb="3">
      <t>アタイ</t>
    </rPh>
    <rPh sb="4" eb="6">
      <t>ケイスウ</t>
    </rPh>
    <rPh sb="9" eb="10">
      <t>カ</t>
    </rPh>
    <rPh sb="11" eb="12">
      <t>ザン</t>
    </rPh>
    <rPh sb="14" eb="17">
      <t>ヘイキンチ</t>
    </rPh>
    <rPh sb="17" eb="18">
      <t>サ</t>
    </rPh>
    <rPh sb="21" eb="22">
      <t>モチ</t>
    </rPh>
    <phoneticPr fontId="3"/>
  </si>
  <si>
    <t>1000人あたり頻度人数：Pictogramツールに適合</t>
    <rPh sb="4" eb="5">
      <t>ニン</t>
    </rPh>
    <rPh sb="8" eb="12">
      <t>ヒンドニンズウ</t>
    </rPh>
    <rPh sb="26" eb="28">
      <t>テキゴウ</t>
    </rPh>
    <phoneticPr fontId="3"/>
  </si>
  <si>
    <t>Net benefit/harm</t>
    <phoneticPr fontId="3"/>
  </si>
  <si>
    <t>バリュースコア</t>
    <phoneticPr fontId="3"/>
  </si>
  <si>
    <t>Net benefit or Net harm</t>
    <phoneticPr fontId="3"/>
  </si>
  <si>
    <t>重要度</t>
    <rPh sb="0" eb="3">
      <t>ジュウヨウド</t>
    </rPh>
    <phoneticPr fontId="3"/>
  </si>
  <si>
    <t>多変量正規分布</t>
    <rPh sb="0" eb="7">
      <t>タヘンリョウセイキブンプ</t>
    </rPh>
    <phoneticPr fontId="3"/>
  </si>
  <si>
    <t>それぞれが正規分布に従う変量の係数を乗じた総和の分散は分散共分散行列と係数から計算できる。</t>
    <rPh sb="5" eb="9">
      <t>セイキブンプ</t>
    </rPh>
    <rPh sb="10" eb="11">
      <t>シタガ</t>
    </rPh>
    <rPh sb="12" eb="14">
      <t>ヘンリョウ</t>
    </rPh>
    <rPh sb="15" eb="17">
      <t>ケイスウ</t>
    </rPh>
    <rPh sb="18" eb="19">
      <t>ジョウ</t>
    </rPh>
    <rPh sb="21" eb="23">
      <t>ソウワ</t>
    </rPh>
    <rPh sb="24" eb="26">
      <t>ブンサン</t>
    </rPh>
    <rPh sb="27" eb="29">
      <t>ブンサン</t>
    </rPh>
    <rPh sb="29" eb="32">
      <t>キョウブンサン</t>
    </rPh>
    <rPh sb="32" eb="34">
      <t>ギョウレツ</t>
    </rPh>
    <rPh sb="35" eb="37">
      <t>ケイスウ</t>
    </rPh>
    <rPh sb="39" eb="41">
      <t>ケイサン</t>
    </rPh>
    <phoneticPr fontId="3"/>
  </si>
  <si>
    <t>分散、共分散、相関係数については、統計学の一般的方法に準じている。係数が掛け算された正規分布に従う確率変数の総計の分散の計算も一般的な手法に準じている。</t>
    <rPh sb="0" eb="2">
      <t>ブンサン</t>
    </rPh>
    <rPh sb="3" eb="6">
      <t>キョウブンサン</t>
    </rPh>
    <rPh sb="7" eb="11">
      <t>ソウカンケイスウ</t>
    </rPh>
    <rPh sb="17" eb="20">
      <t>トウケイガク</t>
    </rPh>
    <rPh sb="21" eb="24">
      <t>イッパンテキ</t>
    </rPh>
    <rPh sb="24" eb="26">
      <t>ホウホウ</t>
    </rPh>
    <rPh sb="27" eb="28">
      <t>ジュン</t>
    </rPh>
    <rPh sb="33" eb="35">
      <t>ケイスウ</t>
    </rPh>
    <rPh sb="36" eb="37">
      <t>カ</t>
    </rPh>
    <rPh sb="38" eb="39">
      <t>ザン</t>
    </rPh>
    <rPh sb="42" eb="46">
      <t>セイキブンプ</t>
    </rPh>
    <rPh sb="47" eb="48">
      <t>シタガ</t>
    </rPh>
    <rPh sb="49" eb="53">
      <t>カクリツヘンスウ</t>
    </rPh>
    <rPh sb="54" eb="56">
      <t>ソウケイ</t>
    </rPh>
    <rPh sb="57" eb="59">
      <t>ブンサン</t>
    </rPh>
    <rPh sb="60" eb="62">
      <t>ケイサン</t>
    </rPh>
    <rPh sb="63" eb="66">
      <t>イッパンテキ</t>
    </rPh>
    <rPh sb="67" eb="69">
      <t>シュホウ</t>
    </rPh>
    <rPh sb="70" eb="71">
      <t>ジュン</t>
    </rPh>
    <phoneticPr fontId="3"/>
  </si>
  <si>
    <r>
      <t>アウトカムの相対的重要度w</t>
    </r>
    <r>
      <rPr>
        <vertAlign val="subscript"/>
        <sz val="11"/>
        <color theme="1"/>
        <rFont val="游ゴシック"/>
        <family val="3"/>
        <charset val="128"/>
        <scheme val="minor"/>
      </rPr>
      <t>k</t>
    </r>
    <rPh sb="6" eb="9">
      <t>ソウタイテキ</t>
    </rPh>
    <phoneticPr fontId="3"/>
  </si>
  <si>
    <r>
      <t>標準化した重要度w</t>
    </r>
    <r>
      <rPr>
        <vertAlign val="subscript"/>
        <sz val="11"/>
        <color theme="1"/>
        <rFont val="游ゴシック"/>
        <family val="3"/>
        <charset val="128"/>
        <scheme val="minor"/>
      </rPr>
      <t>sk</t>
    </r>
    <rPh sb="0" eb="3">
      <t>ヒョウジュンカ</t>
    </rPh>
    <phoneticPr fontId="3"/>
  </si>
  <si>
    <r>
      <t>RD</t>
    </r>
    <r>
      <rPr>
        <vertAlign val="superscript"/>
        <sz val="11"/>
        <color theme="1"/>
        <rFont val="游ゴシック"/>
        <family val="3"/>
        <charset val="128"/>
        <scheme val="minor"/>
      </rPr>
      <t>ij</t>
    </r>
    <r>
      <rPr>
        <vertAlign val="subscript"/>
        <sz val="11"/>
        <color theme="1"/>
        <rFont val="游ゴシック"/>
        <family val="3"/>
        <charset val="128"/>
        <scheme val="minor"/>
      </rPr>
      <t>k</t>
    </r>
    <r>
      <rPr>
        <sz val="11"/>
        <color theme="1"/>
        <rFont val="游ゴシック"/>
        <family val="2"/>
        <charset val="128"/>
        <scheme val="minor"/>
      </rPr>
      <t>またはMD</t>
    </r>
    <r>
      <rPr>
        <vertAlign val="superscript"/>
        <sz val="11"/>
        <color theme="1"/>
        <rFont val="游ゴシック"/>
        <family val="3"/>
        <charset val="128"/>
        <scheme val="minor"/>
      </rPr>
      <t>ij</t>
    </r>
    <r>
      <rPr>
        <vertAlign val="subscript"/>
        <sz val="11"/>
        <color theme="1"/>
        <rFont val="游ゴシック"/>
        <family val="3"/>
        <charset val="128"/>
        <scheme val="minor"/>
      </rPr>
      <t>k</t>
    </r>
    <r>
      <rPr>
        <sz val="11"/>
        <color theme="1"/>
        <rFont val="游ゴシック"/>
        <family val="2"/>
        <charset val="128"/>
        <scheme val="minor"/>
      </rPr>
      <t xml:space="preserve"> 介入群の絶対リスク-対照群の絶対リスク=E</t>
    </r>
    <r>
      <rPr>
        <vertAlign val="superscript"/>
        <sz val="11"/>
        <color theme="1"/>
        <rFont val="游ゴシック"/>
        <family val="3"/>
        <charset val="128"/>
        <scheme val="minor"/>
      </rPr>
      <t>ij</t>
    </r>
    <r>
      <rPr>
        <vertAlign val="subscript"/>
        <sz val="11"/>
        <color theme="1"/>
        <rFont val="游ゴシック"/>
        <family val="3"/>
        <charset val="128"/>
        <scheme val="minor"/>
      </rPr>
      <t>k</t>
    </r>
    <rPh sb="14" eb="16">
      <t>カイニュウ</t>
    </rPh>
    <rPh sb="16" eb="17">
      <t>グン</t>
    </rPh>
    <rPh sb="18" eb="20">
      <t>ゼッタイ</t>
    </rPh>
    <rPh sb="24" eb="26">
      <t>タイショウ</t>
    </rPh>
    <rPh sb="26" eb="27">
      <t>グン</t>
    </rPh>
    <rPh sb="28" eb="30">
      <t>ゼッタイ</t>
    </rPh>
    <phoneticPr fontId="3"/>
  </si>
  <si>
    <r>
      <t>RD</t>
    </r>
    <r>
      <rPr>
        <vertAlign val="subscript"/>
        <sz val="11"/>
        <color theme="1"/>
        <rFont val="游ゴシック"/>
        <family val="3"/>
        <charset val="128"/>
        <scheme val="minor"/>
      </rPr>
      <t>ijk</t>
    </r>
    <r>
      <rPr>
        <sz val="11"/>
        <color theme="1"/>
        <rFont val="游ゴシック"/>
        <family val="2"/>
        <charset val="128"/>
        <scheme val="minor"/>
      </rPr>
      <t>に対する効果スコアS</t>
    </r>
    <r>
      <rPr>
        <vertAlign val="superscript"/>
        <sz val="11"/>
        <color theme="1"/>
        <rFont val="游ゴシック"/>
        <family val="3"/>
        <charset val="128"/>
        <scheme val="minor"/>
      </rPr>
      <t>ij</t>
    </r>
    <r>
      <rPr>
        <vertAlign val="subscript"/>
        <sz val="11"/>
        <color theme="1"/>
        <rFont val="游ゴシック"/>
        <family val="3"/>
        <charset val="128"/>
        <scheme val="minor"/>
      </rPr>
      <t>k</t>
    </r>
    <rPh sb="6" eb="7">
      <t>タイ</t>
    </rPh>
    <rPh sb="9" eb="11">
      <t>コウカ</t>
    </rPh>
    <phoneticPr fontId="3"/>
  </si>
  <si>
    <r>
      <t>バリュースコア
S</t>
    </r>
    <r>
      <rPr>
        <vertAlign val="superscript"/>
        <sz val="11"/>
        <color theme="1"/>
        <rFont val="游ゴシック"/>
        <family val="3"/>
        <charset val="128"/>
        <scheme val="minor"/>
      </rPr>
      <t>ij</t>
    </r>
    <r>
      <rPr>
        <vertAlign val="subscript"/>
        <sz val="11"/>
        <color theme="1"/>
        <rFont val="游ゴシック"/>
        <family val="3"/>
        <charset val="128"/>
        <scheme val="minor"/>
      </rPr>
      <t>k</t>
    </r>
    <r>
      <rPr>
        <sz val="11"/>
        <color theme="1"/>
        <rFont val="游ゴシック"/>
        <family val="2"/>
        <charset val="128"/>
        <scheme val="minor"/>
      </rPr>
      <t>*w</t>
    </r>
    <r>
      <rPr>
        <vertAlign val="superscript"/>
        <sz val="11"/>
        <color theme="1"/>
        <rFont val="游ゴシック"/>
        <family val="3"/>
        <charset val="128"/>
        <scheme val="minor"/>
      </rPr>
      <t>s</t>
    </r>
    <r>
      <rPr>
        <vertAlign val="subscript"/>
        <sz val="11"/>
        <color theme="1"/>
        <rFont val="游ゴシック"/>
        <family val="3"/>
        <charset val="128"/>
        <scheme val="minor"/>
      </rPr>
      <t>k</t>
    </r>
    <phoneticPr fontId="3"/>
  </si>
  <si>
    <r>
      <t>E</t>
    </r>
    <r>
      <rPr>
        <vertAlign val="superscript"/>
        <sz val="11"/>
        <color theme="1"/>
        <rFont val="游ゴシック"/>
        <family val="3"/>
        <charset val="128"/>
        <scheme val="minor"/>
      </rPr>
      <t>ij</t>
    </r>
    <r>
      <rPr>
        <vertAlign val="subscript"/>
        <sz val="11"/>
        <color theme="1"/>
        <rFont val="游ゴシック"/>
        <family val="3"/>
        <charset val="128"/>
        <scheme val="minor"/>
      </rPr>
      <t>k</t>
    </r>
    <r>
      <rPr>
        <sz val="11"/>
        <color theme="1"/>
        <rFont val="游ゴシック"/>
        <family val="2"/>
        <charset val="128"/>
        <scheme val="minor"/>
      </rPr>
      <t>: 介入群の絶対リスク-対照群の絶対リスク</t>
    </r>
    <rPh sb="6" eb="8">
      <t>カイニュウ</t>
    </rPh>
    <rPh sb="8" eb="9">
      <t>グン</t>
    </rPh>
    <rPh sb="10" eb="12">
      <t>ゼッタイ</t>
    </rPh>
    <rPh sb="16" eb="18">
      <t>タイショウ</t>
    </rPh>
    <rPh sb="18" eb="19">
      <t>グン</t>
    </rPh>
    <rPh sb="20" eb="22">
      <t>ゼッタイ</t>
    </rPh>
    <phoneticPr fontId="3"/>
  </si>
  <si>
    <r>
      <t>効果推定値E</t>
    </r>
    <r>
      <rPr>
        <vertAlign val="superscript"/>
        <sz val="11"/>
        <color theme="1"/>
        <rFont val="游ゴシック"/>
        <family val="3"/>
        <charset val="128"/>
        <scheme val="minor"/>
      </rPr>
      <t>ij</t>
    </r>
    <r>
      <rPr>
        <vertAlign val="subscript"/>
        <sz val="11"/>
        <color theme="1"/>
        <rFont val="游ゴシック"/>
        <family val="3"/>
        <charset val="128"/>
        <scheme val="minor"/>
      </rPr>
      <t>k</t>
    </r>
    <r>
      <rPr>
        <sz val="11"/>
        <color theme="1"/>
        <rFont val="游ゴシック"/>
        <family val="2"/>
        <charset val="128"/>
        <scheme val="minor"/>
      </rPr>
      <t>*F</t>
    </r>
    <r>
      <rPr>
        <vertAlign val="subscript"/>
        <sz val="11"/>
        <color theme="1"/>
        <rFont val="游ゴシック"/>
        <family val="3"/>
        <charset val="128"/>
        <scheme val="minor"/>
      </rPr>
      <t>k</t>
    </r>
    <rPh sb="0" eb="5">
      <t>コウカスイテイチ</t>
    </rPh>
    <phoneticPr fontId="3"/>
  </si>
  <si>
    <r>
      <t>F</t>
    </r>
    <r>
      <rPr>
        <vertAlign val="subscript"/>
        <sz val="11"/>
        <color theme="1"/>
        <rFont val="游ゴシック"/>
        <family val="3"/>
        <charset val="128"/>
        <scheme val="minor"/>
      </rPr>
      <t>k</t>
    </r>
    <r>
      <rPr>
        <sz val="11"/>
        <color theme="1"/>
        <rFont val="游ゴシック"/>
        <family val="2"/>
        <charset val="128"/>
        <scheme val="minor"/>
      </rPr>
      <t>＊E</t>
    </r>
    <r>
      <rPr>
        <vertAlign val="subscript"/>
        <sz val="11"/>
        <color theme="1"/>
        <rFont val="游ゴシック"/>
        <family val="3"/>
        <charset val="128"/>
        <scheme val="minor"/>
      </rPr>
      <t>ijk</t>
    </r>
    <r>
      <rPr>
        <sz val="11"/>
        <color theme="1"/>
        <rFont val="游ゴシック"/>
        <family val="2"/>
        <charset val="128"/>
        <scheme val="minor"/>
      </rPr>
      <t>*w</t>
    </r>
    <r>
      <rPr>
        <vertAlign val="superscript"/>
        <sz val="11"/>
        <color theme="1"/>
        <rFont val="游ゴシック"/>
        <family val="3"/>
        <charset val="128"/>
        <scheme val="minor"/>
      </rPr>
      <t>s</t>
    </r>
    <r>
      <rPr>
        <vertAlign val="subscript"/>
        <sz val="11"/>
        <color theme="1"/>
        <rFont val="游ゴシック"/>
        <family val="3"/>
        <charset val="128"/>
        <scheme val="minor"/>
      </rPr>
      <t>k</t>
    </r>
    <phoneticPr fontId="3"/>
  </si>
  <si>
    <r>
      <t>最重要との比 重要度w</t>
    </r>
    <r>
      <rPr>
        <vertAlign val="superscript"/>
        <sz val="11"/>
        <color theme="1"/>
        <rFont val="游ゴシック"/>
        <family val="3"/>
        <charset val="128"/>
        <scheme val="minor"/>
      </rPr>
      <t>r</t>
    </r>
    <r>
      <rPr>
        <vertAlign val="subscript"/>
        <sz val="11"/>
        <color theme="1"/>
        <rFont val="游ゴシック"/>
        <family val="3"/>
        <charset val="128"/>
        <scheme val="minor"/>
      </rPr>
      <t>k</t>
    </r>
    <rPh sb="0" eb="3">
      <t>サイジュウヨウ</t>
    </rPh>
    <rPh sb="5" eb="6">
      <t>ヒ</t>
    </rPh>
    <phoneticPr fontId="3"/>
  </si>
  <si>
    <r>
      <t>標準化した重要度w</t>
    </r>
    <r>
      <rPr>
        <vertAlign val="superscript"/>
        <sz val="11"/>
        <color theme="1"/>
        <rFont val="游ゴシック"/>
        <family val="3"/>
        <charset val="128"/>
        <scheme val="minor"/>
      </rPr>
      <t>s</t>
    </r>
    <r>
      <rPr>
        <vertAlign val="subscript"/>
        <sz val="11"/>
        <color theme="1"/>
        <rFont val="游ゴシック"/>
        <family val="3"/>
        <charset val="128"/>
        <scheme val="minor"/>
      </rPr>
      <t>k</t>
    </r>
    <rPh sb="0" eb="3">
      <t>ヒョウジュンカ</t>
    </rPh>
    <phoneticPr fontId="3"/>
  </si>
  <si>
    <t>Lower limit of unreversal range</t>
    <phoneticPr fontId="3"/>
  </si>
  <si>
    <t>Upper limit of unreversal range</t>
    <phoneticPr fontId="3"/>
  </si>
  <si>
    <r>
      <t>F</t>
    </r>
    <r>
      <rPr>
        <vertAlign val="subscript"/>
        <sz val="11"/>
        <color theme="1"/>
        <rFont val="游ゴシック"/>
        <family val="3"/>
        <charset val="128"/>
        <scheme val="minor"/>
      </rPr>
      <t>k</t>
    </r>
    <r>
      <rPr>
        <sz val="11"/>
        <color theme="1"/>
        <rFont val="游ゴシック"/>
        <family val="2"/>
        <charset val="128"/>
        <scheme val="minor"/>
      </rPr>
      <t>＊E</t>
    </r>
    <r>
      <rPr>
        <vertAlign val="superscript"/>
        <sz val="11"/>
        <color theme="1"/>
        <rFont val="游ゴシック"/>
        <family val="3"/>
        <charset val="128"/>
        <scheme val="minor"/>
      </rPr>
      <t>ij</t>
    </r>
    <r>
      <rPr>
        <vertAlign val="subscript"/>
        <sz val="11"/>
        <color theme="1"/>
        <rFont val="游ゴシック"/>
        <family val="3"/>
        <charset val="128"/>
        <scheme val="minor"/>
      </rPr>
      <t>k</t>
    </r>
    <r>
      <rPr>
        <sz val="11"/>
        <color theme="1"/>
        <rFont val="游ゴシック"/>
        <family val="2"/>
        <charset val="128"/>
        <scheme val="minor"/>
      </rPr>
      <t>*w</t>
    </r>
    <r>
      <rPr>
        <vertAlign val="superscript"/>
        <sz val="11"/>
        <color theme="1"/>
        <rFont val="游ゴシック"/>
        <family val="3"/>
        <charset val="128"/>
        <scheme val="minor"/>
      </rPr>
      <t>r</t>
    </r>
    <r>
      <rPr>
        <vertAlign val="subscript"/>
        <sz val="11"/>
        <color theme="1"/>
        <rFont val="游ゴシック"/>
        <family val="3"/>
        <charset val="128"/>
        <scheme val="minor"/>
      </rPr>
      <t>k</t>
    </r>
    <phoneticPr fontId="3"/>
  </si>
  <si>
    <t>Wen S, Zhang L, Yang B: Two approaches to incorporate clinical data uncertainty into multiple criteria decision analysis for benefit-risk assessment of medicinal products. Value Health 2014;17:619-28. doi: 10.1016/j.jval.2014.04.008 PMID: 25128056</t>
    <phoneticPr fontId="3"/>
  </si>
  <si>
    <t>PubMed</t>
    <phoneticPr fontId="3"/>
  </si>
  <si>
    <t>Certainty of net benefit or harm</t>
    <phoneticPr fontId="3"/>
  </si>
  <si>
    <t>For judgement of certainty of net benefit or harm</t>
    <phoneticPr fontId="3"/>
  </si>
  <si>
    <t>For graph</t>
    <phoneticPr fontId="3"/>
  </si>
  <si>
    <t>アウトカムの重要度で未調整 効果推定値</t>
    <rPh sb="6" eb="9">
      <t>ジュウヨウド</t>
    </rPh>
    <rPh sb="10" eb="13">
      <t>ミチョウセイ</t>
    </rPh>
    <rPh sb="14" eb="19">
      <t>コウカスイテイチ</t>
    </rPh>
    <phoneticPr fontId="3"/>
  </si>
  <si>
    <t>アウトカムの重要度で調整後 効果推定値</t>
    <rPh sb="6" eb="9">
      <t>ジュウヨウド</t>
    </rPh>
    <rPh sb="10" eb="13">
      <t>チョウセイゴ</t>
    </rPh>
    <rPh sb="14" eb="19">
      <t>コウカスイテイチ</t>
    </rPh>
    <phoneticPr fontId="3"/>
  </si>
  <si>
    <t>アウトカムの重要度で未調整 効果推定値</t>
    <rPh sb="6" eb="9">
      <t>ジュウヨウド</t>
    </rPh>
    <rPh sb="10" eb="13">
      <t>ミチョウセイ</t>
    </rPh>
    <rPh sb="14" eb="19">
      <t>コウカスイテイチ</t>
    </rPh>
    <phoneticPr fontId="3"/>
  </si>
  <si>
    <t>アウトカムごとのバリュースコアと正味の益（総バリュースコア）</t>
    <rPh sb="16" eb="18">
      <t>ショウミ</t>
    </rPh>
    <rPh sb="19" eb="20">
      <t>エキ</t>
    </rPh>
    <rPh sb="21" eb="22">
      <t>ソウ</t>
    </rPh>
    <phoneticPr fontId="3"/>
  </si>
  <si>
    <t>アウトカムの重要度で未調整 効果推定値</t>
    <rPh sb="6" eb="9">
      <t>ジュウヨウド</t>
    </rPh>
    <rPh sb="10" eb="13">
      <t>ミチョウセイ</t>
    </rPh>
    <rPh sb="14" eb="19">
      <t>コウカスイテイチ</t>
    </rPh>
    <phoneticPr fontId="3"/>
  </si>
  <si>
    <t>*連続変数アウトカムは二値変数に変換した値を入力。</t>
    <rPh sb="1" eb="3">
      <t>レンゾク</t>
    </rPh>
    <rPh sb="3" eb="5">
      <t>ヘンスウ</t>
    </rPh>
    <rPh sb="11" eb="13">
      <t>ニチ</t>
    </rPh>
    <rPh sb="13" eb="15">
      <t>ヘンスウ</t>
    </rPh>
    <rPh sb="16" eb="18">
      <t>ヘンカン</t>
    </rPh>
    <rPh sb="20" eb="21">
      <t>アタイ</t>
    </rPh>
    <rPh sb="22" eb="24">
      <t>ニュウリョク</t>
    </rPh>
    <phoneticPr fontId="3"/>
  </si>
  <si>
    <t>*</t>
    <phoneticPr fontId="3"/>
  </si>
  <si>
    <t>*四捨五入</t>
    <phoneticPr fontId="3"/>
  </si>
  <si>
    <t>*-100～100で、正は介入が優位、負は対照が優位。</t>
    <rPh sb="11" eb="12">
      <t>セイ</t>
    </rPh>
    <rPh sb="13" eb="15">
      <t>カイニュウ</t>
    </rPh>
    <rPh sb="16" eb="18">
      <t>ユウイ</t>
    </rPh>
    <rPh sb="19" eb="20">
      <t>フ</t>
    </rPh>
    <rPh sb="21" eb="23">
      <t>タイショウ</t>
    </rPh>
    <rPh sb="24" eb="26">
      <t>ユウイ</t>
    </rPh>
    <phoneticPr fontId="3"/>
  </si>
  <si>
    <t>連続変数アウトカムを二値変数に変換するためのツール</t>
    <rPh sb="0" eb="2">
      <t>レンゾク</t>
    </rPh>
    <rPh sb="2" eb="4">
      <t>ヘンスウ</t>
    </rPh>
    <rPh sb="10" eb="12">
      <t>ニチ</t>
    </rPh>
    <rPh sb="12" eb="14">
      <t>ヘンスウ</t>
    </rPh>
    <rPh sb="15" eb="17">
      <t>ヘンカン</t>
    </rPh>
    <phoneticPr fontId="3"/>
  </si>
  <si>
    <t>データ入力について</t>
    <rPh sb="3" eb="5">
      <t>ニュウリョク</t>
    </rPh>
    <phoneticPr fontId="3"/>
  </si>
  <si>
    <t>連続変数アウトカムを二値変数に変換する方法：</t>
    <rPh sb="0" eb="2">
      <t>レンゾク</t>
    </rPh>
    <rPh sb="2" eb="4">
      <t>ヘンスウ</t>
    </rPh>
    <rPh sb="10" eb="12">
      <t>ニチ</t>
    </rPh>
    <rPh sb="12" eb="14">
      <t>ヘンスウ</t>
    </rPh>
    <rPh sb="15" eb="17">
      <t>ヘンカン</t>
    </rPh>
    <rPh sb="19" eb="21">
      <t>ホウホウ</t>
    </rPh>
    <phoneticPr fontId="3"/>
  </si>
  <si>
    <t>Guyatt GH, Thorlund K, Oxman AD, Walter SD, Patrick D, Furukawa TA, Johnston BC, Karanicolas P, Akl EA, Vist G, Kunz R, Brozek J, Kupper LL, Martin SL, Meerpohl JJ, Alonso-Coello P, Christensen R, Schunemann HJ: GRADE guidelines: 13. Preparing summary of findings tables and evidence profiles-continuous outcomes. J Clin Epidemiol 2013;66:173-83. doi: 10.1016/j.jclinepi.2012.08.001 PMID: 23116689</t>
    <phoneticPr fontId="3"/>
  </si>
  <si>
    <t xml:space="preserve">森實敏夫：医学統計学シリーズ 第49回 Swing-weightingを用いたMulti-Criteria Decision Analysis. 2019:40(2):35-47. </t>
    <rPh sb="0" eb="2">
      <t>モリザネ</t>
    </rPh>
    <rPh sb="2" eb="4">
      <t>トシオ</t>
    </rPh>
    <rPh sb="5" eb="7">
      <t>イガク</t>
    </rPh>
    <rPh sb="7" eb="10">
      <t>トウケイガク</t>
    </rPh>
    <rPh sb="15" eb="16">
      <t>ダイ</t>
    </rPh>
    <rPh sb="18" eb="19">
      <t>カイ</t>
    </rPh>
    <rPh sb="36" eb="37">
      <t>モチ</t>
    </rPh>
    <phoneticPr fontId="3"/>
  </si>
  <si>
    <t xml:space="preserve">森實敏夫：医学統計学シリーズ 第50回 Swing-weightingを用いたMulti-Criteria Decision Analysis：分散を直接計算する方法. 2019:40(3):66-76. </t>
    <rPh sb="0" eb="2">
      <t>モリザネ</t>
    </rPh>
    <rPh sb="2" eb="4">
      <t>トシオ</t>
    </rPh>
    <rPh sb="5" eb="7">
      <t>イガク</t>
    </rPh>
    <rPh sb="7" eb="10">
      <t>トウケイガク</t>
    </rPh>
    <rPh sb="15" eb="16">
      <t>ダイ</t>
    </rPh>
    <rPh sb="18" eb="19">
      <t>カイ</t>
    </rPh>
    <rPh sb="36" eb="37">
      <t>モチ</t>
    </rPh>
    <rPh sb="72" eb="74">
      <t>ブンサン</t>
    </rPh>
    <rPh sb="75" eb="77">
      <t>チョクセツ</t>
    </rPh>
    <rPh sb="77" eb="79">
      <t>ケイサン</t>
    </rPh>
    <rPh sb="81" eb="83">
      <t>ホウホウ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</si>
</sst>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6"/>
      <name val="游ゴシック"/>
      <family val="2"/>
      <charset val="128"/>
      <scheme val="minor"/>
    </font>
    <font>
      <vertAlign val="subscript"/>
      <sz val="11"/>
      <color theme="1"/>
      <name val="游ゴシック"/>
      <family val="3"/>
      <charset val="128"/>
      <scheme val="minor"/>
    </font>
    <font>
      <vertAlign val="superscript"/>
      <sz val="11"/>
      <color theme="1"/>
      <name val="游ゴシック"/>
      <family val="3"/>
      <charset val="128"/>
      <scheme val="minor"/>
    </font>
    <font>
      <sz val="11"/>
      <color theme="2" tint="-0.249977111117893"/>
      <name val="游ゴシック"/>
      <family val="2"/>
      <charset val="128"/>
      <scheme val="minor"/>
    </font>
    <font>
      <sz val="11"/>
      <color theme="4"/>
      <name val="游ゴシック"/>
      <family val="3"/>
      <charset val="128"/>
      <scheme val="minor"/>
    </font>
    <font>
      <sz val="11"/>
      <name val="游ゴシック"/>
      <family val="2"/>
      <charset val="128"/>
      <scheme val="minor"/>
    </font>
    <font>
      <sz val="11"/>
      <name val="游ゴシック"/>
      <family val="3"/>
      <charset val="128"/>
      <scheme val="minor"/>
    </font>
    <font>
      <sz val="11"/>
      <color theme="2" tint="-0.249977111117893"/>
      <name val="游ゴシック"/>
      <family val="3"/>
      <charset val="128"/>
      <scheme val="minor"/>
    </font>
    <font>
      <b/>
      <sz val="9"/>
      <color indexed="81"/>
      <name val="MS P ゴシック"/>
      <family val="3"/>
      <charset val="128"/>
    </font>
    <font>
      <b/>
      <sz val="11"/>
      <name val="游ゴシック"/>
      <family val="3"/>
      <charset val="128"/>
      <scheme val="minor"/>
    </font>
    <font>
      <b/>
      <sz val="11"/>
      <color theme="2" tint="-0.249977111117893"/>
      <name val="游ゴシック"/>
      <family val="3"/>
      <charset val="128"/>
      <scheme val="minor"/>
    </font>
    <font>
      <u/>
      <sz val="11"/>
      <color theme="10"/>
      <name val="游ゴシック"/>
      <family val="3"/>
      <charset val="128"/>
      <scheme val="minor"/>
    </font>
    <font>
      <sz val="9"/>
      <color indexed="81"/>
      <name val="MS P ゴシック"/>
      <family val="3"/>
      <charset val="128"/>
    </font>
    <font>
      <sz val="11"/>
      <color theme="1"/>
      <name val="游ゴシック"/>
      <family val="2"/>
      <charset val="128"/>
      <scheme val="minor"/>
    </font>
    <font>
      <sz val="11"/>
      <name val="ＭＳ Ｐゴシック"/>
      <family val="3"/>
      <charset val="128"/>
    </font>
    <font>
      <sz val="11"/>
      <color theme="0" tint="-0.499984740745262"/>
      <name val="游ゴシック"/>
      <family val="2"/>
      <charset val="128"/>
      <scheme val="minor"/>
    </font>
    <font>
      <sz val="11"/>
      <color theme="0" tint="-0.499984740745262"/>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11"/>
      <color theme="1"/>
      <name val="游ゴシック"/>
      <family val="3"/>
      <charset val="128"/>
      <scheme val="minor"/>
    </font>
    <font>
      <sz val="10"/>
      <color rgb="FFFF0000"/>
      <name val="游ゴシック"/>
      <family val="2"/>
      <charset val="128"/>
      <scheme val="minor"/>
    </font>
    <font>
      <sz val="11"/>
      <color rgb="FF000000"/>
      <name val="游ゴシック"/>
      <family val="3"/>
      <charset val="128"/>
      <scheme val="minor"/>
    </font>
  </fonts>
  <fills count="9">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3" tint="0.89999084444715716"/>
        <bgColor indexed="64"/>
      </patternFill>
    </fill>
    <fill>
      <patternFill patternType="solid">
        <fgColor theme="7"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top/>
      <bottom style="double">
        <color indexed="64"/>
      </bottom>
      <diagonal/>
    </border>
    <border>
      <left/>
      <right style="thin">
        <color indexed="64"/>
      </right>
      <top/>
      <bottom/>
      <diagonal/>
    </border>
  </borders>
  <cellStyleXfs count="4">
    <xf numFmtId="0" fontId="0" fillId="0" borderId="0">
      <alignment vertical="center"/>
    </xf>
    <xf numFmtId="0" fontId="1" fillId="0" borderId="0" applyNumberFormat="0" applyFill="0" applyBorder="0" applyAlignment="0" applyProtection="0">
      <alignment vertical="center"/>
    </xf>
    <xf numFmtId="0" fontId="17" fillId="0" borderId="0">
      <alignment vertical="center"/>
    </xf>
    <xf numFmtId="0" fontId="16" fillId="0" borderId="0">
      <alignment vertical="center"/>
    </xf>
  </cellStyleXfs>
  <cellXfs count="79">
    <xf numFmtId="0" fontId="0" fillId="0" borderId="0" xfId="0">
      <alignment vertical="center"/>
    </xf>
    <xf numFmtId="0" fontId="2" fillId="0" borderId="0" xfId="0" applyFont="1">
      <alignment vertical="center"/>
    </xf>
    <xf numFmtId="0" fontId="1" fillId="0" borderId="0" xfId="1">
      <alignment vertical="center"/>
    </xf>
    <xf numFmtId="0" fontId="0" fillId="2" borderId="1" xfId="0" applyFill="1" applyBorder="1">
      <alignment vertical="center"/>
    </xf>
    <xf numFmtId="0" fontId="0" fillId="2" borderId="1" xfId="0" applyFill="1" applyBorder="1" applyAlignment="1">
      <alignment vertical="center" wrapText="1"/>
    </xf>
    <xf numFmtId="0" fontId="0" fillId="2" borderId="2" xfId="0" applyFill="1" applyBorder="1" applyAlignment="1">
      <alignment vertical="center" wrapText="1"/>
    </xf>
    <xf numFmtId="0" fontId="0" fillId="0" borderId="3" xfId="0" applyBorder="1" applyAlignment="1">
      <alignment vertical="center" wrapText="1"/>
    </xf>
    <xf numFmtId="0" fontId="0" fillId="0" borderId="1" xfId="0" applyBorder="1" applyAlignment="1">
      <alignment vertical="center" wrapText="1"/>
    </xf>
    <xf numFmtId="0" fontId="0" fillId="0" borderId="0" xfId="0" applyAlignment="1">
      <alignment vertical="center" wrapText="1"/>
    </xf>
    <xf numFmtId="0" fontId="0" fillId="4" borderId="4" xfId="0" applyFill="1" applyBorder="1">
      <alignment vertical="center"/>
    </xf>
    <xf numFmtId="0" fontId="0" fillId="3" borderId="1" xfId="0" applyFill="1" applyBorder="1">
      <alignment vertical="center"/>
    </xf>
    <xf numFmtId="0" fontId="0" fillId="0" borderId="0" xfId="0" applyAlignment="1">
      <alignment horizontal="right" vertical="center"/>
    </xf>
    <xf numFmtId="0" fontId="0" fillId="5" borderId="1" xfId="0" applyFill="1" applyBorder="1">
      <alignment vertical="center"/>
    </xf>
    <xf numFmtId="0" fontId="0" fillId="0" borderId="1" xfId="0" applyBorder="1">
      <alignment vertical="center"/>
    </xf>
    <xf numFmtId="0" fontId="0" fillId="4" borderId="1" xfId="0" applyFill="1" applyBorder="1">
      <alignment vertical="center"/>
    </xf>
    <xf numFmtId="0" fontId="6" fillId="0" borderId="0" xfId="0" applyFont="1">
      <alignment vertical="center"/>
    </xf>
    <xf numFmtId="49" fontId="7" fillId="0" borderId="0" xfId="0" applyNumberFormat="1" applyFont="1">
      <alignment vertical="center"/>
    </xf>
    <xf numFmtId="0" fontId="0" fillId="6" borderId="0" xfId="0" applyFill="1">
      <alignment vertical="center"/>
    </xf>
    <xf numFmtId="0" fontId="8" fillId="0" borderId="8" xfId="0" applyFont="1" applyBorder="1">
      <alignment vertical="center"/>
    </xf>
    <xf numFmtId="0" fontId="6" fillId="0" borderId="9" xfId="0" applyFont="1" applyBorder="1">
      <alignment vertical="center"/>
    </xf>
    <xf numFmtId="0" fontId="7" fillId="6" borderId="10" xfId="0" applyFont="1" applyFill="1" applyBorder="1">
      <alignment vertical="center"/>
    </xf>
    <xf numFmtId="0" fontId="9" fillId="0" borderId="11" xfId="0" applyFont="1" applyBorder="1">
      <alignment vertical="center"/>
    </xf>
    <xf numFmtId="49" fontId="0" fillId="0" borderId="12" xfId="0" applyNumberFormat="1" applyBorder="1">
      <alignment vertical="center"/>
    </xf>
    <xf numFmtId="0" fontId="0" fillId="6" borderId="13" xfId="0" applyFill="1" applyBorder="1">
      <alignment vertical="center"/>
    </xf>
    <xf numFmtId="0" fontId="9" fillId="0" borderId="14" xfId="0" applyFont="1" applyBorder="1">
      <alignment vertical="center"/>
    </xf>
    <xf numFmtId="49" fontId="7" fillId="0" borderId="15" xfId="0" applyNumberFormat="1" applyFont="1" applyBorder="1">
      <alignment vertical="center"/>
    </xf>
    <xf numFmtId="0" fontId="0" fillId="6" borderId="16" xfId="0" applyFill="1" applyBorder="1">
      <alignment vertical="center"/>
    </xf>
    <xf numFmtId="0" fontId="10" fillId="0" borderId="0" xfId="0" applyFont="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6" borderId="1"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6" borderId="3" xfId="0" applyFill="1" applyBorder="1">
      <alignment vertical="center"/>
    </xf>
    <xf numFmtId="0" fontId="0" fillId="7" borderId="0" xfId="0" applyFill="1" applyAlignment="1">
      <alignment horizontal="right" vertical="center"/>
    </xf>
    <xf numFmtId="0" fontId="12" fillId="0" borderId="8" xfId="0" applyFont="1" applyBorder="1">
      <alignment vertical="center"/>
    </xf>
    <xf numFmtId="0" fontId="13" fillId="0" borderId="9" xfId="0" applyFont="1" applyBorder="1">
      <alignment vertical="center"/>
    </xf>
    <xf numFmtId="0" fontId="1" fillId="0" borderId="0" xfId="1" applyAlignment="1">
      <alignment horizontal="left" vertical="center" indent="2" readingOrder="1"/>
    </xf>
    <xf numFmtId="0" fontId="9" fillId="0" borderId="1" xfId="0" applyFont="1" applyBorder="1">
      <alignment vertical="center"/>
    </xf>
    <xf numFmtId="0" fontId="8" fillId="0" borderId="1" xfId="0" applyFont="1" applyBorder="1">
      <alignment vertical="center"/>
    </xf>
    <xf numFmtId="49" fontId="0" fillId="0" borderId="1" xfId="0" applyNumberFormat="1" applyBorder="1">
      <alignment vertical="center"/>
    </xf>
    <xf numFmtId="49" fontId="7" fillId="0" borderId="1" xfId="0" applyNumberFormat="1" applyFont="1" applyBorder="1">
      <alignment vertical="center"/>
    </xf>
    <xf numFmtId="0" fontId="0" fillId="0" borderId="0" xfId="0" applyAlignment="1">
      <alignment horizontal="left" vertical="center"/>
    </xf>
    <xf numFmtId="0" fontId="9" fillId="0" borderId="0" xfId="0" applyFont="1">
      <alignment vertical="center"/>
    </xf>
    <xf numFmtId="0" fontId="0" fillId="0" borderId="17" xfId="0" applyBorder="1">
      <alignment vertical="center"/>
    </xf>
    <xf numFmtId="49" fontId="9" fillId="0" borderId="0" xfId="0" applyNumberFormat="1" applyFont="1" applyAlignment="1">
      <alignment vertical="center" wrapText="1"/>
    </xf>
    <xf numFmtId="0" fontId="9" fillId="0" borderId="0" xfId="0" applyFont="1" applyAlignment="1">
      <alignment vertical="center" wrapText="1"/>
    </xf>
    <xf numFmtId="0" fontId="0" fillId="0" borderId="17" xfId="0" applyBorder="1" applyAlignment="1">
      <alignment vertical="center" wrapText="1"/>
    </xf>
    <xf numFmtId="0" fontId="0" fillId="7" borderId="1" xfId="0" applyFill="1" applyBorder="1">
      <alignment vertical="center"/>
    </xf>
    <xf numFmtId="0" fontId="0" fillId="7" borderId="6" xfId="0" applyFill="1" applyBorder="1">
      <alignment vertical="center"/>
    </xf>
    <xf numFmtId="0" fontId="0" fillId="3" borderId="7" xfId="0" applyFill="1" applyBorder="1">
      <alignment vertical="center"/>
    </xf>
    <xf numFmtId="0" fontId="0" fillId="7" borderId="0" xfId="0" applyFill="1">
      <alignment vertical="center"/>
    </xf>
    <xf numFmtId="0" fontId="0" fillId="0" borderId="18" xfId="0" applyBorder="1" applyAlignment="1">
      <alignment vertical="center" wrapText="1"/>
    </xf>
    <xf numFmtId="0" fontId="0" fillId="0" borderId="19" xfId="0" applyBorder="1" applyAlignment="1">
      <alignment vertical="center" wrapText="1"/>
    </xf>
    <xf numFmtId="0" fontId="0" fillId="0" borderId="10" xfId="0" applyBorder="1" applyAlignment="1">
      <alignment vertical="center" wrapText="1"/>
    </xf>
    <xf numFmtId="0" fontId="0" fillId="6" borderId="20" xfId="0" applyFill="1" applyBorder="1">
      <alignment vertical="center"/>
    </xf>
    <xf numFmtId="0" fontId="0" fillId="6" borderId="21" xfId="0" applyFill="1" applyBorder="1">
      <alignment vertical="center"/>
    </xf>
    <xf numFmtId="0" fontId="18" fillId="0" borderId="0" xfId="0" applyFont="1">
      <alignment vertical="center"/>
    </xf>
    <xf numFmtId="0" fontId="19" fillId="0" borderId="0" xfId="0" applyFont="1">
      <alignment vertical="center"/>
    </xf>
    <xf numFmtId="0" fontId="20" fillId="0" borderId="19" xfId="0" applyFont="1" applyBorder="1" applyAlignment="1">
      <alignment vertical="center" wrapText="1"/>
    </xf>
    <xf numFmtId="0" fontId="21" fillId="0" borderId="19" xfId="0" applyFont="1" applyBorder="1" applyAlignment="1">
      <alignment vertical="center" wrapText="1"/>
    </xf>
    <xf numFmtId="0" fontId="22" fillId="0" borderId="0" xfId="0" applyFont="1">
      <alignment vertical="center"/>
    </xf>
    <xf numFmtId="0" fontId="0" fillId="8" borderId="0" xfId="0" applyFill="1">
      <alignment vertical="center"/>
    </xf>
    <xf numFmtId="0" fontId="20" fillId="0" borderId="0" xfId="0" applyFont="1" applyAlignment="1">
      <alignment vertical="center" wrapText="1"/>
    </xf>
    <xf numFmtId="0" fontId="0" fillId="6" borderId="1" xfId="0" applyFill="1" applyBorder="1" applyAlignment="1">
      <alignment horizontal="right" vertical="center"/>
    </xf>
    <xf numFmtId="0" fontId="0" fillId="6" borderId="17" xfId="0" applyFill="1" applyBorder="1" applyAlignment="1">
      <alignment vertical="center" wrapText="1"/>
    </xf>
    <xf numFmtId="0" fontId="0" fillId="6" borderId="17" xfId="0" applyFill="1" applyBorder="1">
      <alignment vertical="center"/>
    </xf>
    <xf numFmtId="0" fontId="0" fillId="6" borderId="0" xfId="0" applyFill="1" applyAlignment="1">
      <alignment vertical="center" wrapText="1"/>
    </xf>
    <xf numFmtId="0" fontId="0" fillId="0" borderId="22" xfId="0" applyBorder="1">
      <alignment vertical="center"/>
    </xf>
    <xf numFmtId="0" fontId="9" fillId="0" borderId="22" xfId="0" applyFont="1" applyBorder="1">
      <alignment vertical="center"/>
    </xf>
    <xf numFmtId="49" fontId="0" fillId="0" borderId="22" xfId="0" applyNumberFormat="1" applyBorder="1">
      <alignment vertical="center"/>
    </xf>
    <xf numFmtId="0" fontId="0" fillId="0" borderId="23" xfId="0" applyBorder="1">
      <alignment vertical="center"/>
    </xf>
    <xf numFmtId="0" fontId="0" fillId="0" borderId="23" xfId="0" applyBorder="1" applyAlignment="1">
      <alignment horizontal="right" vertical="center"/>
    </xf>
    <xf numFmtId="0" fontId="20" fillId="0" borderId="0" xfId="0" applyFont="1">
      <alignment vertical="center"/>
    </xf>
    <xf numFmtId="0" fontId="23" fillId="0" borderId="0" xfId="0" applyFont="1">
      <alignment vertical="center"/>
    </xf>
    <xf numFmtId="0" fontId="0" fillId="2" borderId="6" xfId="0" applyFill="1" applyBorder="1" applyAlignment="1">
      <alignment vertical="center" wrapText="1"/>
    </xf>
    <xf numFmtId="0" fontId="0" fillId="0" borderId="24" xfId="0" applyBorder="1" applyAlignment="1">
      <alignment vertical="center" wrapText="1"/>
    </xf>
    <xf numFmtId="0" fontId="24" fillId="0" borderId="0" xfId="0" applyFont="1">
      <alignment vertical="center"/>
    </xf>
  </cellXfs>
  <cellStyles count="4">
    <cellStyle name="ハイパーリンク" xfId="1" builtinId="8"/>
    <cellStyle name="標準" xfId="0" builtinId="0"/>
    <cellStyle name="標準 2 2" xfId="2" xr:uid="{9CD64169-58B4-4AFA-8CF0-217B0FCA3D73}"/>
    <cellStyle name="標準 2 3" xfId="3" xr:uid="{7CF5FCFA-66F9-4C38-AD4F-54CA23C19A72}"/>
  </cellStyles>
  <dxfs count="0"/>
  <tableStyles count="0" defaultTableStyle="TableStyleMedium2" defaultPivotStyle="PivotStyleLight16"/>
  <colors>
    <mruColors>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t>アウトカムの重要</a:t>
            </a:r>
            <a:r>
              <a:rPr lang="ja-JP" altLang="en-US"/>
              <a:t>度</a:t>
            </a:r>
            <a:r>
              <a:rPr lang="ja-JP"/>
              <a:t>で未調整 効果推定値</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RD_信頼区間_相関係数から_比!$B$35</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RD_信頼区間_相関係数から_比!$D$35</c:f>
                <c:numCache>
                  <c:formatCode>General</c:formatCode>
                  <c:ptCount val="1"/>
                  <c:pt idx="0">
                    <c:v>0.05</c:v>
                  </c:pt>
                </c:numCache>
              </c:numRef>
            </c:plus>
            <c:minus>
              <c:numRef>
                <c:f>RD_信頼区間_相関係数から_比!$D$35</c:f>
                <c:numCache>
                  <c:formatCode>General</c:formatCode>
                  <c:ptCount val="1"/>
                  <c:pt idx="0">
                    <c:v>0.05</c:v>
                  </c:pt>
                </c:numCache>
              </c:numRef>
            </c:minus>
            <c:spPr>
              <a:noFill/>
              <a:ln w="9525" cap="flat" cmpd="sng" algn="ctr">
                <a:solidFill>
                  <a:schemeClr val="tx1">
                    <a:lumMod val="50000"/>
                    <a:lumOff val="50000"/>
                  </a:schemeClr>
                </a:solidFill>
                <a:round/>
              </a:ln>
              <a:effectLst/>
            </c:spPr>
          </c:errBars>
          <c:val>
            <c:numRef>
              <c:f>RD_信頼区間_相関係数から_比!$C$35</c:f>
              <c:numCache>
                <c:formatCode>General</c:formatCode>
                <c:ptCount val="1"/>
                <c:pt idx="0">
                  <c:v>0.1</c:v>
                </c:pt>
              </c:numCache>
            </c:numRef>
          </c:val>
          <c:extLst>
            <c:ext xmlns:c16="http://schemas.microsoft.com/office/drawing/2014/chart" uri="{C3380CC4-5D6E-409C-BE32-E72D297353CC}">
              <c16:uniqueId val="{00000000-C6BF-4B2C-8AC0-73439F969DCD}"/>
            </c:ext>
          </c:extLst>
        </c:ser>
        <c:ser>
          <c:idx val="1"/>
          <c:order val="1"/>
          <c:tx>
            <c:strRef>
              <c:f>RD_信頼区間_相関係数から_比!$B$36</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RD_信頼区間_相関係数から_比!$D$35</c:f>
                <c:numCache>
                  <c:formatCode>General</c:formatCode>
                  <c:ptCount val="1"/>
                  <c:pt idx="0">
                    <c:v>0.05</c:v>
                  </c:pt>
                </c:numCache>
              </c:numRef>
            </c:plus>
            <c:minus>
              <c:numRef>
                <c:f>RD_信頼区間_相関係数から_比!$D$36</c:f>
                <c:numCache>
                  <c:formatCode>General</c:formatCode>
                  <c:ptCount val="1"/>
                  <c:pt idx="0">
                    <c:v>0.06</c:v>
                  </c:pt>
                </c:numCache>
              </c:numRef>
            </c:minus>
            <c:spPr>
              <a:noFill/>
              <a:ln w="9525" cap="flat" cmpd="sng" algn="ctr">
                <a:solidFill>
                  <a:schemeClr val="tx1">
                    <a:lumMod val="50000"/>
                    <a:lumOff val="50000"/>
                  </a:schemeClr>
                </a:solidFill>
                <a:round/>
              </a:ln>
              <a:effectLst/>
            </c:spPr>
          </c:errBars>
          <c:val>
            <c:numRef>
              <c:f>RD_信頼区間_相関係数から_比!$C$36</c:f>
              <c:numCache>
                <c:formatCode>General</c:formatCode>
                <c:ptCount val="1"/>
                <c:pt idx="0">
                  <c:v>-0.1</c:v>
                </c:pt>
              </c:numCache>
            </c:numRef>
          </c:val>
          <c:extLst>
            <c:ext xmlns:c16="http://schemas.microsoft.com/office/drawing/2014/chart" uri="{C3380CC4-5D6E-409C-BE32-E72D297353CC}">
              <c16:uniqueId val="{00000000-5814-47CB-B772-00A92C6698D3}"/>
            </c:ext>
          </c:extLst>
        </c:ser>
        <c:ser>
          <c:idx val="2"/>
          <c:order val="2"/>
          <c:tx>
            <c:strRef>
              <c:f>RD_信頼区間_相関係数から_比!$B$37</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RD_信頼区間_相関係数から_比!$D$37</c:f>
                <c:numCache>
                  <c:formatCode>General</c:formatCode>
                  <c:ptCount val="1"/>
                  <c:pt idx="0">
                    <c:v>9.0000000000000011E-3</c:v>
                  </c:pt>
                </c:numCache>
              </c:numRef>
            </c:plus>
            <c:minus>
              <c:numRef>
                <c:f>RD_信頼区間_相関係数から_比!$D$37</c:f>
                <c:numCache>
                  <c:formatCode>General</c:formatCode>
                  <c:ptCount val="1"/>
                  <c:pt idx="0">
                    <c:v>9.0000000000000011E-3</c:v>
                  </c:pt>
                </c:numCache>
              </c:numRef>
            </c:minus>
            <c:spPr>
              <a:noFill/>
              <a:ln w="9525" cap="flat" cmpd="sng" algn="ctr">
                <a:solidFill>
                  <a:schemeClr val="tx1">
                    <a:lumMod val="50000"/>
                    <a:lumOff val="50000"/>
                  </a:schemeClr>
                </a:solidFill>
                <a:round/>
              </a:ln>
              <a:effectLst/>
            </c:spPr>
          </c:errBars>
          <c:val>
            <c:numRef>
              <c:f>RD_信頼区間_相関係数から_比!$C$37</c:f>
              <c:numCache>
                <c:formatCode>General</c:formatCode>
                <c:ptCount val="1"/>
                <c:pt idx="0">
                  <c:v>-0.02</c:v>
                </c:pt>
              </c:numCache>
            </c:numRef>
          </c:val>
          <c:extLst>
            <c:ext xmlns:c16="http://schemas.microsoft.com/office/drawing/2014/chart" uri="{C3380CC4-5D6E-409C-BE32-E72D297353CC}">
              <c16:uniqueId val="{00000001-5814-47CB-B772-00A92C6698D3}"/>
            </c:ext>
          </c:extLst>
        </c:ser>
        <c:ser>
          <c:idx val="3"/>
          <c:order val="3"/>
          <c:tx>
            <c:strRef>
              <c:f>RD_信頼区間_相関係数から_比!$B$38</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RD_信頼区間_相関係数から_比!$D$38</c:f>
                <c:numCache>
                  <c:formatCode>General</c:formatCode>
                  <c:ptCount val="1"/>
                  <c:pt idx="0">
                    <c:v>1.9999999999999997E-2</c:v>
                  </c:pt>
                </c:numCache>
              </c:numRef>
            </c:plus>
            <c:minus>
              <c:numRef>
                <c:f>RD_信頼区間_相関係数から_比!$D$38</c:f>
                <c:numCache>
                  <c:formatCode>General</c:formatCode>
                  <c:ptCount val="1"/>
                  <c:pt idx="0">
                    <c:v>1.9999999999999997E-2</c:v>
                  </c:pt>
                </c:numCache>
              </c:numRef>
            </c:minus>
            <c:spPr>
              <a:noFill/>
              <a:ln w="9525" cap="flat" cmpd="sng" algn="ctr">
                <a:solidFill>
                  <a:schemeClr val="tx1">
                    <a:lumMod val="50000"/>
                    <a:lumOff val="50000"/>
                  </a:schemeClr>
                </a:solidFill>
                <a:round/>
              </a:ln>
              <a:effectLst/>
            </c:spPr>
          </c:errBars>
          <c:val>
            <c:numRef>
              <c:f>RD_信頼区間_相関係数から_比!$C$38</c:f>
              <c:numCache>
                <c:formatCode>General</c:formatCode>
                <c:ptCount val="1"/>
                <c:pt idx="0">
                  <c:v>0.01</c:v>
                </c:pt>
              </c:numCache>
            </c:numRef>
          </c:val>
          <c:extLst>
            <c:ext xmlns:c16="http://schemas.microsoft.com/office/drawing/2014/chart" uri="{C3380CC4-5D6E-409C-BE32-E72D297353CC}">
              <c16:uniqueId val="{00000002-5814-47CB-B772-00A92C6698D3}"/>
            </c:ext>
          </c:extLst>
        </c:ser>
        <c:ser>
          <c:idx val="4"/>
          <c:order val="4"/>
          <c:tx>
            <c:strRef>
              <c:f>RD_信頼区間_相関係数から_比!$B$39</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RD_信頼区間_相関係数から_比!$D$39</c:f>
                <c:numCache>
                  <c:formatCode>General</c:formatCode>
                  <c:ptCount val="1"/>
                  <c:pt idx="0">
                    <c:v>3.9999999999999994E-2</c:v>
                  </c:pt>
                </c:numCache>
              </c:numRef>
            </c:plus>
            <c:minus>
              <c:numRef>
                <c:f>RD_信頼区間_相関係数から_比!$D$39</c:f>
                <c:numCache>
                  <c:formatCode>General</c:formatCode>
                  <c:ptCount val="1"/>
                  <c:pt idx="0">
                    <c:v>3.9999999999999994E-2</c:v>
                  </c:pt>
                </c:numCache>
              </c:numRef>
            </c:minus>
            <c:spPr>
              <a:noFill/>
              <a:ln w="9525" cap="flat" cmpd="sng" algn="ctr">
                <a:solidFill>
                  <a:schemeClr val="tx1">
                    <a:lumMod val="50000"/>
                    <a:lumOff val="50000"/>
                  </a:schemeClr>
                </a:solidFill>
                <a:round/>
              </a:ln>
              <a:effectLst/>
            </c:spPr>
          </c:errBars>
          <c:val>
            <c:numRef>
              <c:f>RD_信頼区間_相関係数から_比!$C$39</c:f>
              <c:numCache>
                <c:formatCode>General</c:formatCode>
                <c:ptCount val="1"/>
                <c:pt idx="0">
                  <c:v>0.02</c:v>
                </c:pt>
              </c:numCache>
            </c:numRef>
          </c:val>
          <c:extLst>
            <c:ext xmlns:c16="http://schemas.microsoft.com/office/drawing/2014/chart" uri="{C3380CC4-5D6E-409C-BE32-E72D297353CC}">
              <c16:uniqueId val="{00000003-5814-47CB-B772-00A92C6698D3}"/>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0.2"/>
          <c:min val="-0.2"/>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101842866852763"/>
          <c:h val="0.3770976114019267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t>アウトカムの重要</a:t>
            </a:r>
            <a:r>
              <a:rPr lang="ja-JP" altLang="en-US"/>
              <a:t>度</a:t>
            </a:r>
            <a:r>
              <a:rPr lang="ja-JP"/>
              <a:t>で調整</a:t>
            </a:r>
            <a:r>
              <a:rPr lang="ja-JP" altLang="en-US"/>
              <a:t>後</a:t>
            </a:r>
            <a:r>
              <a:rPr lang="ja-JP"/>
              <a:t> 効果推定値</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RD_信頼区間_相関係数から_比!$B$51</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RD_信頼区間_相関係数から_比!$D$51</c:f>
                <c:numCache>
                  <c:formatCode>General</c:formatCode>
                  <c:ptCount val="1"/>
                  <c:pt idx="0">
                    <c:v>0.05</c:v>
                  </c:pt>
                </c:numCache>
              </c:numRef>
            </c:plus>
            <c:minus>
              <c:numRef>
                <c:f>RD_信頼区間_相関係数から_比!$D$51</c:f>
                <c:numCache>
                  <c:formatCode>General</c:formatCode>
                  <c:ptCount val="1"/>
                  <c:pt idx="0">
                    <c:v>0.05</c:v>
                  </c:pt>
                </c:numCache>
              </c:numRef>
            </c:minus>
            <c:spPr>
              <a:noFill/>
              <a:ln w="9525" cap="flat" cmpd="sng" algn="ctr">
                <a:solidFill>
                  <a:schemeClr val="tx1">
                    <a:lumMod val="50000"/>
                    <a:lumOff val="50000"/>
                  </a:schemeClr>
                </a:solidFill>
                <a:round/>
              </a:ln>
              <a:effectLst/>
            </c:spPr>
          </c:errBars>
          <c:val>
            <c:numRef>
              <c:f>RD_信頼区間_相関係数から_比!$C$51</c:f>
              <c:numCache>
                <c:formatCode>General</c:formatCode>
                <c:ptCount val="1"/>
                <c:pt idx="0">
                  <c:v>0.1</c:v>
                </c:pt>
              </c:numCache>
            </c:numRef>
          </c:val>
          <c:extLst>
            <c:ext xmlns:c16="http://schemas.microsoft.com/office/drawing/2014/chart" uri="{C3380CC4-5D6E-409C-BE32-E72D297353CC}">
              <c16:uniqueId val="{00000000-3393-46CA-9222-BCCCFDE2A4D3}"/>
            </c:ext>
          </c:extLst>
        </c:ser>
        <c:ser>
          <c:idx val="1"/>
          <c:order val="1"/>
          <c:tx>
            <c:strRef>
              <c:f>RD_信頼区間_相関係数から_比!$B$52</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RD_信頼区間_相関係数から_比!$D$52</c:f>
                <c:numCache>
                  <c:formatCode>General</c:formatCode>
                  <c:ptCount val="1"/>
                  <c:pt idx="0">
                    <c:v>1.7999999999999999E-2</c:v>
                  </c:pt>
                </c:numCache>
              </c:numRef>
            </c:plus>
            <c:minus>
              <c:numRef>
                <c:f>RD_信頼区間_相関係数から_比!$D$52</c:f>
                <c:numCache>
                  <c:formatCode>General</c:formatCode>
                  <c:ptCount val="1"/>
                  <c:pt idx="0">
                    <c:v>1.7999999999999999E-2</c:v>
                  </c:pt>
                </c:numCache>
              </c:numRef>
            </c:minus>
            <c:spPr>
              <a:noFill/>
              <a:ln w="9525" cap="flat" cmpd="sng" algn="ctr">
                <a:solidFill>
                  <a:schemeClr val="tx1">
                    <a:lumMod val="50000"/>
                    <a:lumOff val="50000"/>
                  </a:schemeClr>
                </a:solidFill>
                <a:round/>
              </a:ln>
              <a:effectLst/>
            </c:spPr>
          </c:errBars>
          <c:val>
            <c:numRef>
              <c:f>RD_信頼区間_相関係数から_比!$C$52</c:f>
              <c:numCache>
                <c:formatCode>General</c:formatCode>
                <c:ptCount val="1"/>
                <c:pt idx="0">
                  <c:v>-0.03</c:v>
                </c:pt>
              </c:numCache>
            </c:numRef>
          </c:val>
          <c:extLst>
            <c:ext xmlns:c16="http://schemas.microsoft.com/office/drawing/2014/chart" uri="{C3380CC4-5D6E-409C-BE32-E72D297353CC}">
              <c16:uniqueId val="{00000001-3393-46CA-9222-BCCCFDE2A4D3}"/>
            </c:ext>
          </c:extLst>
        </c:ser>
        <c:ser>
          <c:idx val="2"/>
          <c:order val="2"/>
          <c:tx>
            <c:strRef>
              <c:f>RD_信頼区間_相関係数から_比!$B$53</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RD_信頼区間_相関係数から_比!$D$53</c:f>
                <c:numCache>
                  <c:formatCode>General</c:formatCode>
                  <c:ptCount val="1"/>
                  <c:pt idx="0">
                    <c:v>4.5000000000000005E-3</c:v>
                  </c:pt>
                </c:numCache>
              </c:numRef>
            </c:plus>
            <c:minus>
              <c:numRef>
                <c:f>RD_信頼区間_相関係数から_比!$D$53</c:f>
                <c:numCache>
                  <c:formatCode>General</c:formatCode>
                  <c:ptCount val="1"/>
                  <c:pt idx="0">
                    <c:v>4.5000000000000005E-3</c:v>
                  </c:pt>
                </c:numCache>
              </c:numRef>
            </c:minus>
            <c:spPr>
              <a:noFill/>
              <a:ln w="9525" cap="flat" cmpd="sng" algn="ctr">
                <a:solidFill>
                  <a:schemeClr val="tx1">
                    <a:lumMod val="50000"/>
                    <a:lumOff val="50000"/>
                  </a:schemeClr>
                </a:solidFill>
                <a:round/>
              </a:ln>
              <a:effectLst/>
            </c:spPr>
          </c:errBars>
          <c:val>
            <c:numRef>
              <c:f>RD_信頼区間_相関係数から_比!$C$53</c:f>
              <c:numCache>
                <c:formatCode>General</c:formatCode>
                <c:ptCount val="1"/>
                <c:pt idx="0">
                  <c:v>-0.01</c:v>
                </c:pt>
              </c:numCache>
            </c:numRef>
          </c:val>
          <c:extLst>
            <c:ext xmlns:c16="http://schemas.microsoft.com/office/drawing/2014/chart" uri="{C3380CC4-5D6E-409C-BE32-E72D297353CC}">
              <c16:uniqueId val="{00000002-3393-46CA-9222-BCCCFDE2A4D3}"/>
            </c:ext>
          </c:extLst>
        </c:ser>
        <c:ser>
          <c:idx val="3"/>
          <c:order val="3"/>
          <c:tx>
            <c:strRef>
              <c:f>RD_信頼区間_相関係数から_比!$B$54</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RD_信頼区間_相関係数から_比!$D$54</c:f>
                <c:numCache>
                  <c:formatCode>General</c:formatCode>
                  <c:ptCount val="1"/>
                  <c:pt idx="0">
                    <c:v>3.9999999999999992E-3</c:v>
                  </c:pt>
                </c:numCache>
              </c:numRef>
            </c:plus>
            <c:minus>
              <c:numRef>
                <c:f>RD_信頼区間_相関係数から_比!$D$54</c:f>
                <c:numCache>
                  <c:formatCode>General</c:formatCode>
                  <c:ptCount val="1"/>
                  <c:pt idx="0">
                    <c:v>3.9999999999999992E-3</c:v>
                  </c:pt>
                </c:numCache>
              </c:numRef>
            </c:minus>
            <c:spPr>
              <a:noFill/>
              <a:ln w="9525" cap="flat" cmpd="sng" algn="ctr">
                <a:solidFill>
                  <a:schemeClr val="tx1">
                    <a:lumMod val="50000"/>
                    <a:lumOff val="50000"/>
                  </a:schemeClr>
                </a:solidFill>
                <a:round/>
              </a:ln>
              <a:effectLst/>
            </c:spPr>
          </c:errBars>
          <c:val>
            <c:numRef>
              <c:f>RD_信頼区間_相関係数から_比!$C$54</c:f>
              <c:numCache>
                <c:formatCode>General</c:formatCode>
                <c:ptCount val="1"/>
                <c:pt idx="0">
                  <c:v>2E-3</c:v>
                </c:pt>
              </c:numCache>
            </c:numRef>
          </c:val>
          <c:extLst>
            <c:ext xmlns:c16="http://schemas.microsoft.com/office/drawing/2014/chart" uri="{C3380CC4-5D6E-409C-BE32-E72D297353CC}">
              <c16:uniqueId val="{00000003-3393-46CA-9222-BCCCFDE2A4D3}"/>
            </c:ext>
          </c:extLst>
        </c:ser>
        <c:ser>
          <c:idx val="4"/>
          <c:order val="4"/>
          <c:tx>
            <c:strRef>
              <c:f>RD_信頼区間_相関係数から_比!$B$55</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RD_信頼区間_相関係数から_比!$D$55</c:f>
                <c:numCache>
                  <c:formatCode>General</c:formatCode>
                  <c:ptCount val="1"/>
                  <c:pt idx="0">
                    <c:v>1.1999999999999999E-2</c:v>
                  </c:pt>
                </c:numCache>
              </c:numRef>
            </c:plus>
            <c:minus>
              <c:numRef>
                <c:f>RD_信頼区間_相関係数から_比!$D$55</c:f>
                <c:numCache>
                  <c:formatCode>General</c:formatCode>
                  <c:ptCount val="1"/>
                  <c:pt idx="0">
                    <c:v>1.1999999999999999E-2</c:v>
                  </c:pt>
                </c:numCache>
              </c:numRef>
            </c:minus>
            <c:spPr>
              <a:noFill/>
              <a:ln w="9525" cap="flat" cmpd="sng" algn="ctr">
                <a:solidFill>
                  <a:schemeClr val="tx1">
                    <a:lumMod val="50000"/>
                    <a:lumOff val="50000"/>
                  </a:schemeClr>
                </a:solidFill>
                <a:round/>
              </a:ln>
              <a:effectLst/>
            </c:spPr>
          </c:errBars>
          <c:val>
            <c:numRef>
              <c:f>RD_信頼区間_相関係数から_比!$C$55</c:f>
              <c:numCache>
                <c:formatCode>General</c:formatCode>
                <c:ptCount val="1"/>
                <c:pt idx="0">
                  <c:v>6.0000000000000001E-3</c:v>
                </c:pt>
              </c:numCache>
            </c:numRef>
          </c:val>
          <c:extLst xmlns:c15="http://schemas.microsoft.com/office/drawing/2012/chart">
            <c:ext xmlns:c16="http://schemas.microsoft.com/office/drawing/2014/chart" uri="{C3380CC4-5D6E-409C-BE32-E72D297353CC}">
              <c16:uniqueId val="{00000004-3393-46CA-9222-BCCCFDE2A4D3}"/>
            </c:ext>
          </c:extLst>
        </c:ser>
        <c:ser>
          <c:idx val="5"/>
          <c:order val="5"/>
          <c:tx>
            <c:strRef>
              <c:f>RD_信頼区間_相関係数から_比!$B$61</c:f>
              <c:strCache>
                <c:ptCount val="1"/>
                <c:pt idx="0">
                  <c:v>正味の益</c:v>
                </c:pt>
              </c:strCache>
            </c:strRef>
          </c:tx>
          <c:spPr>
            <a:noFill/>
            <a:ln w="25400" cap="flat" cmpd="sng" algn="ctr">
              <a:solidFill>
                <a:schemeClr val="accent6"/>
              </a:solidFill>
              <a:miter lim="800000"/>
            </a:ln>
            <a:effectLst/>
          </c:spPr>
          <c:invertIfNegative val="0"/>
          <c:dPt>
            <c:idx val="0"/>
            <c:invertIfNegative val="0"/>
            <c:bubble3D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accent6"/>
                </a:solidFill>
                <a:miter lim="800000"/>
              </a:ln>
              <a:effectLst/>
            </c:spPr>
            <c:extLst>
              <c:ext xmlns:c16="http://schemas.microsoft.com/office/drawing/2014/chart" uri="{C3380CC4-5D6E-409C-BE32-E72D297353CC}">
                <c16:uniqueId val="{00000006-3393-46CA-9222-BCCCFDE2A4D3}"/>
              </c:ext>
            </c:extLst>
          </c:dPt>
          <c:errBars>
            <c:errBarType val="both"/>
            <c:errValType val="cust"/>
            <c:noEndCap val="0"/>
            <c:plus>
              <c:numRef>
                <c:f>RD_信頼区間_相関係数から_比!$D$61</c:f>
                <c:numCache>
                  <c:formatCode>General</c:formatCode>
                  <c:ptCount val="1"/>
                  <c:pt idx="0">
                    <c:v>6.4245233286213538E-2</c:v>
                  </c:pt>
                </c:numCache>
              </c:numRef>
            </c:plus>
            <c:minus>
              <c:numRef>
                <c:f>RD_信頼区間_相関係数から_比!$D$61</c:f>
                <c:numCache>
                  <c:formatCode>General</c:formatCode>
                  <c:ptCount val="1"/>
                  <c:pt idx="0">
                    <c:v>6.4245233286213538E-2</c:v>
                  </c:pt>
                </c:numCache>
              </c:numRef>
            </c:minus>
            <c:spPr>
              <a:noFill/>
              <a:ln w="9525" cap="flat" cmpd="sng" algn="ctr">
                <a:solidFill>
                  <a:schemeClr val="tx1">
                    <a:lumMod val="50000"/>
                    <a:lumOff val="50000"/>
                  </a:schemeClr>
                </a:solidFill>
                <a:round/>
              </a:ln>
              <a:effectLst/>
            </c:spPr>
          </c:errBars>
          <c:val>
            <c:numRef>
              <c:f>RD_信頼区間_相関係数から_比!$C$61</c:f>
              <c:numCache>
                <c:formatCode>General</c:formatCode>
                <c:ptCount val="1"/>
                <c:pt idx="0">
                  <c:v>6.8000000000000005E-2</c:v>
                </c:pt>
              </c:numCache>
            </c:numRef>
          </c:val>
          <c:extLst>
            <c:ext xmlns:c16="http://schemas.microsoft.com/office/drawing/2014/chart" uri="{C3380CC4-5D6E-409C-BE32-E72D297353CC}">
              <c16:uniqueId val="{00000005-3393-46CA-9222-BCCCFDE2A4D3}"/>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0.2"/>
          <c:min val="-0.2"/>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9134466725658923"/>
              <c:y val="0.897668737633235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0997941527900311"/>
          <c:h val="0.4145870424380691"/>
        </c:manualLayout>
      </c:layout>
      <c:overlay val="0"/>
      <c:spPr>
        <a:noFill/>
        <a:ln>
          <a:solidFill>
            <a:srgbClr val="D9D9D9">
              <a:alpha val="98000"/>
            </a:srgbClr>
          </a:solid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ltLang="en-US"/>
              <a:t>正味の益が反転しない効果推定値の範囲</a:t>
            </a:r>
            <a:endParaRPr lang="ja-JP"/>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RD_信頼区間_相関係数から_比!$B$67</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RD_信頼区間_相関係数から_比!$E$67</c:f>
                <c:numCache>
                  <c:formatCode>General</c:formatCode>
                  <c:ptCount val="1"/>
                  <c:pt idx="0">
                    <c:v>0.9</c:v>
                  </c:pt>
                </c:numCache>
              </c:numRef>
            </c:plus>
            <c:minus>
              <c:numRef>
                <c:f>RD_信頼区間_相関係数から_比!$D$67</c:f>
                <c:numCache>
                  <c:formatCode>General</c:formatCode>
                  <c:ptCount val="1"/>
                  <c:pt idx="0">
                    <c:v>6.8000000000000005E-2</c:v>
                  </c:pt>
                </c:numCache>
              </c:numRef>
            </c:minus>
            <c:spPr>
              <a:noFill/>
              <a:ln w="9525" cap="flat" cmpd="sng" algn="ctr">
                <a:solidFill>
                  <a:schemeClr val="tx1">
                    <a:lumMod val="50000"/>
                    <a:lumOff val="50000"/>
                  </a:schemeClr>
                </a:solidFill>
                <a:round/>
              </a:ln>
              <a:effectLst/>
            </c:spPr>
          </c:errBars>
          <c:val>
            <c:numRef>
              <c:f>RD_信頼区間_相関係数から_比!$C$67</c:f>
              <c:numCache>
                <c:formatCode>General</c:formatCode>
                <c:ptCount val="1"/>
                <c:pt idx="0">
                  <c:v>0.1</c:v>
                </c:pt>
              </c:numCache>
            </c:numRef>
          </c:val>
          <c:extLst>
            <c:ext xmlns:c16="http://schemas.microsoft.com/office/drawing/2014/chart" uri="{C3380CC4-5D6E-409C-BE32-E72D297353CC}">
              <c16:uniqueId val="{00000000-E1AC-4420-ACC1-2AFF4208823D}"/>
            </c:ext>
          </c:extLst>
        </c:ser>
        <c:ser>
          <c:idx val="1"/>
          <c:order val="1"/>
          <c:tx>
            <c:strRef>
              <c:f>RD_信頼区間_相関係数から_比!$B$68</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RD_信頼区間_相関係数から_比!$E$68</c:f>
                <c:numCache>
                  <c:formatCode>General</c:formatCode>
                  <c:ptCount val="1"/>
                  <c:pt idx="0">
                    <c:v>1.1000000000000001</c:v>
                  </c:pt>
                </c:numCache>
              </c:numRef>
            </c:plus>
            <c:minus>
              <c:numRef>
                <c:f>RD_信頼区間_相関係数から_比!$D$68</c:f>
                <c:numCache>
                  <c:formatCode>General</c:formatCode>
                  <c:ptCount val="1"/>
                  <c:pt idx="0">
                    <c:v>0.22666666666666671</c:v>
                  </c:pt>
                </c:numCache>
              </c:numRef>
            </c:minus>
            <c:spPr>
              <a:noFill/>
              <a:ln w="9525" cap="flat" cmpd="sng" algn="ctr">
                <a:solidFill>
                  <a:schemeClr val="tx1">
                    <a:lumMod val="50000"/>
                    <a:lumOff val="50000"/>
                  </a:schemeClr>
                </a:solidFill>
                <a:round/>
              </a:ln>
              <a:effectLst/>
            </c:spPr>
          </c:errBars>
          <c:val>
            <c:numRef>
              <c:f>RD_信頼区間_相関係数から_比!$C$68</c:f>
              <c:numCache>
                <c:formatCode>General</c:formatCode>
                <c:ptCount val="1"/>
                <c:pt idx="0">
                  <c:v>-0.1</c:v>
                </c:pt>
              </c:numCache>
            </c:numRef>
          </c:val>
          <c:extLst>
            <c:ext xmlns:c16="http://schemas.microsoft.com/office/drawing/2014/chart" uri="{C3380CC4-5D6E-409C-BE32-E72D297353CC}">
              <c16:uniqueId val="{00000001-E1AC-4420-ACC1-2AFF4208823D}"/>
            </c:ext>
          </c:extLst>
        </c:ser>
        <c:ser>
          <c:idx val="2"/>
          <c:order val="2"/>
          <c:tx>
            <c:strRef>
              <c:f>RD_信頼区間_相関係数から_比!$B$69</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RD_信頼区間_相関係数から_比!$E$69</c:f>
                <c:numCache>
                  <c:formatCode>General</c:formatCode>
                  <c:ptCount val="1"/>
                  <c:pt idx="0">
                    <c:v>0.13600000000000001</c:v>
                  </c:pt>
                </c:numCache>
              </c:numRef>
            </c:plus>
            <c:minus>
              <c:numRef>
                <c:f>RD_信頼区間_相関係数から_比!$D$69</c:f>
                <c:numCache>
                  <c:formatCode>General</c:formatCode>
                  <c:ptCount val="1"/>
                  <c:pt idx="0">
                    <c:v>1.02</c:v>
                  </c:pt>
                </c:numCache>
              </c:numRef>
            </c:minus>
            <c:spPr>
              <a:noFill/>
              <a:ln w="9525" cap="flat" cmpd="sng" algn="ctr">
                <a:solidFill>
                  <a:schemeClr val="tx1">
                    <a:lumMod val="50000"/>
                    <a:lumOff val="50000"/>
                  </a:schemeClr>
                </a:solidFill>
                <a:round/>
              </a:ln>
              <a:effectLst/>
            </c:spPr>
          </c:errBars>
          <c:val>
            <c:numRef>
              <c:f>RD_信頼区間_相関係数から_比!$C$69</c:f>
              <c:numCache>
                <c:formatCode>General</c:formatCode>
                <c:ptCount val="1"/>
                <c:pt idx="0">
                  <c:v>0.02</c:v>
                </c:pt>
              </c:numCache>
            </c:numRef>
          </c:val>
          <c:extLst>
            <c:ext xmlns:c16="http://schemas.microsoft.com/office/drawing/2014/chart" uri="{C3380CC4-5D6E-409C-BE32-E72D297353CC}">
              <c16:uniqueId val="{00000002-E1AC-4420-ACC1-2AFF4208823D}"/>
            </c:ext>
          </c:extLst>
        </c:ser>
        <c:ser>
          <c:idx val="3"/>
          <c:order val="3"/>
          <c:tx>
            <c:strRef>
              <c:f>RD_信頼区間_相関係数から_比!$B$70</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RD_信頼区間_相関係数から_比!$E$70</c:f>
                <c:numCache>
                  <c:formatCode>General</c:formatCode>
                  <c:ptCount val="1"/>
                  <c:pt idx="0">
                    <c:v>0.34</c:v>
                  </c:pt>
                </c:numCache>
              </c:numRef>
            </c:plus>
            <c:minus>
              <c:numRef>
                <c:f>RD_信頼区間_相関係数から_比!$D$70</c:f>
                <c:numCache>
                  <c:formatCode>General</c:formatCode>
                  <c:ptCount val="1"/>
                  <c:pt idx="0">
                    <c:v>0.99</c:v>
                  </c:pt>
                </c:numCache>
              </c:numRef>
            </c:minus>
            <c:spPr>
              <a:noFill/>
              <a:ln w="9525" cap="flat" cmpd="sng" algn="ctr">
                <a:solidFill>
                  <a:schemeClr val="tx1">
                    <a:lumMod val="50000"/>
                    <a:lumOff val="50000"/>
                  </a:schemeClr>
                </a:solidFill>
                <a:round/>
              </a:ln>
              <a:effectLst/>
            </c:spPr>
          </c:errBars>
          <c:val>
            <c:numRef>
              <c:f>RD_信頼区間_相関係数から_比!$C$70</c:f>
              <c:numCache>
                <c:formatCode>General</c:formatCode>
                <c:ptCount val="1"/>
                <c:pt idx="0">
                  <c:v>-0.01</c:v>
                </c:pt>
              </c:numCache>
            </c:numRef>
          </c:val>
          <c:extLst>
            <c:ext xmlns:c16="http://schemas.microsoft.com/office/drawing/2014/chart" uri="{C3380CC4-5D6E-409C-BE32-E72D297353CC}">
              <c16:uniqueId val="{00000003-E1AC-4420-ACC1-2AFF4208823D}"/>
            </c:ext>
          </c:extLst>
        </c:ser>
        <c:ser>
          <c:idx val="4"/>
          <c:order val="4"/>
          <c:tx>
            <c:strRef>
              <c:f>RD_信頼区間_相関係数から_比!$B$71</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RD_信頼区間_相関係数から_比!$E$71</c:f>
                <c:numCache>
                  <c:formatCode>General</c:formatCode>
                  <c:ptCount val="1"/>
                  <c:pt idx="0">
                    <c:v>0.22666666666666668</c:v>
                  </c:pt>
                </c:numCache>
              </c:numRef>
            </c:plus>
            <c:minus>
              <c:numRef>
                <c:f>RD_信頼区間_相関係数から_比!$D$71</c:f>
                <c:numCache>
                  <c:formatCode>General</c:formatCode>
                  <c:ptCount val="1"/>
                  <c:pt idx="0">
                    <c:v>0.98</c:v>
                  </c:pt>
                </c:numCache>
              </c:numRef>
            </c:minus>
            <c:spPr>
              <a:noFill/>
              <a:ln w="9525" cap="flat" cmpd="sng" algn="ctr">
                <a:solidFill>
                  <a:schemeClr val="tx1">
                    <a:lumMod val="50000"/>
                    <a:lumOff val="50000"/>
                  </a:schemeClr>
                </a:solidFill>
                <a:round/>
              </a:ln>
              <a:effectLst/>
            </c:spPr>
          </c:errBars>
          <c:val>
            <c:numRef>
              <c:f>RD_信頼区間_相関係数から_比!$C$71</c:f>
              <c:numCache>
                <c:formatCode>General</c:formatCode>
                <c:ptCount val="1"/>
                <c:pt idx="0">
                  <c:v>-0.02</c:v>
                </c:pt>
              </c:numCache>
            </c:numRef>
          </c:val>
          <c:extLst xmlns:c15="http://schemas.microsoft.com/office/drawing/2012/chart">
            <c:ext xmlns:c16="http://schemas.microsoft.com/office/drawing/2014/chart" uri="{C3380CC4-5D6E-409C-BE32-E72D297353CC}">
              <c16:uniqueId val="{00000004-E1AC-4420-ACC1-2AFF4208823D}"/>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
          <c:min val="-1"/>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102018740870060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ltLang="en-US"/>
              <a:t>正味の益が反転しないアウトカムの重要度の範囲</a:t>
            </a:r>
            <a:endParaRPr lang="ja-JP"/>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RD_信頼区間_相関係数から_比!$B$82</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RD_信頼区間_相関係数から_比!$E$82</c:f>
                <c:numCache>
                  <c:formatCode>General</c:formatCode>
                  <c:ptCount val="1"/>
                  <c:pt idx="0">
                    <c:v>0</c:v>
                  </c:pt>
                </c:numCache>
              </c:numRef>
            </c:plus>
            <c:minus>
              <c:numRef>
                <c:f>RD_信頼区間_相関係数から_比!$D$82</c:f>
                <c:numCache>
                  <c:formatCode>General</c:formatCode>
                  <c:ptCount val="1"/>
                  <c:pt idx="0">
                    <c:v>68</c:v>
                  </c:pt>
                </c:numCache>
              </c:numRef>
            </c:minus>
            <c:spPr>
              <a:noFill/>
              <a:ln w="9525" cap="flat" cmpd="sng" algn="ctr">
                <a:solidFill>
                  <a:schemeClr val="tx1">
                    <a:lumMod val="50000"/>
                    <a:lumOff val="50000"/>
                  </a:schemeClr>
                </a:solidFill>
                <a:round/>
              </a:ln>
              <a:effectLst/>
            </c:spPr>
          </c:errBars>
          <c:val>
            <c:numRef>
              <c:f>RD_信頼区間_相関係数から_比!$C$82</c:f>
              <c:numCache>
                <c:formatCode>General</c:formatCode>
                <c:ptCount val="1"/>
                <c:pt idx="0">
                  <c:v>100</c:v>
                </c:pt>
              </c:numCache>
            </c:numRef>
          </c:val>
          <c:extLst>
            <c:ext xmlns:c16="http://schemas.microsoft.com/office/drawing/2014/chart" uri="{C3380CC4-5D6E-409C-BE32-E72D297353CC}">
              <c16:uniqueId val="{00000000-04FC-40FB-BA72-E6F3A68A0250}"/>
            </c:ext>
          </c:extLst>
        </c:ser>
        <c:ser>
          <c:idx val="1"/>
          <c:order val="1"/>
          <c:tx>
            <c:strRef>
              <c:f>RD_信頼区間_相関係数から_比!$B$83</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RD_信頼区間_相関係数から_比!$E$83</c:f>
                <c:numCache>
                  <c:formatCode>General</c:formatCode>
                  <c:ptCount val="1"/>
                  <c:pt idx="0">
                    <c:v>68</c:v>
                  </c:pt>
                </c:numCache>
              </c:numRef>
            </c:plus>
            <c:minus>
              <c:numRef>
                <c:f>RD_信頼区間_相関係数から_比!$D$83</c:f>
                <c:numCache>
                  <c:formatCode>General</c:formatCode>
                  <c:ptCount val="1"/>
                  <c:pt idx="0">
                    <c:v>30</c:v>
                  </c:pt>
                </c:numCache>
              </c:numRef>
            </c:minus>
            <c:spPr>
              <a:noFill/>
              <a:ln w="9525" cap="flat" cmpd="sng" algn="ctr">
                <a:solidFill>
                  <a:schemeClr val="tx1">
                    <a:lumMod val="50000"/>
                    <a:lumOff val="50000"/>
                  </a:schemeClr>
                </a:solidFill>
                <a:round/>
              </a:ln>
              <a:effectLst/>
            </c:spPr>
          </c:errBars>
          <c:val>
            <c:numRef>
              <c:f>RD_信頼区間_相関係数から_比!$C$83</c:f>
              <c:numCache>
                <c:formatCode>General</c:formatCode>
                <c:ptCount val="1"/>
                <c:pt idx="0">
                  <c:v>30</c:v>
                </c:pt>
              </c:numCache>
            </c:numRef>
          </c:val>
          <c:extLst>
            <c:ext xmlns:c16="http://schemas.microsoft.com/office/drawing/2014/chart" uri="{C3380CC4-5D6E-409C-BE32-E72D297353CC}">
              <c16:uniqueId val="{00000001-04FC-40FB-BA72-E6F3A68A0250}"/>
            </c:ext>
          </c:extLst>
        </c:ser>
        <c:ser>
          <c:idx val="2"/>
          <c:order val="2"/>
          <c:tx>
            <c:strRef>
              <c:f>RD_信頼区間_相関係数から_比!$B$84</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RD_信頼区間_相関係数から_比!$E$84</c:f>
                <c:numCache>
                  <c:formatCode>General</c:formatCode>
                  <c:ptCount val="1"/>
                  <c:pt idx="0">
                    <c:v>50</c:v>
                  </c:pt>
                </c:numCache>
              </c:numRef>
            </c:plus>
            <c:minus>
              <c:numRef>
                <c:f>RD_信頼区間_相関係数から_比!$D$84</c:f>
                <c:numCache>
                  <c:formatCode>General</c:formatCode>
                  <c:ptCount val="1"/>
                  <c:pt idx="0">
                    <c:v>50</c:v>
                  </c:pt>
                </c:numCache>
              </c:numRef>
            </c:minus>
            <c:spPr>
              <a:noFill/>
              <a:ln w="9525" cap="flat" cmpd="sng" algn="ctr">
                <a:solidFill>
                  <a:schemeClr val="tx1">
                    <a:lumMod val="50000"/>
                    <a:lumOff val="50000"/>
                  </a:schemeClr>
                </a:solidFill>
                <a:round/>
              </a:ln>
              <a:effectLst/>
            </c:spPr>
          </c:errBars>
          <c:val>
            <c:numRef>
              <c:f>RD_信頼区間_相関係数から_比!$C$84</c:f>
              <c:numCache>
                <c:formatCode>General</c:formatCode>
                <c:ptCount val="1"/>
                <c:pt idx="0">
                  <c:v>50</c:v>
                </c:pt>
              </c:numCache>
            </c:numRef>
          </c:val>
          <c:extLst>
            <c:ext xmlns:c16="http://schemas.microsoft.com/office/drawing/2014/chart" uri="{C3380CC4-5D6E-409C-BE32-E72D297353CC}">
              <c16:uniqueId val="{00000002-04FC-40FB-BA72-E6F3A68A0250}"/>
            </c:ext>
          </c:extLst>
        </c:ser>
        <c:ser>
          <c:idx val="3"/>
          <c:order val="3"/>
          <c:tx>
            <c:strRef>
              <c:f>RD_信頼区間_相関係数から_比!$B$85</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RD_信頼区間_相関係数から_比!$E$85</c:f>
                <c:numCache>
                  <c:formatCode>General</c:formatCode>
                  <c:ptCount val="1"/>
                  <c:pt idx="0">
                    <c:v>80</c:v>
                  </c:pt>
                </c:numCache>
              </c:numRef>
            </c:plus>
            <c:minus>
              <c:numRef>
                <c:f>RD_信頼区間_相関係数から_比!$D$85</c:f>
                <c:numCache>
                  <c:formatCode>General</c:formatCode>
                  <c:ptCount val="1"/>
                  <c:pt idx="0">
                    <c:v>20</c:v>
                  </c:pt>
                </c:numCache>
              </c:numRef>
            </c:minus>
            <c:spPr>
              <a:noFill/>
              <a:ln w="9525" cap="flat" cmpd="sng" algn="ctr">
                <a:solidFill>
                  <a:schemeClr val="tx1">
                    <a:lumMod val="50000"/>
                    <a:lumOff val="50000"/>
                  </a:schemeClr>
                </a:solidFill>
                <a:round/>
              </a:ln>
              <a:effectLst/>
            </c:spPr>
          </c:errBars>
          <c:val>
            <c:numRef>
              <c:f>RD_信頼区間_相関係数から_比!$C$85</c:f>
              <c:numCache>
                <c:formatCode>General</c:formatCode>
                <c:ptCount val="1"/>
                <c:pt idx="0">
                  <c:v>20</c:v>
                </c:pt>
              </c:numCache>
            </c:numRef>
          </c:val>
          <c:extLst>
            <c:ext xmlns:c16="http://schemas.microsoft.com/office/drawing/2014/chart" uri="{C3380CC4-5D6E-409C-BE32-E72D297353CC}">
              <c16:uniqueId val="{00000003-04FC-40FB-BA72-E6F3A68A0250}"/>
            </c:ext>
          </c:extLst>
        </c:ser>
        <c:ser>
          <c:idx val="4"/>
          <c:order val="4"/>
          <c:tx>
            <c:strRef>
              <c:f>RD_信頼区間_相関係数から_比!$B$86</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RD_信頼区間_相関係数から_比!$E$86</c:f>
                <c:numCache>
                  <c:formatCode>General</c:formatCode>
                  <c:ptCount val="1"/>
                  <c:pt idx="0">
                    <c:v>70</c:v>
                  </c:pt>
                </c:numCache>
              </c:numRef>
            </c:plus>
            <c:minus>
              <c:numRef>
                <c:f>RD_信頼区間_相関係数から_比!$D$86</c:f>
                <c:numCache>
                  <c:formatCode>General</c:formatCode>
                  <c:ptCount val="1"/>
                  <c:pt idx="0">
                    <c:v>30</c:v>
                  </c:pt>
                </c:numCache>
              </c:numRef>
            </c:minus>
            <c:spPr>
              <a:noFill/>
              <a:ln w="9525" cap="flat" cmpd="sng" algn="ctr">
                <a:solidFill>
                  <a:schemeClr val="tx1">
                    <a:lumMod val="50000"/>
                    <a:lumOff val="50000"/>
                  </a:schemeClr>
                </a:solidFill>
                <a:round/>
              </a:ln>
              <a:effectLst/>
            </c:spPr>
          </c:errBars>
          <c:val>
            <c:numRef>
              <c:f>RD_信頼区間_相関係数から_比!$C$86</c:f>
              <c:numCache>
                <c:formatCode>General</c:formatCode>
                <c:ptCount val="1"/>
                <c:pt idx="0">
                  <c:v>30</c:v>
                </c:pt>
              </c:numCache>
            </c:numRef>
          </c:val>
          <c:extLst xmlns:c15="http://schemas.microsoft.com/office/drawing/2012/chart">
            <c:ext xmlns:c16="http://schemas.microsoft.com/office/drawing/2014/chart" uri="{C3380CC4-5D6E-409C-BE32-E72D297353CC}">
              <c16:uniqueId val="{00000004-04FC-40FB-BA72-E6F3A68A0250}"/>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0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アウトカムの重要度</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102018740870060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t>アウトカムの重要</a:t>
            </a:r>
            <a:r>
              <a:rPr lang="ja-JP" altLang="en-US"/>
              <a:t>度</a:t>
            </a:r>
            <a:r>
              <a:rPr lang="ja-JP"/>
              <a:t>で未調整 効果推定値</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RD_信頼区間_相関係数から_標準化!$B$35</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RD_信頼区間_相関係数から_標準化!$D$35</c:f>
                <c:numCache>
                  <c:formatCode>General</c:formatCode>
                  <c:ptCount val="1"/>
                  <c:pt idx="0">
                    <c:v>0.05</c:v>
                  </c:pt>
                </c:numCache>
              </c:numRef>
            </c:plus>
            <c:minus>
              <c:numRef>
                <c:f>RD_信頼区間_相関係数から_標準化!$D$35</c:f>
                <c:numCache>
                  <c:formatCode>General</c:formatCode>
                  <c:ptCount val="1"/>
                  <c:pt idx="0">
                    <c:v>0.05</c:v>
                  </c:pt>
                </c:numCache>
              </c:numRef>
            </c:minus>
            <c:spPr>
              <a:noFill/>
              <a:ln w="9525" cap="flat" cmpd="sng" algn="ctr">
                <a:solidFill>
                  <a:schemeClr val="tx1">
                    <a:lumMod val="50000"/>
                    <a:lumOff val="50000"/>
                  </a:schemeClr>
                </a:solidFill>
                <a:round/>
              </a:ln>
              <a:effectLst/>
            </c:spPr>
          </c:errBars>
          <c:val>
            <c:numRef>
              <c:f>RD_信頼区間_相関係数から_標準化!$C$35</c:f>
              <c:numCache>
                <c:formatCode>General</c:formatCode>
                <c:ptCount val="1"/>
                <c:pt idx="0">
                  <c:v>0.1</c:v>
                </c:pt>
              </c:numCache>
            </c:numRef>
          </c:val>
          <c:extLst>
            <c:ext xmlns:c16="http://schemas.microsoft.com/office/drawing/2014/chart" uri="{C3380CC4-5D6E-409C-BE32-E72D297353CC}">
              <c16:uniqueId val="{00000000-1936-4FA8-85A2-722319AC5396}"/>
            </c:ext>
          </c:extLst>
        </c:ser>
        <c:ser>
          <c:idx val="1"/>
          <c:order val="1"/>
          <c:tx>
            <c:strRef>
              <c:f>RD_信頼区間_相関係数から_標準化!$B$36</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RD_信頼区間_相関係数から_標準化!$D$36</c:f>
                <c:numCache>
                  <c:formatCode>General</c:formatCode>
                  <c:ptCount val="1"/>
                  <c:pt idx="0">
                    <c:v>0.06</c:v>
                  </c:pt>
                </c:numCache>
              </c:numRef>
            </c:plus>
            <c:minus>
              <c:numRef>
                <c:f>RD_信頼区間_相関係数から_標準化!$D$36</c:f>
                <c:numCache>
                  <c:formatCode>General</c:formatCode>
                  <c:ptCount val="1"/>
                  <c:pt idx="0">
                    <c:v>0.06</c:v>
                  </c:pt>
                </c:numCache>
              </c:numRef>
            </c:minus>
            <c:spPr>
              <a:noFill/>
              <a:ln w="9525" cap="flat" cmpd="sng" algn="ctr">
                <a:solidFill>
                  <a:schemeClr val="tx1">
                    <a:lumMod val="50000"/>
                    <a:lumOff val="50000"/>
                  </a:schemeClr>
                </a:solidFill>
                <a:round/>
              </a:ln>
              <a:effectLst/>
            </c:spPr>
          </c:errBars>
          <c:val>
            <c:numRef>
              <c:f>RD_信頼区間_相関係数から_標準化!$C$36</c:f>
              <c:numCache>
                <c:formatCode>General</c:formatCode>
                <c:ptCount val="1"/>
                <c:pt idx="0">
                  <c:v>-0.1</c:v>
                </c:pt>
              </c:numCache>
            </c:numRef>
          </c:val>
          <c:extLst>
            <c:ext xmlns:c16="http://schemas.microsoft.com/office/drawing/2014/chart" uri="{C3380CC4-5D6E-409C-BE32-E72D297353CC}">
              <c16:uniqueId val="{00000001-1936-4FA8-85A2-722319AC5396}"/>
            </c:ext>
          </c:extLst>
        </c:ser>
        <c:ser>
          <c:idx val="2"/>
          <c:order val="2"/>
          <c:tx>
            <c:strRef>
              <c:f>RD_信頼区間_相関係数から_標準化!$B$37</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RD_信頼区間_相関係数から_標準化!$D$37</c:f>
                <c:numCache>
                  <c:formatCode>General</c:formatCode>
                  <c:ptCount val="1"/>
                  <c:pt idx="0">
                    <c:v>9.0000000000000011E-3</c:v>
                  </c:pt>
                </c:numCache>
              </c:numRef>
            </c:plus>
            <c:minus>
              <c:numRef>
                <c:f>RD_信頼区間_相関係数から_標準化!$D$37</c:f>
                <c:numCache>
                  <c:formatCode>General</c:formatCode>
                  <c:ptCount val="1"/>
                  <c:pt idx="0">
                    <c:v>9.0000000000000011E-3</c:v>
                  </c:pt>
                </c:numCache>
              </c:numRef>
            </c:minus>
            <c:spPr>
              <a:noFill/>
              <a:ln w="9525" cap="flat" cmpd="sng" algn="ctr">
                <a:solidFill>
                  <a:schemeClr val="tx1">
                    <a:lumMod val="50000"/>
                    <a:lumOff val="50000"/>
                  </a:schemeClr>
                </a:solidFill>
                <a:round/>
              </a:ln>
              <a:effectLst/>
            </c:spPr>
          </c:errBars>
          <c:val>
            <c:numRef>
              <c:f>RD_信頼区間_相関係数から_標準化!$C$37</c:f>
              <c:numCache>
                <c:formatCode>General</c:formatCode>
                <c:ptCount val="1"/>
                <c:pt idx="0">
                  <c:v>-0.02</c:v>
                </c:pt>
              </c:numCache>
            </c:numRef>
          </c:val>
          <c:extLst>
            <c:ext xmlns:c16="http://schemas.microsoft.com/office/drawing/2014/chart" uri="{C3380CC4-5D6E-409C-BE32-E72D297353CC}">
              <c16:uniqueId val="{00000002-1936-4FA8-85A2-722319AC5396}"/>
            </c:ext>
          </c:extLst>
        </c:ser>
        <c:ser>
          <c:idx val="3"/>
          <c:order val="3"/>
          <c:tx>
            <c:strRef>
              <c:f>RD_信頼区間_相関係数から_標準化!$B$38</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RD_信頼区間_相関係数から_標準化!$D$38</c:f>
                <c:numCache>
                  <c:formatCode>General</c:formatCode>
                  <c:ptCount val="1"/>
                  <c:pt idx="0">
                    <c:v>1.9999999999999997E-2</c:v>
                  </c:pt>
                </c:numCache>
              </c:numRef>
            </c:plus>
            <c:minus>
              <c:numRef>
                <c:f>RD_信頼区間_相関係数から_標準化!$D$38</c:f>
                <c:numCache>
                  <c:formatCode>General</c:formatCode>
                  <c:ptCount val="1"/>
                  <c:pt idx="0">
                    <c:v>1.9999999999999997E-2</c:v>
                  </c:pt>
                </c:numCache>
              </c:numRef>
            </c:minus>
            <c:spPr>
              <a:noFill/>
              <a:ln w="9525" cap="flat" cmpd="sng" algn="ctr">
                <a:solidFill>
                  <a:schemeClr val="tx1">
                    <a:lumMod val="50000"/>
                    <a:lumOff val="50000"/>
                  </a:schemeClr>
                </a:solidFill>
                <a:round/>
              </a:ln>
              <a:effectLst/>
            </c:spPr>
          </c:errBars>
          <c:val>
            <c:numRef>
              <c:f>RD_信頼区間_相関係数から_標準化!$C$38</c:f>
              <c:numCache>
                <c:formatCode>General</c:formatCode>
                <c:ptCount val="1"/>
                <c:pt idx="0">
                  <c:v>0.01</c:v>
                </c:pt>
              </c:numCache>
            </c:numRef>
          </c:val>
          <c:extLst>
            <c:ext xmlns:c16="http://schemas.microsoft.com/office/drawing/2014/chart" uri="{C3380CC4-5D6E-409C-BE32-E72D297353CC}">
              <c16:uniqueId val="{00000003-1936-4FA8-85A2-722319AC5396}"/>
            </c:ext>
          </c:extLst>
        </c:ser>
        <c:ser>
          <c:idx val="4"/>
          <c:order val="4"/>
          <c:tx>
            <c:strRef>
              <c:f>RD_信頼区間_相関係数から_標準化!$B$39</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RD_信頼区間_相関係数から_標準化!$D$39</c:f>
                <c:numCache>
                  <c:formatCode>General</c:formatCode>
                  <c:ptCount val="1"/>
                  <c:pt idx="0">
                    <c:v>3.9999999999999994E-2</c:v>
                  </c:pt>
                </c:numCache>
              </c:numRef>
            </c:plus>
            <c:minus>
              <c:numRef>
                <c:f>RD_信頼区間_相関係数から_標準化!$D$39</c:f>
                <c:numCache>
                  <c:formatCode>General</c:formatCode>
                  <c:ptCount val="1"/>
                  <c:pt idx="0">
                    <c:v>3.9999999999999994E-2</c:v>
                  </c:pt>
                </c:numCache>
              </c:numRef>
            </c:minus>
            <c:spPr>
              <a:noFill/>
              <a:ln w="9525" cap="flat" cmpd="sng" algn="ctr">
                <a:solidFill>
                  <a:schemeClr val="tx1">
                    <a:lumMod val="50000"/>
                    <a:lumOff val="50000"/>
                  </a:schemeClr>
                </a:solidFill>
                <a:round/>
              </a:ln>
              <a:effectLst/>
            </c:spPr>
          </c:errBars>
          <c:val>
            <c:numRef>
              <c:f>RD_信頼区間_相関係数から_標準化!$C$39</c:f>
              <c:numCache>
                <c:formatCode>General</c:formatCode>
                <c:ptCount val="1"/>
                <c:pt idx="0">
                  <c:v>0.02</c:v>
                </c:pt>
              </c:numCache>
            </c:numRef>
          </c:val>
          <c:extLst xmlns:c15="http://schemas.microsoft.com/office/drawing/2012/chart">
            <c:ext xmlns:c16="http://schemas.microsoft.com/office/drawing/2014/chart" uri="{C3380CC4-5D6E-409C-BE32-E72D297353CC}">
              <c16:uniqueId val="{00000004-1936-4FA8-85A2-722319AC5396}"/>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0.2"/>
          <c:min val="-0.2"/>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102018740870060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t>アウトカムの重要</a:t>
            </a:r>
            <a:r>
              <a:rPr lang="ja-JP" altLang="en-US"/>
              <a:t>度</a:t>
            </a:r>
            <a:r>
              <a:rPr lang="ja-JP"/>
              <a:t>で調整</a:t>
            </a:r>
            <a:r>
              <a:rPr lang="ja-JP" altLang="en-US"/>
              <a:t>後</a:t>
            </a:r>
            <a:r>
              <a:rPr lang="ja-JP"/>
              <a:t> 効果推定値</a:t>
            </a:r>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RD_信頼区間_相関係数から_標準化!$B$51</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RD_信頼区間_相関係数から_標準化!$D$51</c:f>
                <c:numCache>
                  <c:formatCode>General</c:formatCode>
                  <c:ptCount val="1"/>
                  <c:pt idx="0">
                    <c:v>2.1739130434782608E-2</c:v>
                  </c:pt>
                </c:numCache>
              </c:numRef>
            </c:plus>
            <c:minus>
              <c:numRef>
                <c:f>RD_信頼区間_相関係数から_標準化!$D$51</c:f>
                <c:numCache>
                  <c:formatCode>General</c:formatCode>
                  <c:ptCount val="1"/>
                  <c:pt idx="0">
                    <c:v>2.1739130434782608E-2</c:v>
                  </c:pt>
                </c:numCache>
              </c:numRef>
            </c:minus>
            <c:spPr>
              <a:noFill/>
              <a:ln w="9525" cap="flat" cmpd="sng" algn="ctr">
                <a:solidFill>
                  <a:schemeClr val="tx1">
                    <a:lumMod val="50000"/>
                    <a:lumOff val="50000"/>
                  </a:schemeClr>
                </a:solidFill>
                <a:round/>
              </a:ln>
              <a:effectLst/>
            </c:spPr>
          </c:errBars>
          <c:val>
            <c:numRef>
              <c:f>RD_信頼区間_相関係数から_標準化!$C$51</c:f>
              <c:numCache>
                <c:formatCode>General</c:formatCode>
                <c:ptCount val="1"/>
                <c:pt idx="0">
                  <c:v>4.3478260869565216E-2</c:v>
                </c:pt>
              </c:numCache>
            </c:numRef>
          </c:val>
          <c:extLst>
            <c:ext xmlns:c16="http://schemas.microsoft.com/office/drawing/2014/chart" uri="{C3380CC4-5D6E-409C-BE32-E72D297353CC}">
              <c16:uniqueId val="{00000000-0C31-4575-8F1C-10ECC5E3A0A4}"/>
            </c:ext>
          </c:extLst>
        </c:ser>
        <c:ser>
          <c:idx val="1"/>
          <c:order val="1"/>
          <c:tx>
            <c:strRef>
              <c:f>RD_信頼区間_相関係数から_標準化!$B$52</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RD_信頼区間_相関係数から_標準化!$D$52</c:f>
                <c:numCache>
                  <c:formatCode>General</c:formatCode>
                  <c:ptCount val="1"/>
                  <c:pt idx="0">
                    <c:v>7.826086956521738E-3</c:v>
                  </c:pt>
                </c:numCache>
              </c:numRef>
            </c:plus>
            <c:minus>
              <c:numRef>
                <c:f>RD_信頼区間_相関係数から_標準化!$D$52</c:f>
                <c:numCache>
                  <c:formatCode>General</c:formatCode>
                  <c:ptCount val="1"/>
                  <c:pt idx="0">
                    <c:v>7.826086956521738E-3</c:v>
                  </c:pt>
                </c:numCache>
              </c:numRef>
            </c:minus>
            <c:spPr>
              <a:noFill/>
              <a:ln w="9525" cap="flat" cmpd="sng" algn="ctr">
                <a:solidFill>
                  <a:schemeClr val="tx1">
                    <a:lumMod val="50000"/>
                    <a:lumOff val="50000"/>
                  </a:schemeClr>
                </a:solidFill>
                <a:round/>
              </a:ln>
              <a:effectLst/>
            </c:spPr>
          </c:errBars>
          <c:val>
            <c:numRef>
              <c:f>RD_信頼区間_相関係数から_標準化!$C$52</c:f>
              <c:numCache>
                <c:formatCode>General</c:formatCode>
                <c:ptCount val="1"/>
                <c:pt idx="0">
                  <c:v>-1.3043478260869566E-2</c:v>
                </c:pt>
              </c:numCache>
            </c:numRef>
          </c:val>
          <c:extLst>
            <c:ext xmlns:c16="http://schemas.microsoft.com/office/drawing/2014/chart" uri="{C3380CC4-5D6E-409C-BE32-E72D297353CC}">
              <c16:uniqueId val="{00000001-0C31-4575-8F1C-10ECC5E3A0A4}"/>
            </c:ext>
          </c:extLst>
        </c:ser>
        <c:ser>
          <c:idx val="2"/>
          <c:order val="2"/>
          <c:tx>
            <c:strRef>
              <c:f>RD_信頼区間_相関係数から_標準化!$B$53</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RD_信頼区間_相関係数から_標準化!$D$53</c:f>
                <c:numCache>
                  <c:formatCode>General</c:formatCode>
                  <c:ptCount val="1"/>
                  <c:pt idx="0">
                    <c:v>1.9565217391304349E-3</c:v>
                  </c:pt>
                </c:numCache>
              </c:numRef>
            </c:plus>
            <c:minus>
              <c:numRef>
                <c:f>RD_信頼区間_相関係数から_標準化!$D$53</c:f>
                <c:numCache>
                  <c:formatCode>General</c:formatCode>
                  <c:ptCount val="1"/>
                  <c:pt idx="0">
                    <c:v>1.9565217391304349E-3</c:v>
                  </c:pt>
                </c:numCache>
              </c:numRef>
            </c:minus>
            <c:spPr>
              <a:noFill/>
              <a:ln w="9525" cap="flat" cmpd="sng" algn="ctr">
                <a:solidFill>
                  <a:schemeClr val="tx1">
                    <a:lumMod val="50000"/>
                    <a:lumOff val="50000"/>
                  </a:schemeClr>
                </a:solidFill>
                <a:round/>
              </a:ln>
              <a:effectLst/>
            </c:spPr>
          </c:errBars>
          <c:val>
            <c:numRef>
              <c:f>RD_信頼区間_相関係数から_標準化!$C$53</c:f>
              <c:numCache>
                <c:formatCode>General</c:formatCode>
                <c:ptCount val="1"/>
                <c:pt idx="0">
                  <c:v>-4.3478260869565218E-3</c:v>
                </c:pt>
              </c:numCache>
            </c:numRef>
          </c:val>
          <c:extLst>
            <c:ext xmlns:c16="http://schemas.microsoft.com/office/drawing/2014/chart" uri="{C3380CC4-5D6E-409C-BE32-E72D297353CC}">
              <c16:uniqueId val="{00000002-0C31-4575-8F1C-10ECC5E3A0A4}"/>
            </c:ext>
          </c:extLst>
        </c:ser>
        <c:ser>
          <c:idx val="3"/>
          <c:order val="3"/>
          <c:tx>
            <c:strRef>
              <c:f>RD_信頼区間_相関係数から_標準化!$B$54</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RD_信頼区間_相関係数から_標準化!$D$54</c:f>
                <c:numCache>
                  <c:formatCode>General</c:formatCode>
                  <c:ptCount val="1"/>
                  <c:pt idx="0">
                    <c:v>1.7391304347826083E-3</c:v>
                  </c:pt>
                </c:numCache>
              </c:numRef>
            </c:plus>
            <c:minus>
              <c:numRef>
                <c:f>RD_信頼区間_相関係数から_標準化!$D$54</c:f>
                <c:numCache>
                  <c:formatCode>General</c:formatCode>
                  <c:ptCount val="1"/>
                  <c:pt idx="0">
                    <c:v>1.7391304347826083E-3</c:v>
                  </c:pt>
                </c:numCache>
              </c:numRef>
            </c:minus>
            <c:spPr>
              <a:noFill/>
              <a:ln w="9525" cap="flat" cmpd="sng" algn="ctr">
                <a:solidFill>
                  <a:schemeClr val="tx1">
                    <a:lumMod val="50000"/>
                    <a:lumOff val="50000"/>
                  </a:schemeClr>
                </a:solidFill>
                <a:round/>
              </a:ln>
              <a:effectLst/>
            </c:spPr>
          </c:errBars>
          <c:val>
            <c:numRef>
              <c:f>RD_信頼区間_相関係数から_標準化!$C$54</c:f>
              <c:numCache>
                <c:formatCode>General</c:formatCode>
                <c:ptCount val="1"/>
                <c:pt idx="0">
                  <c:v>8.6956521739130438E-4</c:v>
                </c:pt>
              </c:numCache>
            </c:numRef>
          </c:val>
          <c:extLst>
            <c:ext xmlns:c16="http://schemas.microsoft.com/office/drawing/2014/chart" uri="{C3380CC4-5D6E-409C-BE32-E72D297353CC}">
              <c16:uniqueId val="{00000003-0C31-4575-8F1C-10ECC5E3A0A4}"/>
            </c:ext>
          </c:extLst>
        </c:ser>
        <c:ser>
          <c:idx val="4"/>
          <c:order val="4"/>
          <c:tx>
            <c:strRef>
              <c:f>RD_信頼区間_相関係数から_標準化!$B$55</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RD_信頼区間_相関係数から_標準化!$D$55</c:f>
                <c:numCache>
                  <c:formatCode>General</c:formatCode>
                  <c:ptCount val="1"/>
                  <c:pt idx="0">
                    <c:v>5.2173913043478248E-3</c:v>
                  </c:pt>
                </c:numCache>
              </c:numRef>
            </c:plus>
            <c:minus>
              <c:numRef>
                <c:f>RD_信頼区間_相関係数から_標準化!$D$55</c:f>
                <c:numCache>
                  <c:formatCode>General</c:formatCode>
                  <c:ptCount val="1"/>
                  <c:pt idx="0">
                    <c:v>5.2173913043478248E-3</c:v>
                  </c:pt>
                </c:numCache>
              </c:numRef>
            </c:minus>
            <c:spPr>
              <a:noFill/>
              <a:ln w="9525" cap="flat" cmpd="sng" algn="ctr">
                <a:solidFill>
                  <a:schemeClr val="tx1">
                    <a:lumMod val="50000"/>
                    <a:lumOff val="50000"/>
                  </a:schemeClr>
                </a:solidFill>
                <a:round/>
              </a:ln>
              <a:effectLst/>
            </c:spPr>
          </c:errBars>
          <c:val>
            <c:numRef>
              <c:f>RD_信頼区間_相関係数から_標準化!$C$55</c:f>
              <c:numCache>
                <c:formatCode>General</c:formatCode>
                <c:ptCount val="1"/>
                <c:pt idx="0">
                  <c:v>2.6086956521739128E-3</c:v>
                </c:pt>
              </c:numCache>
            </c:numRef>
          </c:val>
          <c:extLst xmlns:c15="http://schemas.microsoft.com/office/drawing/2012/chart">
            <c:ext xmlns:c16="http://schemas.microsoft.com/office/drawing/2014/chart" uri="{C3380CC4-5D6E-409C-BE32-E72D297353CC}">
              <c16:uniqueId val="{00000004-0C31-4575-8F1C-10ECC5E3A0A4}"/>
            </c:ext>
          </c:extLst>
        </c:ser>
        <c:ser>
          <c:idx val="5"/>
          <c:order val="5"/>
          <c:tx>
            <c:strRef>
              <c:f>RD_信頼区間_相関係数から_標準化!$B$61</c:f>
              <c:strCache>
                <c:ptCount val="1"/>
                <c:pt idx="0">
                  <c:v>正味の益</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25400" cap="flat" cmpd="sng" algn="ctr">
              <a:solidFill>
                <a:schemeClr val="accent6"/>
              </a:solidFill>
              <a:miter lim="800000"/>
            </a:ln>
            <a:effectLst/>
          </c:spPr>
          <c:invertIfNegative val="0"/>
          <c:errBars>
            <c:errBarType val="both"/>
            <c:errValType val="cust"/>
            <c:noEndCap val="0"/>
            <c:plus>
              <c:numRef>
                <c:f>RD_信頼区間_相関係数から_標準化!$D$61</c:f>
                <c:numCache>
                  <c:formatCode>General</c:formatCode>
                  <c:ptCount val="1"/>
                  <c:pt idx="0">
                    <c:v>2.7932710124440673E-2</c:v>
                  </c:pt>
                </c:numCache>
              </c:numRef>
            </c:plus>
            <c:minus>
              <c:numRef>
                <c:f>RD_信頼区間_相関係数から_標準化!$D$61</c:f>
                <c:numCache>
                  <c:formatCode>General</c:formatCode>
                  <c:ptCount val="1"/>
                  <c:pt idx="0">
                    <c:v>2.7932710124440673E-2</c:v>
                  </c:pt>
                </c:numCache>
              </c:numRef>
            </c:minus>
            <c:spPr>
              <a:noFill/>
              <a:ln w="9525" cap="flat" cmpd="sng" algn="ctr">
                <a:solidFill>
                  <a:schemeClr val="tx1">
                    <a:lumMod val="50000"/>
                    <a:lumOff val="50000"/>
                  </a:schemeClr>
                </a:solidFill>
                <a:round/>
              </a:ln>
              <a:effectLst/>
            </c:spPr>
          </c:errBars>
          <c:val>
            <c:numRef>
              <c:f>RD_信頼区間_相関係数から_標準化!$C$61</c:f>
              <c:numCache>
                <c:formatCode>General</c:formatCode>
                <c:ptCount val="1"/>
                <c:pt idx="0">
                  <c:v>2.9565217391304348E-2</c:v>
                </c:pt>
              </c:numCache>
            </c:numRef>
          </c:val>
          <c:extLst>
            <c:ext xmlns:c16="http://schemas.microsoft.com/office/drawing/2014/chart" uri="{C3380CC4-5D6E-409C-BE32-E72D297353CC}">
              <c16:uniqueId val="{00000005-0C31-4575-8F1C-10ECC5E3A0A4}"/>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0.2"/>
          <c:min val="-0.2"/>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0997939963680553"/>
          <c:h val="0.41458704243806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ltLang="en-US"/>
              <a:t>正味の益が反転しない効果推定値の範囲</a:t>
            </a:r>
            <a:endParaRPr lang="ja-JP"/>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RD_信頼区間_相関係数から_標準化!$B$67</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RD_信頼区間_相関係数から_標準化!$E$67</c:f>
                <c:numCache>
                  <c:formatCode>General</c:formatCode>
                  <c:ptCount val="1"/>
                  <c:pt idx="0">
                    <c:v>0.9</c:v>
                  </c:pt>
                </c:numCache>
              </c:numRef>
            </c:plus>
            <c:minus>
              <c:numRef>
                <c:f>RD_信頼区間_相関係数から_標準化!$D$67</c:f>
                <c:numCache>
                  <c:formatCode>General</c:formatCode>
                  <c:ptCount val="1"/>
                  <c:pt idx="0">
                    <c:v>6.8000000000000005E-2</c:v>
                  </c:pt>
                </c:numCache>
              </c:numRef>
            </c:minus>
            <c:spPr>
              <a:noFill/>
              <a:ln w="9525" cap="flat" cmpd="sng" algn="ctr">
                <a:solidFill>
                  <a:schemeClr val="tx1">
                    <a:lumMod val="50000"/>
                    <a:lumOff val="50000"/>
                  </a:schemeClr>
                </a:solidFill>
                <a:round/>
              </a:ln>
              <a:effectLst/>
            </c:spPr>
          </c:errBars>
          <c:val>
            <c:numRef>
              <c:f>RD_信頼区間_相関係数から_標準化!$C$67</c:f>
              <c:numCache>
                <c:formatCode>General</c:formatCode>
                <c:ptCount val="1"/>
                <c:pt idx="0">
                  <c:v>0.1</c:v>
                </c:pt>
              </c:numCache>
            </c:numRef>
          </c:val>
          <c:extLst>
            <c:ext xmlns:c16="http://schemas.microsoft.com/office/drawing/2014/chart" uri="{C3380CC4-5D6E-409C-BE32-E72D297353CC}">
              <c16:uniqueId val="{00000000-95C8-4099-82F3-99154281EAD7}"/>
            </c:ext>
          </c:extLst>
        </c:ser>
        <c:ser>
          <c:idx val="1"/>
          <c:order val="1"/>
          <c:tx>
            <c:strRef>
              <c:f>RD_信頼区間_相関係数から_標準化!$B$68</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RD_信頼区間_相関係数から_標準化!$E$68</c:f>
                <c:numCache>
                  <c:formatCode>General</c:formatCode>
                  <c:ptCount val="1"/>
                  <c:pt idx="0">
                    <c:v>1.1000000000000001</c:v>
                  </c:pt>
                </c:numCache>
              </c:numRef>
            </c:plus>
            <c:minus>
              <c:numRef>
                <c:f>RD_信頼区間_相関係数から_標準化!$D$68</c:f>
                <c:numCache>
                  <c:formatCode>General</c:formatCode>
                  <c:ptCount val="1"/>
                  <c:pt idx="0">
                    <c:v>0.22666666666666666</c:v>
                  </c:pt>
                </c:numCache>
              </c:numRef>
            </c:minus>
            <c:spPr>
              <a:noFill/>
              <a:ln w="9525" cap="flat" cmpd="sng" algn="ctr">
                <a:solidFill>
                  <a:schemeClr val="tx1">
                    <a:lumMod val="50000"/>
                    <a:lumOff val="50000"/>
                  </a:schemeClr>
                </a:solidFill>
                <a:round/>
              </a:ln>
              <a:effectLst/>
            </c:spPr>
          </c:errBars>
          <c:val>
            <c:numRef>
              <c:f>RD_信頼区間_相関係数から_標準化!$C$68</c:f>
              <c:numCache>
                <c:formatCode>General</c:formatCode>
                <c:ptCount val="1"/>
                <c:pt idx="0">
                  <c:v>-0.1</c:v>
                </c:pt>
              </c:numCache>
            </c:numRef>
          </c:val>
          <c:extLst>
            <c:ext xmlns:c16="http://schemas.microsoft.com/office/drawing/2014/chart" uri="{C3380CC4-5D6E-409C-BE32-E72D297353CC}">
              <c16:uniqueId val="{00000001-95C8-4099-82F3-99154281EAD7}"/>
            </c:ext>
          </c:extLst>
        </c:ser>
        <c:ser>
          <c:idx val="2"/>
          <c:order val="2"/>
          <c:tx>
            <c:strRef>
              <c:f>RD_信頼区間_相関係数から_標準化!$B$69</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RD_信頼区間_相関係数から_標準化!$E$69</c:f>
                <c:numCache>
                  <c:formatCode>General</c:formatCode>
                  <c:ptCount val="1"/>
                  <c:pt idx="0">
                    <c:v>0.13600000000000004</c:v>
                  </c:pt>
                </c:numCache>
              </c:numRef>
            </c:plus>
            <c:minus>
              <c:numRef>
                <c:f>RD_信頼区間_相関係数から_標準化!$D$69</c:f>
                <c:numCache>
                  <c:formatCode>General</c:formatCode>
                  <c:ptCount val="1"/>
                  <c:pt idx="0">
                    <c:v>1.02</c:v>
                  </c:pt>
                </c:numCache>
              </c:numRef>
            </c:minus>
            <c:spPr>
              <a:noFill/>
              <a:ln w="9525" cap="flat" cmpd="sng" algn="ctr">
                <a:solidFill>
                  <a:schemeClr val="tx1">
                    <a:lumMod val="50000"/>
                    <a:lumOff val="50000"/>
                  </a:schemeClr>
                </a:solidFill>
                <a:round/>
              </a:ln>
              <a:effectLst/>
            </c:spPr>
          </c:errBars>
          <c:val>
            <c:numRef>
              <c:f>RD_信頼区間_相関係数から_標準化!$C$69</c:f>
              <c:numCache>
                <c:formatCode>General</c:formatCode>
                <c:ptCount val="1"/>
                <c:pt idx="0">
                  <c:v>0.02</c:v>
                </c:pt>
              </c:numCache>
            </c:numRef>
          </c:val>
          <c:extLst>
            <c:ext xmlns:c16="http://schemas.microsoft.com/office/drawing/2014/chart" uri="{C3380CC4-5D6E-409C-BE32-E72D297353CC}">
              <c16:uniqueId val="{00000002-95C8-4099-82F3-99154281EAD7}"/>
            </c:ext>
          </c:extLst>
        </c:ser>
        <c:ser>
          <c:idx val="3"/>
          <c:order val="3"/>
          <c:tx>
            <c:strRef>
              <c:f>RD_信頼区間_相関係数から_標準化!$B$70</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RD_信頼区間_相関係数から_標準化!$E$70</c:f>
                <c:numCache>
                  <c:formatCode>General</c:formatCode>
                  <c:ptCount val="1"/>
                  <c:pt idx="0">
                    <c:v>0.34</c:v>
                  </c:pt>
                </c:numCache>
              </c:numRef>
            </c:plus>
            <c:minus>
              <c:numRef>
                <c:f>RD_信頼区間_相関係数から_標準化!$D$70</c:f>
                <c:numCache>
                  <c:formatCode>General</c:formatCode>
                  <c:ptCount val="1"/>
                  <c:pt idx="0">
                    <c:v>0.99</c:v>
                  </c:pt>
                </c:numCache>
              </c:numRef>
            </c:minus>
            <c:spPr>
              <a:noFill/>
              <a:ln w="9525" cap="flat" cmpd="sng" algn="ctr">
                <a:solidFill>
                  <a:schemeClr val="tx1">
                    <a:lumMod val="50000"/>
                    <a:lumOff val="50000"/>
                  </a:schemeClr>
                </a:solidFill>
                <a:round/>
              </a:ln>
              <a:effectLst/>
            </c:spPr>
          </c:errBars>
          <c:val>
            <c:numRef>
              <c:f>RD_信頼区間_相関係数から_標準化!$C$70</c:f>
              <c:numCache>
                <c:formatCode>General</c:formatCode>
                <c:ptCount val="1"/>
                <c:pt idx="0">
                  <c:v>-0.01</c:v>
                </c:pt>
              </c:numCache>
            </c:numRef>
          </c:val>
          <c:extLst>
            <c:ext xmlns:c16="http://schemas.microsoft.com/office/drawing/2014/chart" uri="{C3380CC4-5D6E-409C-BE32-E72D297353CC}">
              <c16:uniqueId val="{00000003-95C8-4099-82F3-99154281EAD7}"/>
            </c:ext>
          </c:extLst>
        </c:ser>
        <c:ser>
          <c:idx val="4"/>
          <c:order val="4"/>
          <c:tx>
            <c:strRef>
              <c:f>RD_信頼区間_相関係数から_標準化!$B$71</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RD_信頼区間_相関係数から_標準化!$E$71</c:f>
                <c:numCache>
                  <c:formatCode>General</c:formatCode>
                  <c:ptCount val="1"/>
                  <c:pt idx="0">
                    <c:v>0.22666666666666666</c:v>
                  </c:pt>
                </c:numCache>
              </c:numRef>
            </c:plus>
            <c:minus>
              <c:numRef>
                <c:f>RD_信頼区間_相関係数から_標準化!$D$71</c:f>
                <c:numCache>
                  <c:formatCode>General</c:formatCode>
                  <c:ptCount val="1"/>
                  <c:pt idx="0">
                    <c:v>0.98</c:v>
                  </c:pt>
                </c:numCache>
              </c:numRef>
            </c:minus>
            <c:spPr>
              <a:noFill/>
              <a:ln w="9525" cap="flat" cmpd="sng" algn="ctr">
                <a:solidFill>
                  <a:schemeClr val="tx1">
                    <a:lumMod val="50000"/>
                    <a:lumOff val="50000"/>
                  </a:schemeClr>
                </a:solidFill>
                <a:round/>
              </a:ln>
              <a:effectLst/>
            </c:spPr>
          </c:errBars>
          <c:val>
            <c:numRef>
              <c:f>RD_信頼区間_相関係数から_標準化!$C$71</c:f>
              <c:numCache>
                <c:formatCode>General</c:formatCode>
                <c:ptCount val="1"/>
                <c:pt idx="0">
                  <c:v>-0.02</c:v>
                </c:pt>
              </c:numCache>
            </c:numRef>
          </c:val>
          <c:extLst xmlns:c15="http://schemas.microsoft.com/office/drawing/2012/chart">
            <c:ext xmlns:c16="http://schemas.microsoft.com/office/drawing/2014/chart" uri="{C3380CC4-5D6E-409C-BE32-E72D297353CC}">
              <c16:uniqueId val="{00000004-95C8-4099-82F3-99154281EAD7}"/>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
          <c:min val="-1"/>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085972850678733E-2"/>
          <c:y val="0.29541557305336835"/>
          <c:w val="0.1102018740870060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ja-JP" altLang="en-US"/>
              <a:t>正味の益が反転しないアウトカムの重要度の範囲</a:t>
            </a:r>
            <a:endParaRPr lang="ja-JP"/>
          </a:p>
        </c:rich>
      </c:tx>
      <c:overlay val="0"/>
      <c:spPr>
        <a:no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RD_信頼区間_相関係数から_標準化!$B$84</c:f>
              <c:strCache>
                <c:ptCount val="1"/>
                <c:pt idx="0">
                  <c:v>脳卒中予防</c:v>
                </c:pt>
              </c:strCache>
            </c:strRef>
          </c:tx>
          <c:spPr>
            <a:noFill/>
            <a:ln w="25400" cap="flat" cmpd="sng" algn="ctr">
              <a:solidFill>
                <a:schemeClr val="accent1"/>
              </a:solidFill>
              <a:miter lim="800000"/>
            </a:ln>
            <a:effectLst/>
          </c:spPr>
          <c:invertIfNegative val="0"/>
          <c:errBars>
            <c:errBarType val="both"/>
            <c:errValType val="cust"/>
            <c:noEndCap val="0"/>
            <c:plus>
              <c:numRef>
                <c:f>RD_信頼区間_相関係数から_標準化!$E$84</c:f>
                <c:numCache>
                  <c:formatCode>General</c:formatCode>
                  <c:ptCount val="1"/>
                  <c:pt idx="0">
                    <c:v>0</c:v>
                  </c:pt>
                </c:numCache>
              </c:numRef>
            </c:plus>
            <c:minus>
              <c:numRef>
                <c:f>RD_信頼区間_相関係数から_標準化!$D$84</c:f>
                <c:numCache>
                  <c:formatCode>General</c:formatCode>
                  <c:ptCount val="1"/>
                  <c:pt idx="0">
                    <c:v>68</c:v>
                  </c:pt>
                </c:numCache>
              </c:numRef>
            </c:minus>
            <c:spPr>
              <a:noFill/>
              <a:ln w="12700" cap="flat" cmpd="sng" algn="ctr">
                <a:solidFill>
                  <a:schemeClr val="tx1">
                    <a:lumMod val="50000"/>
                    <a:lumOff val="50000"/>
                  </a:schemeClr>
                </a:solidFill>
                <a:prstDash val="solid"/>
                <a:round/>
                <a:tailEnd type="none"/>
              </a:ln>
              <a:effectLst/>
            </c:spPr>
          </c:errBars>
          <c:val>
            <c:numRef>
              <c:f>RD_信頼区間_相関係数から_標準化!$C$84</c:f>
              <c:numCache>
                <c:formatCode>General</c:formatCode>
                <c:ptCount val="1"/>
                <c:pt idx="0">
                  <c:v>100</c:v>
                </c:pt>
              </c:numCache>
            </c:numRef>
          </c:val>
          <c:extLst>
            <c:ext xmlns:c16="http://schemas.microsoft.com/office/drawing/2014/chart" uri="{C3380CC4-5D6E-409C-BE32-E72D297353CC}">
              <c16:uniqueId val="{00000000-C9FD-48DF-9BCD-624EBCF5B821}"/>
            </c:ext>
          </c:extLst>
        </c:ser>
        <c:ser>
          <c:idx val="1"/>
          <c:order val="1"/>
          <c:tx>
            <c:strRef>
              <c:f>RD_信頼区間_相関係数から_標準化!$B$85</c:f>
              <c:strCache>
                <c:ptCount val="1"/>
                <c:pt idx="0">
                  <c:v>心不全予防</c:v>
                </c:pt>
              </c:strCache>
            </c:strRef>
          </c:tx>
          <c:spPr>
            <a:noFill/>
            <a:ln w="25400" cap="flat" cmpd="sng" algn="ctr">
              <a:solidFill>
                <a:schemeClr val="accent2"/>
              </a:solidFill>
              <a:miter lim="800000"/>
            </a:ln>
            <a:effectLst/>
          </c:spPr>
          <c:invertIfNegative val="0"/>
          <c:errBars>
            <c:errBarType val="both"/>
            <c:errValType val="cust"/>
            <c:noEndCap val="0"/>
            <c:plus>
              <c:numRef>
                <c:f>RD_信頼区間_相関係数から_標準化!$E$85</c:f>
                <c:numCache>
                  <c:formatCode>General</c:formatCode>
                  <c:ptCount val="1"/>
                  <c:pt idx="0">
                    <c:v>68</c:v>
                  </c:pt>
                </c:numCache>
              </c:numRef>
            </c:plus>
            <c:minus>
              <c:numRef>
                <c:f>RD_信頼区間_相関係数から_標準化!$D$85</c:f>
                <c:numCache>
                  <c:formatCode>General</c:formatCode>
                  <c:ptCount val="1"/>
                  <c:pt idx="0">
                    <c:v>30</c:v>
                  </c:pt>
                </c:numCache>
              </c:numRef>
            </c:minus>
            <c:spPr>
              <a:noFill/>
              <a:ln w="9525" cap="flat" cmpd="sng" algn="ctr">
                <a:solidFill>
                  <a:schemeClr val="tx1">
                    <a:lumMod val="50000"/>
                    <a:lumOff val="50000"/>
                  </a:schemeClr>
                </a:solidFill>
                <a:round/>
              </a:ln>
              <a:effectLst/>
            </c:spPr>
          </c:errBars>
          <c:val>
            <c:numRef>
              <c:f>RD_信頼区間_相関係数から_標準化!$C$85</c:f>
              <c:numCache>
                <c:formatCode>General</c:formatCode>
                <c:ptCount val="1"/>
                <c:pt idx="0">
                  <c:v>30</c:v>
                </c:pt>
              </c:numCache>
            </c:numRef>
          </c:val>
          <c:extLst>
            <c:ext xmlns:c16="http://schemas.microsoft.com/office/drawing/2014/chart" uri="{C3380CC4-5D6E-409C-BE32-E72D297353CC}">
              <c16:uniqueId val="{00000001-C9FD-48DF-9BCD-624EBCF5B821}"/>
            </c:ext>
          </c:extLst>
        </c:ser>
        <c:ser>
          <c:idx val="2"/>
          <c:order val="2"/>
          <c:tx>
            <c:strRef>
              <c:f>RD_信頼区間_相関係数から_標準化!$B$86</c:f>
              <c:strCache>
                <c:ptCount val="1"/>
                <c:pt idx="0">
                  <c:v>めまい</c:v>
                </c:pt>
              </c:strCache>
            </c:strRef>
          </c:tx>
          <c:spPr>
            <a:noFill/>
            <a:ln w="25400" cap="flat" cmpd="sng" algn="ctr">
              <a:solidFill>
                <a:schemeClr val="accent3"/>
              </a:solidFill>
              <a:miter lim="800000"/>
            </a:ln>
            <a:effectLst/>
          </c:spPr>
          <c:invertIfNegative val="0"/>
          <c:errBars>
            <c:errBarType val="both"/>
            <c:errValType val="cust"/>
            <c:noEndCap val="0"/>
            <c:plus>
              <c:numRef>
                <c:f>RD_信頼区間_相関係数から_標準化!$E$86</c:f>
                <c:numCache>
                  <c:formatCode>General</c:formatCode>
                  <c:ptCount val="1"/>
                  <c:pt idx="0">
                    <c:v>50</c:v>
                  </c:pt>
                </c:numCache>
              </c:numRef>
            </c:plus>
            <c:minus>
              <c:numRef>
                <c:f>RD_信頼区間_相関係数から_標準化!$D$86</c:f>
                <c:numCache>
                  <c:formatCode>General</c:formatCode>
                  <c:ptCount val="1"/>
                  <c:pt idx="0">
                    <c:v>50</c:v>
                  </c:pt>
                </c:numCache>
              </c:numRef>
            </c:minus>
            <c:spPr>
              <a:noFill/>
              <a:ln w="9525" cap="flat" cmpd="sng" algn="ctr">
                <a:solidFill>
                  <a:schemeClr val="tx1">
                    <a:lumMod val="50000"/>
                    <a:lumOff val="50000"/>
                  </a:schemeClr>
                </a:solidFill>
                <a:round/>
              </a:ln>
              <a:effectLst/>
            </c:spPr>
          </c:errBars>
          <c:val>
            <c:numRef>
              <c:f>RD_信頼区間_相関係数から_標準化!$C$86</c:f>
              <c:numCache>
                <c:formatCode>General</c:formatCode>
                <c:ptCount val="1"/>
                <c:pt idx="0">
                  <c:v>50</c:v>
                </c:pt>
              </c:numCache>
            </c:numRef>
          </c:val>
          <c:extLst>
            <c:ext xmlns:c16="http://schemas.microsoft.com/office/drawing/2014/chart" uri="{C3380CC4-5D6E-409C-BE32-E72D297353CC}">
              <c16:uniqueId val="{00000002-C9FD-48DF-9BCD-624EBCF5B821}"/>
            </c:ext>
          </c:extLst>
        </c:ser>
        <c:ser>
          <c:idx val="3"/>
          <c:order val="3"/>
          <c:tx>
            <c:strRef>
              <c:f>RD_信頼区間_相関係数から_標準化!$B$87</c:f>
              <c:strCache>
                <c:ptCount val="1"/>
                <c:pt idx="0">
                  <c:v>頻尿</c:v>
                </c:pt>
              </c:strCache>
            </c:strRef>
          </c:tx>
          <c:spPr>
            <a:noFill/>
            <a:ln w="25400" cap="flat" cmpd="sng" algn="ctr">
              <a:solidFill>
                <a:schemeClr val="accent4"/>
              </a:solidFill>
              <a:miter lim="800000"/>
            </a:ln>
            <a:effectLst/>
          </c:spPr>
          <c:invertIfNegative val="0"/>
          <c:errBars>
            <c:errBarType val="both"/>
            <c:errValType val="cust"/>
            <c:noEndCap val="0"/>
            <c:plus>
              <c:numRef>
                <c:f>RD_信頼区間_相関係数から_標準化!$E$87</c:f>
                <c:numCache>
                  <c:formatCode>General</c:formatCode>
                  <c:ptCount val="1"/>
                  <c:pt idx="0">
                    <c:v>80</c:v>
                  </c:pt>
                </c:numCache>
              </c:numRef>
            </c:plus>
            <c:minus>
              <c:numRef>
                <c:f>RD_信頼区間_相関係数から_標準化!$D$87</c:f>
                <c:numCache>
                  <c:formatCode>General</c:formatCode>
                  <c:ptCount val="1"/>
                  <c:pt idx="0">
                    <c:v>20</c:v>
                  </c:pt>
                </c:numCache>
              </c:numRef>
            </c:minus>
            <c:spPr>
              <a:noFill/>
              <a:ln w="9525" cap="flat" cmpd="sng" algn="ctr">
                <a:solidFill>
                  <a:schemeClr val="tx1">
                    <a:lumMod val="50000"/>
                    <a:lumOff val="50000"/>
                  </a:schemeClr>
                </a:solidFill>
                <a:round/>
              </a:ln>
              <a:effectLst/>
            </c:spPr>
          </c:errBars>
          <c:val>
            <c:numRef>
              <c:f>RD_信頼区間_相関係数から_標準化!$C$87</c:f>
              <c:numCache>
                <c:formatCode>General</c:formatCode>
                <c:ptCount val="1"/>
                <c:pt idx="0">
                  <c:v>20</c:v>
                </c:pt>
              </c:numCache>
            </c:numRef>
          </c:val>
          <c:extLst>
            <c:ext xmlns:c16="http://schemas.microsoft.com/office/drawing/2014/chart" uri="{C3380CC4-5D6E-409C-BE32-E72D297353CC}">
              <c16:uniqueId val="{00000003-C9FD-48DF-9BCD-624EBCF5B821}"/>
            </c:ext>
          </c:extLst>
        </c:ser>
        <c:ser>
          <c:idx val="4"/>
          <c:order val="4"/>
          <c:tx>
            <c:strRef>
              <c:f>RD_信頼区間_相関係数から_標準化!$B$88</c:f>
              <c:strCache>
                <c:ptCount val="1"/>
                <c:pt idx="0">
                  <c:v>転倒</c:v>
                </c:pt>
              </c:strCache>
            </c:strRef>
          </c:tx>
          <c:spPr>
            <a:noFill/>
            <a:ln w="25400" cap="flat" cmpd="sng" algn="ctr">
              <a:solidFill>
                <a:schemeClr val="accent5"/>
              </a:solidFill>
              <a:miter lim="800000"/>
            </a:ln>
            <a:effectLst/>
          </c:spPr>
          <c:invertIfNegative val="0"/>
          <c:errBars>
            <c:errBarType val="both"/>
            <c:errValType val="cust"/>
            <c:noEndCap val="0"/>
            <c:plus>
              <c:numRef>
                <c:f>RD_信頼区間_相関係数から_標準化!$E$88</c:f>
                <c:numCache>
                  <c:formatCode>General</c:formatCode>
                  <c:ptCount val="1"/>
                  <c:pt idx="0">
                    <c:v>70</c:v>
                  </c:pt>
                </c:numCache>
              </c:numRef>
            </c:plus>
            <c:minus>
              <c:numRef>
                <c:f>RD_信頼区間_相関係数から_標準化!$D$88</c:f>
                <c:numCache>
                  <c:formatCode>General</c:formatCode>
                  <c:ptCount val="1"/>
                  <c:pt idx="0">
                    <c:v>30</c:v>
                  </c:pt>
                </c:numCache>
              </c:numRef>
            </c:minus>
            <c:spPr>
              <a:noFill/>
              <a:ln w="9525" cap="flat" cmpd="sng" algn="ctr">
                <a:solidFill>
                  <a:schemeClr val="tx1">
                    <a:lumMod val="50000"/>
                    <a:lumOff val="50000"/>
                  </a:schemeClr>
                </a:solidFill>
                <a:round/>
              </a:ln>
              <a:effectLst/>
            </c:spPr>
          </c:errBars>
          <c:val>
            <c:numRef>
              <c:f>RD_信頼区間_相関係数から_標準化!$C$88</c:f>
              <c:numCache>
                <c:formatCode>General</c:formatCode>
                <c:ptCount val="1"/>
                <c:pt idx="0">
                  <c:v>30</c:v>
                </c:pt>
              </c:numCache>
            </c:numRef>
          </c:val>
          <c:extLst xmlns:c15="http://schemas.microsoft.com/office/drawing/2012/chart">
            <c:ext xmlns:c16="http://schemas.microsoft.com/office/drawing/2014/chart" uri="{C3380CC4-5D6E-409C-BE32-E72D297353CC}">
              <c16:uniqueId val="{00000004-C9FD-48DF-9BCD-624EBCF5B821}"/>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00.1"/>
          <c:min val="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アウトカムの重要度</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0_);[Red]\(#,##0\)" sourceLinked="0"/>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10"/>
        <c:minorUnit val="5"/>
      </c:valAx>
      <c:spPr>
        <a:noFill/>
        <a:ln>
          <a:noFill/>
        </a:ln>
        <a:effectLst/>
      </c:spPr>
    </c:plotArea>
    <c:legend>
      <c:legendPos val="l"/>
      <c:layout>
        <c:manualLayout>
          <c:xMode val="edge"/>
          <c:yMode val="edge"/>
          <c:x val="1.085972850678733E-2"/>
          <c:y val="0.29541557305336835"/>
          <c:w val="0.1102018740870060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a:t>アウトカムごとのバリュースコアと正味の益</a:t>
            </a:r>
            <a:endParaRPr lang="ja-JP" sz="1400"/>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'RD-MD_信頼区間_相関係数から_SW'!$B$67</c:f>
              <c:strCache>
                <c:ptCount val="1"/>
                <c:pt idx="0">
                  <c:v>1ヶ月以降1年以内の再発無し</c:v>
                </c:pt>
              </c:strCache>
            </c:strRef>
          </c:tx>
          <c:spPr>
            <a:noFill/>
            <a:ln w="25400" cap="flat" cmpd="sng" algn="ctr">
              <a:solidFill>
                <a:schemeClr val="accent1"/>
              </a:solidFill>
              <a:miter lim="800000"/>
            </a:ln>
            <a:effectLst/>
          </c:spPr>
          <c:invertIfNegative val="0"/>
          <c:errBars>
            <c:errBarType val="both"/>
            <c:errValType val="cust"/>
            <c:noEndCap val="0"/>
            <c:plus>
              <c:numRef>
                <c:f>'RD-MD_信頼区間_相関係数から_SW'!$D$67</c:f>
                <c:numCache>
                  <c:formatCode>General</c:formatCode>
                  <c:ptCount val="1"/>
                  <c:pt idx="0">
                    <c:v>13.918130163711155</c:v>
                  </c:pt>
                </c:numCache>
              </c:numRef>
            </c:plus>
            <c:minus>
              <c:numRef>
                <c:f>'RD-MD_信頼区間_相関係数から_SW'!$D$67</c:f>
                <c:numCache>
                  <c:formatCode>General</c:formatCode>
                  <c:ptCount val="1"/>
                  <c:pt idx="0">
                    <c:v>13.918130163711155</c:v>
                  </c:pt>
                </c:numCache>
              </c:numRef>
            </c:minus>
            <c:spPr>
              <a:noFill/>
              <a:ln w="9525" cap="flat" cmpd="sng" algn="ctr">
                <a:solidFill>
                  <a:schemeClr val="tx1">
                    <a:lumMod val="50000"/>
                    <a:lumOff val="50000"/>
                  </a:schemeClr>
                </a:solidFill>
                <a:round/>
              </a:ln>
              <a:effectLst/>
            </c:spPr>
          </c:errBars>
          <c:val>
            <c:numRef>
              <c:f>'RD-MD_信頼区間_相関係数から_SW'!$C$67</c:f>
              <c:numCache>
                <c:formatCode>General</c:formatCode>
                <c:ptCount val="1"/>
                <c:pt idx="0">
                  <c:v>-37.511058124148363</c:v>
                </c:pt>
              </c:numCache>
            </c:numRef>
          </c:val>
          <c:extLst>
            <c:ext xmlns:c16="http://schemas.microsoft.com/office/drawing/2014/chart" uri="{C3380CC4-5D6E-409C-BE32-E72D297353CC}">
              <c16:uniqueId val="{00000000-E676-4EBE-817D-4064B1B74A67}"/>
            </c:ext>
          </c:extLst>
        </c:ser>
        <c:ser>
          <c:idx val="1"/>
          <c:order val="1"/>
          <c:tx>
            <c:strRef>
              <c:f>'RD-MD_信頼区間_相関係数から_SW'!$B$68</c:f>
              <c:strCache>
                <c:ptCount val="1"/>
                <c:pt idx="0">
                  <c:v>虫垂切除（1ヶ月以内）</c:v>
                </c:pt>
              </c:strCache>
            </c:strRef>
          </c:tx>
          <c:spPr>
            <a:noFill/>
            <a:ln w="25400" cap="flat" cmpd="sng" algn="ctr">
              <a:solidFill>
                <a:schemeClr val="accent2"/>
              </a:solidFill>
              <a:miter lim="800000"/>
            </a:ln>
            <a:effectLst/>
          </c:spPr>
          <c:invertIfNegative val="0"/>
          <c:errBars>
            <c:errBarType val="both"/>
            <c:errValType val="cust"/>
            <c:noEndCap val="0"/>
            <c:plus>
              <c:numRef>
                <c:f>'RD-MD_信頼区間_相関係数から_SW'!$D$68</c:f>
                <c:numCache>
                  <c:formatCode>General</c:formatCode>
                  <c:ptCount val="1"/>
                  <c:pt idx="0">
                    <c:v>0.44235280378689296</c:v>
                  </c:pt>
                </c:numCache>
              </c:numRef>
            </c:plus>
            <c:minus>
              <c:numRef>
                <c:f>'RD-MD_信頼区間_相関係数から_SW'!$D$68</c:f>
                <c:numCache>
                  <c:formatCode>General</c:formatCode>
                  <c:ptCount val="1"/>
                  <c:pt idx="0">
                    <c:v>0.44235280378689296</c:v>
                  </c:pt>
                </c:numCache>
              </c:numRef>
            </c:minus>
            <c:spPr>
              <a:noFill/>
              <a:ln w="9525" cap="flat" cmpd="sng" algn="ctr">
                <a:solidFill>
                  <a:schemeClr val="tx1">
                    <a:lumMod val="50000"/>
                    <a:lumOff val="50000"/>
                  </a:schemeClr>
                </a:solidFill>
                <a:round/>
              </a:ln>
              <a:effectLst/>
            </c:spPr>
          </c:errBars>
          <c:val>
            <c:numRef>
              <c:f>'RD-MD_信頼区間_相関係数から_SW'!$C$68</c:f>
              <c:numCache>
                <c:formatCode>General</c:formatCode>
                <c:ptCount val="1"/>
                <c:pt idx="0">
                  <c:v>9.9971733655838015</c:v>
                </c:pt>
              </c:numCache>
            </c:numRef>
          </c:val>
          <c:extLst>
            <c:ext xmlns:c16="http://schemas.microsoft.com/office/drawing/2014/chart" uri="{C3380CC4-5D6E-409C-BE32-E72D297353CC}">
              <c16:uniqueId val="{00000001-E676-4EBE-817D-4064B1B74A67}"/>
            </c:ext>
          </c:extLst>
        </c:ser>
        <c:ser>
          <c:idx val="2"/>
          <c:order val="2"/>
          <c:tx>
            <c:strRef>
              <c:f>'RD-MD_信頼区間_相関係数から_SW'!$B$69</c:f>
              <c:strCache>
                <c:ptCount val="1"/>
                <c:pt idx="0">
                  <c:v>主要な合併症</c:v>
                </c:pt>
              </c:strCache>
            </c:strRef>
          </c:tx>
          <c:spPr>
            <a:noFill/>
            <a:ln w="25400" cap="flat" cmpd="sng" algn="ctr">
              <a:solidFill>
                <a:schemeClr val="accent3"/>
              </a:solidFill>
              <a:miter lim="800000"/>
            </a:ln>
            <a:effectLst/>
          </c:spPr>
          <c:invertIfNegative val="0"/>
          <c:errBars>
            <c:errBarType val="both"/>
            <c:errValType val="cust"/>
            <c:noEndCap val="0"/>
            <c:plus>
              <c:numRef>
                <c:f>'RD-MD_信頼区間_相関係数から_SW'!$D$69</c:f>
                <c:numCache>
                  <c:formatCode>General</c:formatCode>
                  <c:ptCount val="1"/>
                  <c:pt idx="0">
                    <c:v>2.858286171611502</c:v>
                  </c:pt>
                </c:numCache>
              </c:numRef>
            </c:plus>
            <c:minus>
              <c:numRef>
                <c:f>'RD-MD_信頼区間_相関係数から_SW'!$D$69</c:f>
                <c:numCache>
                  <c:formatCode>General</c:formatCode>
                  <c:ptCount val="1"/>
                  <c:pt idx="0">
                    <c:v>2.858286171611502</c:v>
                  </c:pt>
                </c:numCache>
              </c:numRef>
            </c:minus>
            <c:spPr>
              <a:noFill/>
              <a:ln w="9525" cap="flat" cmpd="sng" algn="ctr">
                <a:solidFill>
                  <a:schemeClr val="tx1">
                    <a:lumMod val="50000"/>
                    <a:lumOff val="50000"/>
                  </a:schemeClr>
                </a:solidFill>
                <a:round/>
              </a:ln>
              <a:effectLst/>
            </c:spPr>
          </c:errBars>
          <c:val>
            <c:numRef>
              <c:f>'RD-MD_信頼区間_相関係数から_SW'!$C$69</c:f>
              <c:numCache>
                <c:formatCode>General</c:formatCode>
                <c:ptCount val="1"/>
                <c:pt idx="0">
                  <c:v>1.8804514286917775</c:v>
                </c:pt>
              </c:numCache>
            </c:numRef>
          </c:val>
          <c:extLst>
            <c:ext xmlns:c16="http://schemas.microsoft.com/office/drawing/2014/chart" uri="{C3380CC4-5D6E-409C-BE32-E72D297353CC}">
              <c16:uniqueId val="{00000002-E676-4EBE-817D-4064B1B74A67}"/>
            </c:ext>
          </c:extLst>
        </c:ser>
        <c:ser>
          <c:idx val="3"/>
          <c:order val="3"/>
          <c:tx>
            <c:strRef>
              <c:f>'RD-MD_信頼区間_相関係数から_SW'!$B$70</c:f>
              <c:strCache>
                <c:ptCount val="1"/>
                <c:pt idx="0">
                  <c:v>その他の合併症</c:v>
                </c:pt>
              </c:strCache>
            </c:strRef>
          </c:tx>
          <c:spPr>
            <a:noFill/>
            <a:ln w="25400" cap="flat" cmpd="sng" algn="ctr">
              <a:solidFill>
                <a:schemeClr val="accent4"/>
              </a:solidFill>
              <a:miter lim="800000"/>
            </a:ln>
            <a:effectLst/>
          </c:spPr>
          <c:invertIfNegative val="0"/>
          <c:errBars>
            <c:errBarType val="both"/>
            <c:errValType val="cust"/>
            <c:noEndCap val="0"/>
            <c:plus>
              <c:numRef>
                <c:f>'RD-MD_信頼区間_相関係数から_SW'!$D$70</c:f>
                <c:numCache>
                  <c:formatCode>General</c:formatCode>
                  <c:ptCount val="1"/>
                  <c:pt idx="0">
                    <c:v>3.5512327397096528</c:v>
                  </c:pt>
                </c:numCache>
              </c:numRef>
            </c:plus>
            <c:minus>
              <c:numRef>
                <c:f>'RD-MD_信頼区間_相関係数から_SW'!$D$70</c:f>
                <c:numCache>
                  <c:formatCode>General</c:formatCode>
                  <c:ptCount val="1"/>
                  <c:pt idx="0">
                    <c:v>3.5512327397096528</c:v>
                  </c:pt>
                </c:numCache>
              </c:numRef>
            </c:minus>
            <c:spPr>
              <a:noFill/>
              <a:ln w="9525" cap="flat" cmpd="sng" algn="ctr">
                <a:solidFill>
                  <a:schemeClr val="tx1">
                    <a:lumMod val="50000"/>
                    <a:lumOff val="50000"/>
                  </a:schemeClr>
                </a:solidFill>
                <a:round/>
              </a:ln>
              <a:effectLst/>
            </c:spPr>
          </c:errBars>
          <c:val>
            <c:numRef>
              <c:f>'RD-MD_信頼区間_相関係数から_SW'!$C$70</c:f>
              <c:numCache>
                <c:formatCode>General</c:formatCode>
                <c:ptCount val="1"/>
                <c:pt idx="0">
                  <c:v>3.8976944704130334</c:v>
                </c:pt>
              </c:numCache>
            </c:numRef>
          </c:val>
          <c:extLst>
            <c:ext xmlns:c16="http://schemas.microsoft.com/office/drawing/2014/chart" uri="{C3380CC4-5D6E-409C-BE32-E72D297353CC}">
              <c16:uniqueId val="{00000003-E676-4EBE-817D-4064B1B74A67}"/>
            </c:ext>
          </c:extLst>
        </c:ser>
        <c:ser>
          <c:idx val="4"/>
          <c:order val="4"/>
          <c:tx>
            <c:strRef>
              <c:f>'RD-MD_信頼区間_相関係数から_SW'!$B$71</c:f>
              <c:strCache>
                <c:ptCount val="1"/>
                <c:pt idx="0">
                  <c:v>入院期間</c:v>
                </c:pt>
              </c:strCache>
            </c:strRef>
          </c:tx>
          <c:spPr>
            <a:noFill/>
            <a:ln w="25400" cap="flat" cmpd="sng" algn="ctr">
              <a:solidFill>
                <a:schemeClr val="accent5"/>
              </a:solidFill>
              <a:miter lim="800000"/>
            </a:ln>
            <a:effectLst/>
          </c:spPr>
          <c:invertIfNegative val="0"/>
          <c:errBars>
            <c:errBarType val="both"/>
            <c:errValType val="cust"/>
            <c:noEndCap val="0"/>
            <c:plus>
              <c:numRef>
                <c:f>'RD-MD_信頼区間_相関係数から_SW'!$D$71</c:f>
                <c:numCache>
                  <c:formatCode>General</c:formatCode>
                  <c:ptCount val="1"/>
                  <c:pt idx="0">
                    <c:v>0.29160512889366269</c:v>
                  </c:pt>
                </c:numCache>
              </c:numRef>
            </c:plus>
            <c:minus>
              <c:numRef>
                <c:f>'RD-MD_信頼区間_相関係数から_SW'!$D$71</c:f>
                <c:numCache>
                  <c:formatCode>General</c:formatCode>
                  <c:ptCount val="1"/>
                  <c:pt idx="0">
                    <c:v>0.29160512889366269</c:v>
                  </c:pt>
                </c:numCache>
              </c:numRef>
            </c:minus>
            <c:spPr>
              <a:noFill/>
              <a:ln w="9525" cap="flat" cmpd="sng" algn="ctr">
                <a:solidFill>
                  <a:schemeClr val="tx1">
                    <a:lumMod val="50000"/>
                    <a:lumOff val="50000"/>
                  </a:schemeClr>
                </a:solidFill>
                <a:round/>
              </a:ln>
              <a:effectLst/>
            </c:spPr>
          </c:errBars>
          <c:val>
            <c:numRef>
              <c:f>'RD-MD_信頼区間_相関係数から_SW'!$C$71</c:f>
              <c:numCache>
                <c:formatCode>General</c:formatCode>
                <c:ptCount val="1"/>
                <c:pt idx="0">
                  <c:v>-0.81817266380236298</c:v>
                </c:pt>
              </c:numCache>
            </c:numRef>
          </c:val>
          <c:extLst xmlns:c15="http://schemas.microsoft.com/office/drawing/2012/chart">
            <c:ext xmlns:c16="http://schemas.microsoft.com/office/drawing/2014/chart" uri="{C3380CC4-5D6E-409C-BE32-E72D297353CC}">
              <c16:uniqueId val="{00000004-E676-4EBE-817D-4064B1B74A67}"/>
            </c:ext>
          </c:extLst>
        </c:ser>
        <c:ser>
          <c:idx val="5"/>
          <c:order val="5"/>
          <c:tx>
            <c:strRef>
              <c:f>'RD-MD_信頼区間_相関係数から_SW'!$B$72</c:f>
              <c:strCache>
                <c:ptCount val="1"/>
                <c:pt idx="0">
                  <c:v>病休期間</c:v>
                </c:pt>
              </c:strCache>
            </c:strRef>
          </c:tx>
          <c:spPr>
            <a:noFill/>
            <a:ln w="25400" cap="flat" cmpd="sng" algn="ctr">
              <a:solidFill>
                <a:schemeClr val="accent6"/>
              </a:solidFill>
              <a:miter lim="800000"/>
            </a:ln>
            <a:effectLst/>
          </c:spPr>
          <c:invertIfNegative val="0"/>
          <c:val>
            <c:numRef>
              <c:f>'RD-MD_信頼区間_相関係数から_SW'!$C$72</c:f>
              <c:numCache>
                <c:formatCode>General</c:formatCode>
                <c:ptCount val="1"/>
                <c:pt idx="0">
                  <c:v>1.7679071809443176</c:v>
                </c:pt>
              </c:numCache>
            </c:numRef>
          </c:val>
          <c:extLst>
            <c:ext xmlns:c16="http://schemas.microsoft.com/office/drawing/2014/chart" uri="{C3380CC4-5D6E-409C-BE32-E72D297353CC}">
              <c16:uniqueId val="{00000005-E676-4EBE-817D-4064B1B74A67}"/>
            </c:ext>
          </c:extLst>
        </c:ser>
        <c:ser>
          <c:idx val="6"/>
          <c:order val="6"/>
          <c:tx>
            <c:strRef>
              <c:f>'RD-MD_信頼区間_相関係数から_SW'!$B$73</c:f>
              <c:strCache>
                <c:ptCount val="1"/>
                <c:pt idx="0">
                  <c:v>費用</c:v>
                </c:pt>
              </c:strCache>
            </c:strRef>
          </c:tx>
          <c:spPr>
            <a:noFill/>
            <a:ln w="25400" cap="flat" cmpd="sng" algn="ctr">
              <a:solidFill>
                <a:schemeClr val="accent1">
                  <a:lumMod val="60000"/>
                </a:schemeClr>
              </a:solidFill>
              <a:miter lim="800000"/>
            </a:ln>
            <a:effectLst/>
          </c:spPr>
          <c:invertIfNegative val="0"/>
          <c:errBars>
            <c:errBarType val="both"/>
            <c:errValType val="cust"/>
            <c:noEndCap val="0"/>
            <c:plus>
              <c:numRef>
                <c:f>'RD-MD_信頼区間_相関係数から_SW'!$D$71</c:f>
                <c:numCache>
                  <c:formatCode>General</c:formatCode>
                  <c:ptCount val="1"/>
                  <c:pt idx="0">
                    <c:v>0.29160512889366269</c:v>
                  </c:pt>
                </c:numCache>
              </c:numRef>
            </c:plus>
            <c:minus>
              <c:numRef>
                <c:f>'RD-MD_信頼区間_相関係数から_SW'!$D$71</c:f>
                <c:numCache>
                  <c:formatCode>General</c:formatCode>
                  <c:ptCount val="1"/>
                  <c:pt idx="0">
                    <c:v>0.29160512889366269</c:v>
                  </c:pt>
                </c:numCache>
              </c:numRef>
            </c:minus>
            <c:spPr>
              <a:noFill/>
              <a:ln w="9525" cap="flat" cmpd="sng" algn="ctr">
                <a:solidFill>
                  <a:schemeClr val="tx1">
                    <a:lumMod val="50000"/>
                    <a:lumOff val="50000"/>
                  </a:schemeClr>
                </a:solidFill>
                <a:round/>
              </a:ln>
              <a:effectLst/>
            </c:spPr>
          </c:errBars>
          <c:val>
            <c:numRef>
              <c:f>'RD-MD_信頼区間_相関係数から_SW'!$C$73</c:f>
              <c:numCache>
                <c:formatCode>General</c:formatCode>
                <c:ptCount val="1"/>
                <c:pt idx="0">
                  <c:v>2.0427781783225183</c:v>
                </c:pt>
              </c:numCache>
            </c:numRef>
          </c:val>
          <c:extLst>
            <c:ext xmlns:c16="http://schemas.microsoft.com/office/drawing/2014/chart" uri="{C3380CC4-5D6E-409C-BE32-E72D297353CC}">
              <c16:uniqueId val="{00000006-E676-4EBE-817D-4064B1B74A67}"/>
            </c:ext>
          </c:extLst>
        </c:ser>
        <c:ser>
          <c:idx val="7"/>
          <c:order val="7"/>
          <c:tx>
            <c:strRef>
              <c:f>'RD-MD_信頼区間_相関係数から_SW'!$B$77</c:f>
              <c:strCache>
                <c:ptCount val="1"/>
                <c:pt idx="0">
                  <c:v>正味の益</c:v>
                </c:pt>
              </c:strCache>
            </c:strRef>
          </c:tx>
          <c:spPr>
            <a:gradFill flip="none" rotWithShape="1">
              <a:gsLst>
                <a:gs pos="0">
                  <a:schemeClr val="accent2">
                    <a:lumMod val="0"/>
                    <a:lumOff val="100000"/>
                  </a:schemeClr>
                </a:gs>
                <a:gs pos="35000">
                  <a:schemeClr val="accent2">
                    <a:lumMod val="0"/>
                    <a:lumOff val="100000"/>
                  </a:schemeClr>
                </a:gs>
                <a:gs pos="100000">
                  <a:schemeClr val="accent2">
                    <a:lumMod val="100000"/>
                  </a:schemeClr>
                </a:gs>
              </a:gsLst>
              <a:path path="circle">
                <a:fillToRect l="50000" t="-80000" r="50000" b="180000"/>
              </a:path>
              <a:tileRect/>
            </a:gradFill>
            <a:ln w="25400" cap="flat" cmpd="sng" algn="ctr">
              <a:solidFill>
                <a:srgbClr val="FF0000"/>
              </a:solidFill>
              <a:miter lim="800000"/>
            </a:ln>
            <a:effectLst/>
          </c:spPr>
          <c:invertIfNegative val="0"/>
          <c:errBars>
            <c:errBarType val="both"/>
            <c:errValType val="cust"/>
            <c:noEndCap val="0"/>
            <c:plus>
              <c:numRef>
                <c:f>'RD-MD_信頼区間_相関係数から_SW'!$D$77</c:f>
                <c:numCache>
                  <c:formatCode>General</c:formatCode>
                  <c:ptCount val="1"/>
                  <c:pt idx="0">
                    <c:v>15.143491154856456</c:v>
                  </c:pt>
                </c:numCache>
              </c:numRef>
            </c:plus>
            <c:minus>
              <c:numRef>
                <c:f>'RD-MD_信頼区間_相関係数から_SW'!$D$77</c:f>
                <c:numCache>
                  <c:formatCode>General</c:formatCode>
                  <c:ptCount val="1"/>
                  <c:pt idx="0">
                    <c:v>15.143491154856456</c:v>
                  </c:pt>
                </c:numCache>
              </c:numRef>
            </c:minus>
            <c:spPr>
              <a:noFill/>
              <a:ln w="9525" cap="flat" cmpd="sng" algn="ctr">
                <a:solidFill>
                  <a:schemeClr val="tx1">
                    <a:lumMod val="50000"/>
                    <a:lumOff val="50000"/>
                  </a:schemeClr>
                </a:solidFill>
                <a:round/>
              </a:ln>
              <a:effectLst/>
            </c:spPr>
          </c:errBars>
          <c:val>
            <c:numRef>
              <c:f>'RD-MD_信頼区間_相関係数から_SW'!$C$77</c:f>
              <c:numCache>
                <c:formatCode>General</c:formatCode>
                <c:ptCount val="1"/>
                <c:pt idx="0">
                  <c:v>-18.743226163995281</c:v>
                </c:pt>
              </c:numCache>
            </c:numRef>
          </c:val>
          <c:extLst>
            <c:ext xmlns:c16="http://schemas.microsoft.com/office/drawing/2014/chart" uri="{C3380CC4-5D6E-409C-BE32-E72D297353CC}">
              <c16:uniqueId val="{00000007-E676-4EBE-817D-4064B1B74A67}"/>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 val="autoZero"/>
        <c:auto val="1"/>
        <c:lblAlgn val="ctr"/>
        <c:lblOffset val="100"/>
        <c:tickLblSkip val="1"/>
        <c:noMultiLvlLbl val="0"/>
      </c:catAx>
      <c:valAx>
        <c:axId val="529011823"/>
        <c:scaling>
          <c:orientation val="minMax"/>
          <c:max val="50"/>
          <c:min val="-5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valAx>
      <c:spPr>
        <a:noFill/>
        <a:ln>
          <a:noFill/>
        </a:ln>
        <a:effectLst/>
      </c:spPr>
    </c:plotArea>
    <c:legend>
      <c:legendPos val="l"/>
      <c:layout>
        <c:manualLayout>
          <c:xMode val="edge"/>
          <c:yMode val="edge"/>
          <c:x val="1.2658434013244343E-2"/>
          <c:y val="0.1910549963772103"/>
          <c:w val="0.23525059203192711"/>
          <c:h val="0.612555860273217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sz="1400"/>
              <a:t>アウトカムの重要</a:t>
            </a:r>
            <a:r>
              <a:rPr lang="ja-JP" altLang="en-US" sz="1400"/>
              <a:t>度</a:t>
            </a:r>
            <a:r>
              <a:rPr lang="ja-JP" sz="1400"/>
              <a:t>で未調整 効果推定値</a:t>
            </a:r>
            <a:r>
              <a:rPr lang="ja-JP" altLang="en-US" sz="1400"/>
              <a:t>：二値変数アウトカム</a:t>
            </a:r>
            <a:endParaRPr lang="en-US" altLang="ja-JP" sz="1400"/>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'RD-MD_信頼区間_相関係数から_SW'!$B$31</c:f>
              <c:strCache>
                <c:ptCount val="1"/>
                <c:pt idx="0">
                  <c:v>1ヶ月以降1年以内の再発無し</c:v>
                </c:pt>
              </c:strCache>
            </c:strRef>
          </c:tx>
          <c:spPr>
            <a:noFill/>
            <a:ln w="25400" cap="flat" cmpd="sng" algn="ctr">
              <a:solidFill>
                <a:schemeClr val="accent1"/>
              </a:solidFill>
              <a:miter lim="800000"/>
            </a:ln>
            <a:effectLst/>
          </c:spPr>
          <c:invertIfNegative val="0"/>
          <c:errBars>
            <c:errBarType val="both"/>
            <c:errValType val="cust"/>
            <c:noEndCap val="0"/>
            <c:plus>
              <c:numRef>
                <c:f>'RD-MD_信頼区間_相関係数から_SW'!$D$31</c:f>
                <c:numCache>
                  <c:formatCode>General</c:formatCode>
                  <c:ptCount val="1"/>
                  <c:pt idx="0">
                    <c:v>8.199999999999999E-2</c:v>
                  </c:pt>
                </c:numCache>
              </c:numRef>
            </c:plus>
            <c:minus>
              <c:numRef>
                <c:f>'RD-MD_信頼区間_相関係数から_SW'!$D$31</c:f>
                <c:numCache>
                  <c:formatCode>General</c:formatCode>
                  <c:ptCount val="1"/>
                  <c:pt idx="0">
                    <c:v>8.199999999999999E-2</c:v>
                  </c:pt>
                </c:numCache>
              </c:numRef>
            </c:minus>
            <c:spPr>
              <a:noFill/>
              <a:ln w="9525" cap="flat" cmpd="sng" algn="ctr">
                <a:solidFill>
                  <a:schemeClr val="tx1">
                    <a:lumMod val="50000"/>
                    <a:lumOff val="50000"/>
                  </a:schemeClr>
                </a:solidFill>
                <a:round/>
              </a:ln>
              <a:effectLst/>
            </c:spPr>
          </c:errBars>
          <c:val>
            <c:numRef>
              <c:f>'RD-MD_信頼区間_相関係数から_SW'!$C$31</c:f>
              <c:numCache>
                <c:formatCode>General</c:formatCode>
                <c:ptCount val="1"/>
                <c:pt idx="0">
                  <c:v>-0.221</c:v>
                </c:pt>
              </c:numCache>
            </c:numRef>
          </c:val>
          <c:extLst>
            <c:ext xmlns:c16="http://schemas.microsoft.com/office/drawing/2014/chart" uri="{C3380CC4-5D6E-409C-BE32-E72D297353CC}">
              <c16:uniqueId val="{00000000-451E-4B9A-8787-FCD0A2FC8956}"/>
            </c:ext>
          </c:extLst>
        </c:ser>
        <c:ser>
          <c:idx val="1"/>
          <c:order val="1"/>
          <c:tx>
            <c:strRef>
              <c:f>'RD-MD_信頼区間_相関係数から_SW'!$B$32</c:f>
              <c:strCache>
                <c:ptCount val="1"/>
                <c:pt idx="0">
                  <c:v>虫垂切除（1ヶ月以内）</c:v>
                </c:pt>
              </c:strCache>
            </c:strRef>
          </c:tx>
          <c:spPr>
            <a:noFill/>
            <a:ln w="25400" cap="flat" cmpd="sng" algn="ctr">
              <a:solidFill>
                <a:schemeClr val="accent2"/>
              </a:solidFill>
              <a:miter lim="800000"/>
            </a:ln>
            <a:effectLst/>
          </c:spPr>
          <c:invertIfNegative val="0"/>
          <c:errBars>
            <c:errBarType val="both"/>
            <c:errValType val="cust"/>
            <c:noEndCap val="0"/>
            <c:plus>
              <c:numRef>
                <c:f>'RD-MD_信頼区間_相関係数から_SW'!$D$32</c:f>
                <c:numCache>
                  <c:formatCode>General</c:formatCode>
                  <c:ptCount val="1"/>
                  <c:pt idx="0">
                    <c:v>3.9999999999999925E-2</c:v>
                  </c:pt>
                </c:numCache>
              </c:numRef>
            </c:plus>
            <c:minus>
              <c:numRef>
                <c:f>'RD-MD_信頼区間_相関係数から_SW'!$D$32</c:f>
                <c:numCache>
                  <c:formatCode>General</c:formatCode>
                  <c:ptCount val="1"/>
                  <c:pt idx="0">
                    <c:v>3.9999999999999925E-2</c:v>
                  </c:pt>
                </c:numCache>
              </c:numRef>
            </c:minus>
            <c:spPr>
              <a:noFill/>
              <a:ln w="9525" cap="flat" cmpd="sng" algn="ctr">
                <a:solidFill>
                  <a:schemeClr val="tx1">
                    <a:lumMod val="50000"/>
                    <a:lumOff val="50000"/>
                  </a:schemeClr>
                </a:solidFill>
                <a:round/>
              </a:ln>
              <a:effectLst/>
            </c:spPr>
          </c:errBars>
          <c:val>
            <c:numRef>
              <c:f>'RD-MD_信頼区間_相関係数から_SW'!$C$32</c:f>
              <c:numCache>
                <c:formatCode>General</c:formatCode>
                <c:ptCount val="1"/>
                <c:pt idx="0">
                  <c:v>0.90400000000000003</c:v>
                </c:pt>
              </c:numCache>
            </c:numRef>
          </c:val>
          <c:extLst>
            <c:ext xmlns:c16="http://schemas.microsoft.com/office/drawing/2014/chart" uri="{C3380CC4-5D6E-409C-BE32-E72D297353CC}">
              <c16:uniqueId val="{00000001-451E-4B9A-8787-FCD0A2FC8956}"/>
            </c:ext>
          </c:extLst>
        </c:ser>
        <c:ser>
          <c:idx val="2"/>
          <c:order val="2"/>
          <c:tx>
            <c:strRef>
              <c:f>'RD-MD_信頼区間_相関係数から_SW'!$B$33</c:f>
              <c:strCache>
                <c:ptCount val="1"/>
                <c:pt idx="0">
                  <c:v>主要な合併症</c:v>
                </c:pt>
              </c:strCache>
            </c:strRef>
          </c:tx>
          <c:spPr>
            <a:noFill/>
            <a:ln w="25400" cap="flat" cmpd="sng" algn="ctr">
              <a:solidFill>
                <a:schemeClr val="accent3"/>
              </a:solidFill>
              <a:miter lim="800000"/>
            </a:ln>
            <a:effectLst/>
          </c:spPr>
          <c:invertIfNegative val="0"/>
          <c:errBars>
            <c:errBarType val="both"/>
            <c:errValType val="cust"/>
            <c:noEndCap val="0"/>
            <c:plus>
              <c:numRef>
                <c:f>'RD-MD_信頼区間_相関係数から_SW'!$D$33</c:f>
                <c:numCache>
                  <c:formatCode>General</c:formatCode>
                  <c:ptCount val="1"/>
                  <c:pt idx="0">
                    <c:v>3.7999999999999999E-2</c:v>
                  </c:pt>
                </c:numCache>
              </c:numRef>
            </c:plus>
            <c:minus>
              <c:numRef>
                <c:f>'RD-MD_信頼区間_相関係数から_SW'!$D$33</c:f>
                <c:numCache>
                  <c:formatCode>General</c:formatCode>
                  <c:ptCount val="1"/>
                  <c:pt idx="0">
                    <c:v>3.7999999999999999E-2</c:v>
                  </c:pt>
                </c:numCache>
              </c:numRef>
            </c:minus>
            <c:spPr>
              <a:noFill/>
              <a:ln w="9525" cap="flat" cmpd="sng" algn="ctr">
                <a:solidFill>
                  <a:schemeClr val="tx1">
                    <a:lumMod val="50000"/>
                    <a:lumOff val="50000"/>
                  </a:schemeClr>
                </a:solidFill>
                <a:round/>
              </a:ln>
              <a:effectLst/>
            </c:spPr>
          </c:errBars>
          <c:val>
            <c:numRef>
              <c:f>'RD-MD_信頼区間_相関係数から_SW'!$C$33</c:f>
              <c:numCache>
                <c:formatCode>General</c:formatCode>
                <c:ptCount val="1"/>
                <c:pt idx="0">
                  <c:v>2.5000000000000001E-2</c:v>
                </c:pt>
              </c:numCache>
            </c:numRef>
          </c:val>
          <c:extLst>
            <c:ext xmlns:c16="http://schemas.microsoft.com/office/drawing/2014/chart" uri="{C3380CC4-5D6E-409C-BE32-E72D297353CC}">
              <c16:uniqueId val="{00000002-451E-4B9A-8787-FCD0A2FC8956}"/>
            </c:ext>
          </c:extLst>
        </c:ser>
        <c:ser>
          <c:idx val="3"/>
          <c:order val="3"/>
          <c:tx>
            <c:strRef>
              <c:f>'RD-MD_信頼区間_相関係数から_SW'!$B$34</c:f>
              <c:strCache>
                <c:ptCount val="1"/>
                <c:pt idx="0">
                  <c:v>その他の合併症</c:v>
                </c:pt>
              </c:strCache>
            </c:strRef>
          </c:tx>
          <c:spPr>
            <a:noFill/>
            <a:ln w="25400" cap="flat" cmpd="sng" algn="ctr">
              <a:solidFill>
                <a:schemeClr val="accent4"/>
              </a:solidFill>
              <a:miter lim="800000"/>
            </a:ln>
            <a:effectLst/>
          </c:spPr>
          <c:invertIfNegative val="0"/>
          <c:errBars>
            <c:errBarType val="both"/>
            <c:errValType val="cust"/>
            <c:noEndCap val="0"/>
            <c:plus>
              <c:numRef>
                <c:f>'RD-MD_信頼区間_相関係数から_SW'!$D$34</c:f>
                <c:numCache>
                  <c:formatCode>General</c:formatCode>
                  <c:ptCount val="1"/>
                  <c:pt idx="0">
                    <c:v>8.199999999999999E-2</c:v>
                  </c:pt>
                </c:numCache>
              </c:numRef>
            </c:plus>
            <c:minus>
              <c:numRef>
                <c:f>'RD-MD_信頼区間_相関係数から_SW'!$D$34</c:f>
                <c:numCache>
                  <c:formatCode>General</c:formatCode>
                  <c:ptCount val="1"/>
                  <c:pt idx="0">
                    <c:v>8.199999999999999E-2</c:v>
                  </c:pt>
                </c:numCache>
              </c:numRef>
            </c:minus>
            <c:spPr>
              <a:noFill/>
              <a:ln w="9525" cap="flat" cmpd="sng" algn="ctr">
                <a:solidFill>
                  <a:schemeClr val="tx1">
                    <a:lumMod val="50000"/>
                    <a:lumOff val="50000"/>
                  </a:schemeClr>
                </a:solidFill>
                <a:round/>
              </a:ln>
              <a:effectLst/>
            </c:spPr>
          </c:errBars>
          <c:val>
            <c:numRef>
              <c:f>'RD-MD_信頼区間_相関係数から_SW'!$C$34</c:f>
              <c:numCache>
                <c:formatCode>General</c:formatCode>
                <c:ptCount val="1"/>
                <c:pt idx="0">
                  <c:v>0.09</c:v>
                </c:pt>
              </c:numCache>
            </c:numRef>
          </c:val>
          <c:extLst>
            <c:ext xmlns:c16="http://schemas.microsoft.com/office/drawing/2014/chart" uri="{C3380CC4-5D6E-409C-BE32-E72D297353CC}">
              <c16:uniqueId val="{00000003-451E-4B9A-8787-FCD0A2FC8956}"/>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
          <c:min val="-1"/>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5441702544597218"/>
              <c:y val="0.888587656158295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0.2"/>
        <c:minorUnit val="5.000000000000001E-2"/>
      </c:valAx>
      <c:spPr>
        <a:noFill/>
        <a:ln>
          <a:noFill/>
        </a:ln>
        <a:effectLst/>
      </c:spPr>
    </c:plotArea>
    <c:legend>
      <c:legendPos val="l"/>
      <c:layout>
        <c:manualLayout>
          <c:xMode val="edge"/>
          <c:yMode val="edge"/>
          <c:x val="7.2607727415254742E-3"/>
          <c:y val="0.29541555215007159"/>
          <c:w val="0.2685547925223278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sz="1400"/>
              <a:t>アウトカムの重要</a:t>
            </a:r>
            <a:r>
              <a:rPr lang="ja-JP" altLang="en-US" sz="1400"/>
              <a:t>度</a:t>
            </a:r>
            <a:r>
              <a:rPr lang="ja-JP" sz="1400"/>
              <a:t>で未調整 効果推定値</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'RD-MD_信頼区間_相関係数から_SW'!$B$35</c:f>
              <c:strCache>
                <c:ptCount val="1"/>
                <c:pt idx="0">
                  <c:v>入院期間</c:v>
                </c:pt>
              </c:strCache>
            </c:strRef>
          </c:tx>
          <c:spPr>
            <a:noFill/>
            <a:ln w="25400" cap="flat" cmpd="sng" algn="ctr">
              <a:solidFill>
                <a:schemeClr val="accent5"/>
              </a:solidFill>
              <a:miter lim="800000"/>
            </a:ln>
            <a:effectLst/>
          </c:spPr>
          <c:invertIfNegative val="0"/>
          <c:errBars>
            <c:errBarType val="both"/>
            <c:errValType val="cust"/>
            <c:noEndCap val="0"/>
            <c:plus>
              <c:numRef>
                <c:f>'RD-MD_信頼区間_相関係数から_SW'!$D$35</c:f>
                <c:numCache>
                  <c:formatCode>General</c:formatCode>
                  <c:ptCount val="1"/>
                  <c:pt idx="0">
                    <c:v>0.13900000000000001</c:v>
                  </c:pt>
                </c:numCache>
              </c:numRef>
            </c:plus>
            <c:minus>
              <c:numRef>
                <c:f>'RD-MD_信頼区間_相関係数から_SW'!$D$35</c:f>
                <c:numCache>
                  <c:formatCode>General</c:formatCode>
                  <c:ptCount val="1"/>
                  <c:pt idx="0">
                    <c:v>0.13900000000000001</c:v>
                  </c:pt>
                </c:numCache>
              </c:numRef>
            </c:minus>
            <c:spPr>
              <a:noFill/>
              <a:ln w="9525" cap="flat" cmpd="sng" algn="ctr">
                <a:solidFill>
                  <a:schemeClr val="tx1">
                    <a:lumMod val="50000"/>
                    <a:lumOff val="50000"/>
                  </a:schemeClr>
                </a:solidFill>
                <a:round/>
              </a:ln>
              <a:effectLst/>
            </c:spPr>
          </c:errBars>
          <c:val>
            <c:numRef>
              <c:f>'RD-MD_信頼区間_相関係数から_SW'!$C$35</c:f>
              <c:numCache>
                <c:formatCode>General</c:formatCode>
                <c:ptCount val="1"/>
                <c:pt idx="0">
                  <c:v>-0.39</c:v>
                </c:pt>
              </c:numCache>
            </c:numRef>
          </c:val>
          <c:extLst>
            <c:ext xmlns:c16="http://schemas.microsoft.com/office/drawing/2014/chart" uri="{C3380CC4-5D6E-409C-BE32-E72D297353CC}">
              <c16:uniqueId val="{00000000-7863-4958-8276-8E3A5A6992D0}"/>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
          <c:min val="-1"/>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0.2"/>
      </c:valAx>
      <c:spPr>
        <a:noFill/>
        <a:ln>
          <a:noFill/>
        </a:ln>
        <a:effectLst/>
      </c:spPr>
    </c:plotArea>
    <c:legend>
      <c:legendPos val="l"/>
      <c:layout>
        <c:manualLayout>
          <c:xMode val="edge"/>
          <c:yMode val="edge"/>
          <c:x val="7.2607727415254742E-3"/>
          <c:y val="0.29541555215007159"/>
          <c:w val="0.13101868305942604"/>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sz="1400"/>
              <a:t>アウトカムの重要</a:t>
            </a:r>
            <a:r>
              <a:rPr lang="ja-JP" altLang="en-US" sz="1400"/>
              <a:t>度</a:t>
            </a:r>
            <a:r>
              <a:rPr lang="ja-JP" sz="1400"/>
              <a:t>で未調整 効果推定値</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'RD-MD_信頼区間_相関係数から_SW'!$B$36</c:f>
              <c:strCache>
                <c:ptCount val="1"/>
                <c:pt idx="0">
                  <c:v>病休期間</c:v>
                </c:pt>
              </c:strCache>
            </c:strRef>
          </c:tx>
          <c:spPr>
            <a:noFill/>
            <a:ln w="25400" cap="flat" cmpd="sng" algn="ctr">
              <a:solidFill>
                <a:schemeClr val="accent6"/>
              </a:solidFill>
              <a:miter lim="800000"/>
            </a:ln>
            <a:effectLst/>
          </c:spPr>
          <c:invertIfNegative val="0"/>
          <c:errBars>
            <c:errBarType val="both"/>
            <c:errValType val="cust"/>
            <c:noEndCap val="0"/>
            <c:plus>
              <c:numRef>
                <c:f>'RD-MD_信頼区間_相関係数から_SW'!$D$36</c:f>
                <c:numCache>
                  <c:formatCode>General</c:formatCode>
                  <c:ptCount val="1"/>
                  <c:pt idx="0">
                    <c:v>4.33</c:v>
                  </c:pt>
                </c:numCache>
              </c:numRef>
            </c:plus>
            <c:minus>
              <c:numRef>
                <c:f>'RD-MD_信頼区間_相関係数から_SW'!$D$36</c:f>
                <c:numCache>
                  <c:formatCode>General</c:formatCode>
                  <c:ptCount val="1"/>
                  <c:pt idx="0">
                    <c:v>4.33</c:v>
                  </c:pt>
                </c:numCache>
              </c:numRef>
            </c:minus>
            <c:spPr>
              <a:noFill/>
              <a:ln w="9525" cap="flat" cmpd="sng" algn="ctr">
                <a:solidFill>
                  <a:schemeClr val="tx1">
                    <a:lumMod val="50000"/>
                    <a:lumOff val="50000"/>
                  </a:schemeClr>
                </a:solidFill>
                <a:round/>
              </a:ln>
              <a:effectLst/>
            </c:spPr>
          </c:errBars>
          <c:val>
            <c:numRef>
              <c:f>'RD-MD_信頼区間_相関係数から_SW'!$C$36</c:f>
              <c:numCache>
                <c:formatCode>General</c:formatCode>
                <c:ptCount val="1"/>
                <c:pt idx="0">
                  <c:v>3.6</c:v>
                </c:pt>
              </c:numCache>
            </c:numRef>
          </c:val>
          <c:extLst>
            <c:ext xmlns:c16="http://schemas.microsoft.com/office/drawing/2014/chart" uri="{C3380CC4-5D6E-409C-BE32-E72D297353CC}">
              <c16:uniqueId val="{00000000-530A-4A3F-B864-5507AD3BF7B0}"/>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8"/>
          <c:min val="-8"/>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1"/>
        <c:minorUnit val="1"/>
      </c:valAx>
      <c:spPr>
        <a:noFill/>
        <a:ln>
          <a:noFill/>
        </a:ln>
        <a:effectLst/>
      </c:spPr>
    </c:plotArea>
    <c:legend>
      <c:legendPos val="l"/>
      <c:layout>
        <c:manualLayout>
          <c:xMode val="edge"/>
          <c:yMode val="edge"/>
          <c:x val="7.2607727415254742E-3"/>
          <c:y val="0.29541555215007159"/>
          <c:w val="0.13280486674577444"/>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sz="1400"/>
              <a:t>アウトカムの重要</a:t>
            </a:r>
            <a:r>
              <a:rPr lang="ja-JP" altLang="en-US" sz="1400"/>
              <a:t>度</a:t>
            </a:r>
            <a:r>
              <a:rPr lang="ja-JP" sz="1400"/>
              <a:t>で未調整 効果推定値</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'RD-MD_信頼区間_相関係数から_SW'!$B$37</c:f>
              <c:strCache>
                <c:ptCount val="1"/>
                <c:pt idx="0">
                  <c:v>費用</c:v>
                </c:pt>
              </c:strCache>
            </c:strRef>
          </c:tx>
          <c:spPr>
            <a:noFill/>
            <a:ln w="25400" cap="flat" cmpd="dbl" algn="ctr">
              <a:solidFill>
                <a:schemeClr val="tx1"/>
              </a:solidFill>
              <a:miter lim="800000"/>
            </a:ln>
            <a:effectLst/>
          </c:spPr>
          <c:invertIfNegative val="0"/>
          <c:errBars>
            <c:errBarType val="both"/>
            <c:errValType val="cust"/>
            <c:noEndCap val="0"/>
            <c:plus>
              <c:numRef>
                <c:f>'RD-MD_信頼区間_相関係数から_SW'!$D$37</c:f>
                <c:numCache>
                  <c:formatCode>General</c:formatCode>
                  <c:ptCount val="1"/>
                  <c:pt idx="0">
                    <c:v>7</c:v>
                  </c:pt>
                </c:numCache>
              </c:numRef>
            </c:plus>
            <c:minus>
              <c:numRef>
                <c:f>'RD-MD_信頼区間_相関係数から_SW'!$D$37</c:f>
                <c:numCache>
                  <c:formatCode>General</c:formatCode>
                  <c:ptCount val="1"/>
                  <c:pt idx="0">
                    <c:v>7</c:v>
                  </c:pt>
                </c:numCache>
              </c:numRef>
            </c:minus>
            <c:spPr>
              <a:noFill/>
              <a:ln w="9525" cap="flat" cmpd="sng" algn="ctr">
                <a:solidFill>
                  <a:schemeClr val="tx1">
                    <a:lumMod val="50000"/>
                    <a:lumOff val="50000"/>
                  </a:schemeClr>
                </a:solidFill>
                <a:round/>
              </a:ln>
              <a:effectLst/>
            </c:spPr>
          </c:errBars>
          <c:val>
            <c:numRef>
              <c:f>'RD-MD_信頼区間_相関係数から_SW'!$C$37</c:f>
              <c:numCache>
                <c:formatCode>General</c:formatCode>
                <c:ptCount val="1"/>
                <c:pt idx="0">
                  <c:v>34</c:v>
                </c:pt>
              </c:numCache>
            </c:numRef>
          </c:val>
          <c:extLst>
            <c:ext xmlns:c16="http://schemas.microsoft.com/office/drawing/2014/chart" uri="{C3380CC4-5D6E-409C-BE32-E72D297353CC}">
              <c16:uniqueId val="{00000000-5228-4FA2-8190-07EDF4C972EF}"/>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in val="-4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2021177895749456"/>
              <c:y val="0.888587780694079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inorUnit val="5"/>
      </c:valAx>
      <c:spPr>
        <a:noFill/>
        <a:ln>
          <a:noFill/>
        </a:ln>
        <a:effectLst/>
      </c:spPr>
    </c:plotArea>
    <c:legend>
      <c:legendPos val="l"/>
      <c:layout>
        <c:manualLayout>
          <c:xMode val="edge"/>
          <c:yMode val="edge"/>
          <c:x val="7.2607727415254742E-3"/>
          <c:y val="0.29541555215007159"/>
          <c:w val="0.2685547925223278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a:t>正味の益が反転しない効果推定値の範囲：二値変数アウトカム</a:t>
            </a:r>
            <a:endParaRPr lang="en-US" altLang="ja-JP" sz="1400"/>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'RD-MD_信頼区間_相関係数から_SW'!$B$83</c:f>
              <c:strCache>
                <c:ptCount val="1"/>
                <c:pt idx="0">
                  <c:v>1ヶ月以降1年以内の再発無し</c:v>
                </c:pt>
              </c:strCache>
            </c:strRef>
          </c:tx>
          <c:spPr>
            <a:noFill/>
            <a:ln w="25400" cap="flat" cmpd="sng" algn="ctr">
              <a:solidFill>
                <a:schemeClr val="accent1"/>
              </a:solidFill>
              <a:miter lim="800000"/>
            </a:ln>
            <a:effectLst/>
          </c:spPr>
          <c:invertIfNegative val="0"/>
          <c:errBars>
            <c:errBarType val="both"/>
            <c:errValType val="cust"/>
            <c:noEndCap val="0"/>
            <c:plus>
              <c:numRef>
                <c:f>'RD-MD_信頼区間_相関係数から_SW'!$E$83</c:f>
                <c:numCache>
                  <c:formatCode>General</c:formatCode>
                  <c:ptCount val="1"/>
                  <c:pt idx="0">
                    <c:v>0.11042751629488994</c:v>
                  </c:pt>
                </c:numCache>
              </c:numRef>
            </c:plus>
            <c:minus>
              <c:numRef>
                <c:f>'RD-MD_信頼区間_相関係数から_SW'!$D$83</c:f>
                <c:numCache>
                  <c:formatCode>General</c:formatCode>
                  <c:ptCount val="1"/>
                  <c:pt idx="0">
                    <c:v>0.77900000000000003</c:v>
                  </c:pt>
                </c:numCache>
              </c:numRef>
            </c:minus>
            <c:spPr>
              <a:noFill/>
              <a:ln w="9525" cap="flat" cmpd="sng" algn="ctr">
                <a:solidFill>
                  <a:schemeClr val="tx1">
                    <a:lumMod val="50000"/>
                    <a:lumOff val="50000"/>
                  </a:schemeClr>
                </a:solidFill>
                <a:round/>
              </a:ln>
              <a:effectLst/>
            </c:spPr>
          </c:errBars>
          <c:val>
            <c:numRef>
              <c:f>'RD-MD_信頼区間_相関係数から_SW'!$C$83</c:f>
              <c:numCache>
                <c:formatCode>General</c:formatCode>
                <c:ptCount val="1"/>
                <c:pt idx="0">
                  <c:v>-0.221</c:v>
                </c:pt>
              </c:numCache>
            </c:numRef>
          </c:val>
          <c:extLst>
            <c:ext xmlns:c16="http://schemas.microsoft.com/office/drawing/2014/chart" uri="{C3380CC4-5D6E-409C-BE32-E72D297353CC}">
              <c16:uniqueId val="{00000000-57D3-423E-BB92-CB391256ADCC}"/>
            </c:ext>
          </c:extLst>
        </c:ser>
        <c:ser>
          <c:idx val="1"/>
          <c:order val="1"/>
          <c:tx>
            <c:strRef>
              <c:f>'RD-MD_信頼区間_相関係数から_SW'!$B$84</c:f>
              <c:strCache>
                <c:ptCount val="1"/>
                <c:pt idx="0">
                  <c:v>虫垂切除（1ヶ月以内）</c:v>
                </c:pt>
              </c:strCache>
            </c:strRef>
          </c:tx>
          <c:spPr>
            <a:noFill/>
            <a:ln w="25400" cap="flat" cmpd="sng" algn="ctr">
              <a:solidFill>
                <a:schemeClr val="accent2"/>
              </a:solidFill>
              <a:miter lim="800000"/>
            </a:ln>
            <a:effectLst/>
          </c:spPr>
          <c:invertIfNegative val="0"/>
          <c:errBars>
            <c:errBarType val="both"/>
            <c:errValType val="cust"/>
            <c:noEndCap val="0"/>
            <c:plus>
              <c:numRef>
                <c:f>'RD-MD_信頼区間_相関係数から_SW'!$E$84</c:f>
                <c:numCache>
                  <c:formatCode>General</c:formatCode>
                  <c:ptCount val="1"/>
                  <c:pt idx="0">
                    <c:v>9.5999999999999974E-2</c:v>
                  </c:pt>
                </c:numCache>
              </c:numRef>
            </c:plus>
            <c:minus>
              <c:numRef>
                <c:f>'RD-MD_信頼区間_相関係数から_SW'!$D$84</c:f>
                <c:numCache>
                  <c:formatCode>General</c:formatCode>
                  <c:ptCount val="1"/>
                  <c:pt idx="0">
                    <c:v>1.9039999999999999</c:v>
                  </c:pt>
                </c:numCache>
              </c:numRef>
            </c:minus>
            <c:spPr>
              <a:noFill/>
              <a:ln w="9525" cap="flat" cmpd="sng" algn="ctr">
                <a:solidFill>
                  <a:schemeClr val="tx1">
                    <a:lumMod val="50000"/>
                    <a:lumOff val="50000"/>
                  </a:schemeClr>
                </a:solidFill>
                <a:round/>
              </a:ln>
              <a:effectLst/>
            </c:spPr>
          </c:errBars>
          <c:val>
            <c:numRef>
              <c:f>'RD-MD_信頼区間_相関係数から_SW'!$C$84</c:f>
              <c:numCache>
                <c:formatCode>General</c:formatCode>
                <c:ptCount val="1"/>
                <c:pt idx="0">
                  <c:v>0.90400000000000003</c:v>
                </c:pt>
              </c:numCache>
            </c:numRef>
          </c:val>
          <c:extLst>
            <c:ext xmlns:c16="http://schemas.microsoft.com/office/drawing/2014/chart" uri="{C3380CC4-5D6E-409C-BE32-E72D297353CC}">
              <c16:uniqueId val="{00000001-57D3-423E-BB92-CB391256ADCC}"/>
            </c:ext>
          </c:extLst>
        </c:ser>
        <c:ser>
          <c:idx val="2"/>
          <c:order val="2"/>
          <c:tx>
            <c:strRef>
              <c:f>'RD-MD_信頼区間_相関係数から_SW'!$B$85</c:f>
              <c:strCache>
                <c:ptCount val="1"/>
                <c:pt idx="0">
                  <c:v>主要な合併症</c:v>
                </c:pt>
              </c:strCache>
            </c:strRef>
          </c:tx>
          <c:spPr>
            <a:noFill/>
            <a:ln w="25400" cap="flat" cmpd="sng" algn="ctr">
              <a:solidFill>
                <a:schemeClr val="accent3"/>
              </a:solidFill>
              <a:miter lim="800000"/>
            </a:ln>
            <a:effectLst/>
          </c:spPr>
          <c:invertIfNegative val="0"/>
          <c:errBars>
            <c:errBarType val="both"/>
            <c:errValType val="cust"/>
            <c:noEndCap val="0"/>
            <c:plus>
              <c:numRef>
                <c:f>'RD-MD_信頼区間_相関係数から_SW'!$E$85</c:f>
                <c:numCache>
                  <c:formatCode>General</c:formatCode>
                  <c:ptCount val="1"/>
                  <c:pt idx="0">
                    <c:v>0.97499999999999998</c:v>
                  </c:pt>
                </c:numCache>
              </c:numRef>
            </c:plus>
            <c:minus>
              <c:numRef>
                <c:f>'RD-MD_信頼区間_相関係数から_SW'!$D$85</c:f>
                <c:numCache>
                  <c:formatCode>General</c:formatCode>
                  <c:ptCount val="1"/>
                  <c:pt idx="0">
                    <c:v>0.2991851940179448</c:v>
                  </c:pt>
                </c:numCache>
              </c:numRef>
            </c:minus>
            <c:spPr>
              <a:noFill/>
              <a:ln w="9525" cap="flat" cmpd="sng" algn="ctr">
                <a:solidFill>
                  <a:schemeClr val="tx1">
                    <a:lumMod val="50000"/>
                    <a:lumOff val="50000"/>
                  </a:schemeClr>
                </a:solidFill>
                <a:round/>
              </a:ln>
              <a:effectLst/>
            </c:spPr>
          </c:errBars>
          <c:val>
            <c:numRef>
              <c:f>'RD-MD_信頼区間_相関係数から_SW'!$C$85</c:f>
              <c:numCache>
                <c:formatCode>General</c:formatCode>
                <c:ptCount val="1"/>
                <c:pt idx="0">
                  <c:v>2.5000000000000001E-2</c:v>
                </c:pt>
              </c:numCache>
            </c:numRef>
          </c:val>
          <c:extLst>
            <c:ext xmlns:c16="http://schemas.microsoft.com/office/drawing/2014/chart" uri="{C3380CC4-5D6E-409C-BE32-E72D297353CC}">
              <c16:uniqueId val="{00000002-57D3-423E-BB92-CB391256ADCC}"/>
            </c:ext>
          </c:extLst>
        </c:ser>
        <c:ser>
          <c:idx val="3"/>
          <c:order val="3"/>
          <c:tx>
            <c:strRef>
              <c:f>'RD-MD_信頼区間_相関係数から_SW'!$B$86</c:f>
              <c:strCache>
                <c:ptCount val="1"/>
                <c:pt idx="0">
                  <c:v>その他の合併症</c:v>
                </c:pt>
              </c:strCache>
            </c:strRef>
          </c:tx>
          <c:spPr>
            <a:noFill/>
            <a:ln w="25400" cap="flat" cmpd="sng" algn="ctr">
              <a:solidFill>
                <a:schemeClr val="accent4"/>
              </a:solidFill>
              <a:miter lim="800000"/>
            </a:ln>
            <a:effectLst/>
          </c:spPr>
          <c:invertIfNegative val="0"/>
          <c:errBars>
            <c:errBarType val="both"/>
            <c:errValType val="cust"/>
            <c:noEndCap val="0"/>
            <c:plus>
              <c:numRef>
                <c:f>'RD-MD_信頼区間_相関係数から_SW'!$E$86</c:f>
                <c:numCache>
                  <c:formatCode>General</c:formatCode>
                  <c:ptCount val="1"/>
                  <c:pt idx="0">
                    <c:v>0.91</c:v>
                  </c:pt>
                </c:numCache>
              </c:numRef>
            </c:plus>
            <c:minus>
              <c:numRef>
                <c:f>'RD-MD_信頼区間_相関係数から_SW'!$D$86</c:f>
                <c:numCache>
                  <c:formatCode>General</c:formatCode>
                  <c:ptCount val="1"/>
                  <c:pt idx="0">
                    <c:v>0.61279183824298511</c:v>
                  </c:pt>
                </c:numCache>
              </c:numRef>
            </c:minus>
            <c:spPr>
              <a:noFill/>
              <a:ln w="9525" cap="flat" cmpd="sng" algn="ctr">
                <a:solidFill>
                  <a:schemeClr val="tx1">
                    <a:lumMod val="50000"/>
                    <a:lumOff val="50000"/>
                  </a:schemeClr>
                </a:solidFill>
                <a:round/>
              </a:ln>
              <a:effectLst/>
            </c:spPr>
          </c:errBars>
          <c:val>
            <c:numRef>
              <c:f>'RD-MD_信頼区間_相関係数から_SW'!$C$86</c:f>
              <c:numCache>
                <c:formatCode>General</c:formatCode>
                <c:ptCount val="1"/>
                <c:pt idx="0">
                  <c:v>0.09</c:v>
                </c:pt>
              </c:numCache>
            </c:numRef>
          </c:val>
          <c:extLst>
            <c:ext xmlns:c16="http://schemas.microsoft.com/office/drawing/2014/chart" uri="{C3380CC4-5D6E-409C-BE32-E72D297353CC}">
              <c16:uniqueId val="{00000003-57D3-423E-BB92-CB391256ADCC}"/>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
          <c:min val="-1"/>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5441702544597218"/>
              <c:y val="0.888587656158295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0.2"/>
      </c:valAx>
      <c:spPr>
        <a:noFill/>
        <a:ln>
          <a:noFill/>
        </a:ln>
        <a:effectLst/>
      </c:spPr>
    </c:plotArea>
    <c:legend>
      <c:legendPos val="l"/>
      <c:layout>
        <c:manualLayout>
          <c:xMode val="edge"/>
          <c:yMode val="edge"/>
          <c:x val="7.2607727415254742E-3"/>
          <c:y val="0.29541555215007159"/>
          <c:w val="0.2685547925223278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正味の益が反転しない効果推定値の範囲</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'RD-MD_信頼区間_相関係数から_SW'!$B$87</c:f>
              <c:strCache>
                <c:ptCount val="1"/>
                <c:pt idx="0">
                  <c:v>入院期間</c:v>
                </c:pt>
              </c:strCache>
            </c:strRef>
          </c:tx>
          <c:spPr>
            <a:noFill/>
            <a:ln w="25400" cap="flat" cmpd="sng" algn="ctr">
              <a:solidFill>
                <a:schemeClr val="accent5"/>
              </a:solidFill>
              <a:miter lim="800000"/>
            </a:ln>
            <a:effectLst/>
          </c:spPr>
          <c:invertIfNegative val="0"/>
          <c:errBars>
            <c:errBarType val="both"/>
            <c:errValType val="cust"/>
            <c:noEndCap val="0"/>
            <c:plus>
              <c:numRef>
                <c:f>'RD-MD_信頼区間_相関係数から_SW'!$E$87</c:f>
                <c:numCache>
                  <c:formatCode>General</c:formatCode>
                  <c:ptCount val="1"/>
                  <c:pt idx="0">
                    <c:v>81.543711020439588</c:v>
                  </c:pt>
                </c:numCache>
              </c:numRef>
            </c:plus>
            <c:minus>
              <c:numRef>
                <c:f>'RD-MD_信頼区間_相関係数から_SW'!$D$87</c:f>
                <c:numCache>
                  <c:formatCode>General</c:formatCode>
                  <c:ptCount val="1"/>
                  <c:pt idx="0">
                    <c:v>8.1543711020439584</c:v>
                  </c:pt>
                </c:numCache>
              </c:numRef>
            </c:minus>
            <c:spPr>
              <a:noFill/>
              <a:ln w="9525" cap="flat" cmpd="sng" algn="ctr">
                <a:solidFill>
                  <a:schemeClr val="tx1">
                    <a:lumMod val="50000"/>
                    <a:lumOff val="50000"/>
                  </a:schemeClr>
                </a:solidFill>
                <a:round/>
              </a:ln>
              <a:effectLst/>
            </c:spPr>
          </c:errBars>
          <c:val>
            <c:numRef>
              <c:f>'RD-MD_信頼区間_相関係数から_SW'!$C$87</c:f>
              <c:numCache>
                <c:formatCode>General</c:formatCode>
                <c:ptCount val="1"/>
                <c:pt idx="0">
                  <c:v>-0.39</c:v>
                </c:pt>
              </c:numCache>
            </c:numRef>
          </c:val>
          <c:extLst>
            <c:ext xmlns:c16="http://schemas.microsoft.com/office/drawing/2014/chart" uri="{C3380CC4-5D6E-409C-BE32-E72D297353CC}">
              <c16:uniqueId val="{00000000-C06E-45E7-8858-54A1C8ED4A77}"/>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5"/>
          <c:min val="-5"/>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7065485328597286"/>
              <c:y val="0.8329913079861325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1"/>
        <c:minorUnit val="1"/>
      </c:valAx>
      <c:spPr>
        <a:noFill/>
        <a:ln>
          <a:noFill/>
        </a:ln>
        <a:effectLst/>
      </c:spPr>
    </c:plotArea>
    <c:legend>
      <c:legendPos val="l"/>
      <c:layout>
        <c:manualLayout>
          <c:xMode val="edge"/>
          <c:yMode val="edge"/>
          <c:x val="7.2607727415254742E-3"/>
          <c:y val="0.29541555215007159"/>
          <c:w val="0.10745922256814708"/>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正味の益が反転しない効果推定値の範囲</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'RD-MD_信頼区間_相関係数から_SW'!$B$88</c:f>
              <c:strCache>
                <c:ptCount val="1"/>
                <c:pt idx="0">
                  <c:v>病休期間</c:v>
                </c:pt>
              </c:strCache>
            </c:strRef>
          </c:tx>
          <c:spPr>
            <a:noFill/>
            <a:ln w="25400" cap="flat" cmpd="sng" algn="ctr">
              <a:solidFill>
                <a:schemeClr val="accent6"/>
              </a:solidFill>
              <a:miter lim="800000"/>
            </a:ln>
            <a:effectLst/>
          </c:spPr>
          <c:invertIfNegative val="0"/>
          <c:errBars>
            <c:errBarType val="both"/>
            <c:errValType val="cust"/>
            <c:noEndCap val="0"/>
            <c:plus>
              <c:numRef>
                <c:f>'RD-MD_信頼区間_相関係数から_SW'!$E$88</c:f>
                <c:numCache>
                  <c:formatCode>General</c:formatCode>
                  <c:ptCount val="1"/>
                  <c:pt idx="0">
                    <c:v>453.66943897100577</c:v>
                  </c:pt>
                </c:numCache>
              </c:numRef>
            </c:plus>
            <c:minus>
              <c:numRef>
                <c:f>'RD-MD_信頼区間_相関係数から_SW'!$D$88</c:f>
                <c:numCache>
                  <c:formatCode>General</c:formatCode>
                  <c:ptCount val="1"/>
                  <c:pt idx="0">
                    <c:v>45.366943897100576</c:v>
                  </c:pt>
                </c:numCache>
              </c:numRef>
            </c:minus>
            <c:spPr>
              <a:noFill/>
              <a:ln w="9525" cap="flat" cmpd="sng" algn="ctr">
                <a:solidFill>
                  <a:schemeClr val="tx1">
                    <a:lumMod val="50000"/>
                    <a:lumOff val="50000"/>
                  </a:schemeClr>
                </a:solidFill>
                <a:round/>
                <a:headEnd type="none"/>
              </a:ln>
              <a:effectLst/>
            </c:spPr>
          </c:errBars>
          <c:val>
            <c:numRef>
              <c:f>'RD-MD_信頼区間_相関係数から_SW'!$C$88</c:f>
              <c:numCache>
                <c:formatCode>General</c:formatCode>
                <c:ptCount val="1"/>
                <c:pt idx="0">
                  <c:v>3.6</c:v>
                </c:pt>
              </c:numCache>
            </c:numRef>
          </c:val>
          <c:extLst>
            <c:ext xmlns:c16="http://schemas.microsoft.com/office/drawing/2014/chart" uri="{C3380CC4-5D6E-409C-BE32-E72D297353CC}">
              <c16:uniqueId val="{00000000-1E41-49D6-95B1-E1EF34F2D3BA}"/>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55"/>
          <c:min val="-3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7777205663871971"/>
              <c:y val="0.8399283139634283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7"/>
        <c:minorUnit val="1"/>
      </c:valAx>
      <c:spPr>
        <a:noFill/>
        <a:ln>
          <a:noFill/>
        </a:ln>
        <a:effectLst/>
      </c:spPr>
    </c:plotArea>
    <c:legend>
      <c:legendPos val="l"/>
      <c:layout>
        <c:manualLayout>
          <c:xMode val="edge"/>
          <c:yMode val="edge"/>
          <c:x val="7.2607727415254742E-3"/>
          <c:y val="0.29541555215007159"/>
          <c:w val="0.10745922256814708"/>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正味の益が反転しない効果推定値の範囲</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'RD-MD_信頼区間_相関係数から_SW'!$B$89</c:f>
              <c:strCache>
                <c:ptCount val="1"/>
                <c:pt idx="0">
                  <c:v>費用</c:v>
                </c:pt>
              </c:strCache>
            </c:strRef>
          </c:tx>
          <c:spPr>
            <a:noFill/>
            <a:ln w="25400" cap="flat" cmpd="sng" algn="ctr">
              <a:solidFill>
                <a:schemeClr val="accent1"/>
              </a:solidFill>
              <a:miter lim="800000"/>
            </a:ln>
            <a:effectLst/>
          </c:spPr>
          <c:invertIfNegative val="0"/>
          <c:errBars>
            <c:errBarType val="both"/>
            <c:errValType val="cust"/>
            <c:noEndCap val="0"/>
            <c:plus>
              <c:numRef>
                <c:f>'RD-MD_信頼区間_相関係数から_SW'!$E$89</c:f>
                <c:numCache>
                  <c:formatCode>General</c:formatCode>
                  <c:ptCount val="1"/>
                  <c:pt idx="0">
                    <c:v>3799.6225627353751</c:v>
                  </c:pt>
                </c:numCache>
              </c:numRef>
            </c:plus>
            <c:minus>
              <c:numRef>
                <c:f>'RD-MD_信頼区間_相関係数から_SW'!$D$89</c:f>
                <c:numCache>
                  <c:formatCode>General</c:formatCode>
                  <c:ptCount val="1"/>
                  <c:pt idx="0">
                    <c:v>379.96225627353749</c:v>
                  </c:pt>
                </c:numCache>
              </c:numRef>
            </c:minus>
            <c:spPr>
              <a:noFill/>
              <a:ln w="9525" cap="flat" cmpd="sng" algn="ctr">
                <a:solidFill>
                  <a:schemeClr val="tx1">
                    <a:lumMod val="50000"/>
                    <a:lumOff val="50000"/>
                  </a:schemeClr>
                </a:solidFill>
                <a:round/>
              </a:ln>
              <a:effectLst/>
            </c:spPr>
          </c:errBars>
          <c:val>
            <c:numRef>
              <c:f>'RD-MD_信頼区間_相関係数から_SW'!$C$89</c:f>
              <c:numCache>
                <c:formatCode>General</c:formatCode>
                <c:ptCount val="1"/>
                <c:pt idx="0">
                  <c:v>34</c:v>
                </c:pt>
              </c:numCache>
            </c:numRef>
          </c:val>
          <c:extLst>
            <c:ext xmlns:c16="http://schemas.microsoft.com/office/drawing/2014/chart" uri="{C3380CC4-5D6E-409C-BE32-E72D297353CC}">
              <c16:uniqueId val="{00000000-27E1-4555-81EE-0FC41B11B839}"/>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70"/>
          <c:min val="-12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6539370067228344"/>
              <c:y val="0.8121802900542451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10"/>
        <c:minorUnit val="5"/>
      </c:valAx>
      <c:spPr>
        <a:noFill/>
        <a:ln>
          <a:noFill/>
        </a:ln>
        <a:effectLst/>
      </c:spPr>
    </c:plotArea>
    <c:legend>
      <c:legendPos val="l"/>
      <c:layout>
        <c:manualLayout>
          <c:xMode val="edge"/>
          <c:yMode val="edge"/>
          <c:x val="7.2607727415254742E-3"/>
          <c:y val="0.29541555215007159"/>
          <c:w val="0.10745922256814708"/>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正味の益が反転しない重要度の範囲</a:t>
            </a:r>
            <a:r>
              <a:rPr lang="ja-JP" altLang="en-US" sz="1400"/>
              <a:t>：二値変数アウトカム</a:t>
            </a:r>
            <a:endParaRPr lang="en-US" altLang="ja-JP" sz="1400"/>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'RD-MD_信頼区間_相関係数から_SW'!$B$121</c:f>
              <c:strCache>
                <c:ptCount val="1"/>
                <c:pt idx="0">
                  <c:v>1ヶ月以降1年以内の再発無し</c:v>
                </c:pt>
              </c:strCache>
            </c:strRef>
          </c:tx>
          <c:spPr>
            <a:noFill/>
            <a:ln w="25400" cap="flat" cmpd="sng" algn="ctr">
              <a:solidFill>
                <a:schemeClr val="accent1"/>
              </a:solidFill>
              <a:miter lim="800000"/>
            </a:ln>
            <a:effectLst/>
          </c:spPr>
          <c:invertIfNegative val="0"/>
          <c:errBars>
            <c:errBarType val="both"/>
            <c:errValType val="cust"/>
            <c:noEndCap val="0"/>
            <c:plus>
              <c:numRef>
                <c:f>'RD-MD_信頼区間_相関係数から_SW'!$E$121</c:f>
                <c:numCache>
                  <c:formatCode>General</c:formatCode>
                  <c:ptCount val="1"/>
                  <c:pt idx="0">
                    <c:v>0</c:v>
                  </c:pt>
                </c:numCache>
              </c:numRef>
            </c:plus>
            <c:minus>
              <c:numRef>
                <c:f>'RD-MD_信頼区間_相関係数から_SW'!$D$121</c:f>
                <c:numCache>
                  <c:formatCode>General</c:formatCode>
                  <c:ptCount val="1"/>
                  <c:pt idx="0">
                    <c:v>49.967201943389107</c:v>
                  </c:pt>
                </c:numCache>
              </c:numRef>
            </c:minus>
            <c:spPr>
              <a:noFill/>
              <a:ln w="9525" cap="flat" cmpd="sng" algn="ctr">
                <a:solidFill>
                  <a:schemeClr val="tx1">
                    <a:lumMod val="50000"/>
                    <a:lumOff val="50000"/>
                  </a:schemeClr>
                </a:solidFill>
                <a:round/>
              </a:ln>
              <a:effectLst/>
            </c:spPr>
          </c:errBars>
          <c:val>
            <c:numRef>
              <c:f>'RD-MD_信頼区間_相関係数から_SW'!$C$121</c:f>
              <c:numCache>
                <c:formatCode>General</c:formatCode>
                <c:ptCount val="1"/>
                <c:pt idx="0">
                  <c:v>100</c:v>
                </c:pt>
              </c:numCache>
            </c:numRef>
          </c:val>
          <c:extLst>
            <c:ext xmlns:c16="http://schemas.microsoft.com/office/drawing/2014/chart" uri="{C3380CC4-5D6E-409C-BE32-E72D297353CC}">
              <c16:uniqueId val="{00000000-C13C-4680-94C8-1C86C980B9DB}"/>
            </c:ext>
          </c:extLst>
        </c:ser>
        <c:ser>
          <c:idx val="1"/>
          <c:order val="1"/>
          <c:tx>
            <c:strRef>
              <c:f>'RD-MD_信頼区間_相関係数から_SW'!$B$122</c:f>
              <c:strCache>
                <c:ptCount val="1"/>
                <c:pt idx="0">
                  <c:v>虫垂切除（1ヶ月以内）</c:v>
                </c:pt>
              </c:strCache>
            </c:strRef>
          </c:tx>
          <c:spPr>
            <a:noFill/>
            <a:ln w="25400" cap="flat" cmpd="sng" algn="ctr">
              <a:solidFill>
                <a:schemeClr val="accent2"/>
              </a:solidFill>
              <a:miter lim="800000"/>
            </a:ln>
            <a:effectLst/>
          </c:spPr>
          <c:invertIfNegative val="0"/>
          <c:errBars>
            <c:errBarType val="both"/>
            <c:errValType val="cust"/>
            <c:noEndCap val="0"/>
            <c:plus>
              <c:numRef>
                <c:f>'RD-MD_信頼区間_相関係数から_SW'!$E$122</c:f>
                <c:numCache>
                  <c:formatCode>General</c:formatCode>
                  <c:ptCount val="1"/>
                  <c:pt idx="0">
                    <c:v>37.497051373582416</c:v>
                  </c:pt>
                </c:numCache>
              </c:numRef>
            </c:plus>
            <c:minus>
              <c:numRef>
                <c:f>'RD-MD_信頼区間_相関係数から_SW'!$D$122</c:f>
                <c:numCache>
                  <c:formatCode>General</c:formatCode>
                  <c:ptCount val="1"/>
                  <c:pt idx="0">
                    <c:v>20</c:v>
                  </c:pt>
                </c:numCache>
              </c:numRef>
            </c:minus>
            <c:spPr>
              <a:noFill/>
              <a:ln w="9525" cap="flat" cmpd="sng" algn="ctr">
                <a:solidFill>
                  <a:schemeClr val="tx1">
                    <a:lumMod val="50000"/>
                    <a:lumOff val="50000"/>
                  </a:schemeClr>
                </a:solidFill>
                <a:round/>
              </a:ln>
              <a:effectLst/>
            </c:spPr>
          </c:errBars>
          <c:val>
            <c:numRef>
              <c:f>'RD-MD_信頼区間_相関係数から_SW'!$C$122</c:f>
              <c:numCache>
                <c:formatCode>General</c:formatCode>
                <c:ptCount val="1"/>
                <c:pt idx="0">
                  <c:v>20</c:v>
                </c:pt>
              </c:numCache>
            </c:numRef>
          </c:val>
          <c:extLst>
            <c:ext xmlns:c16="http://schemas.microsoft.com/office/drawing/2014/chart" uri="{C3380CC4-5D6E-409C-BE32-E72D297353CC}">
              <c16:uniqueId val="{00000001-C13C-4680-94C8-1C86C980B9DB}"/>
            </c:ext>
          </c:extLst>
        </c:ser>
        <c:ser>
          <c:idx val="2"/>
          <c:order val="2"/>
          <c:tx>
            <c:strRef>
              <c:f>'RD-MD_信頼区間_相関係数から_SW'!$B$123</c:f>
              <c:strCache>
                <c:ptCount val="1"/>
                <c:pt idx="0">
                  <c:v>主要な合併症</c:v>
                </c:pt>
              </c:strCache>
            </c:strRef>
          </c:tx>
          <c:spPr>
            <a:noFill/>
            <a:ln w="25400" cap="flat" cmpd="sng" algn="ctr">
              <a:solidFill>
                <a:schemeClr val="accent3"/>
              </a:solidFill>
              <a:miter lim="800000"/>
            </a:ln>
            <a:effectLst/>
          </c:spPr>
          <c:invertIfNegative val="0"/>
          <c:errBars>
            <c:errBarType val="both"/>
            <c:errValType val="cust"/>
            <c:noEndCap val="0"/>
            <c:plus>
              <c:numRef>
                <c:f>'RD-MD_信頼区間_相関係数から_SW'!$E$123</c:f>
                <c:numCache>
                  <c:formatCode>General</c:formatCode>
                  <c:ptCount val="1"/>
                  <c:pt idx="0">
                    <c:v>80</c:v>
                  </c:pt>
                </c:numCache>
              </c:numRef>
            </c:plus>
            <c:minus>
              <c:numRef>
                <c:f>'RD-MD_信頼区間_相関係数から_SW'!$D$123</c:f>
                <c:numCache>
                  <c:formatCode>General</c:formatCode>
                  <c:ptCount val="1"/>
                  <c:pt idx="0">
                    <c:v>20</c:v>
                  </c:pt>
                </c:numCache>
              </c:numRef>
            </c:minus>
            <c:spPr>
              <a:noFill/>
              <a:ln w="9525" cap="flat" cmpd="sng" algn="ctr">
                <a:solidFill>
                  <a:schemeClr val="tx1">
                    <a:lumMod val="50000"/>
                    <a:lumOff val="50000"/>
                  </a:schemeClr>
                </a:solidFill>
                <a:round/>
              </a:ln>
              <a:effectLst/>
            </c:spPr>
          </c:errBars>
          <c:val>
            <c:numRef>
              <c:f>'RD-MD_信頼区間_相関係数から_SW'!$C$123</c:f>
              <c:numCache>
                <c:formatCode>General</c:formatCode>
                <c:ptCount val="1"/>
                <c:pt idx="0">
                  <c:v>20</c:v>
                </c:pt>
              </c:numCache>
            </c:numRef>
          </c:val>
          <c:extLst>
            <c:ext xmlns:c16="http://schemas.microsoft.com/office/drawing/2014/chart" uri="{C3380CC4-5D6E-409C-BE32-E72D297353CC}">
              <c16:uniqueId val="{00000002-C13C-4680-94C8-1C86C980B9DB}"/>
            </c:ext>
          </c:extLst>
        </c:ser>
        <c:ser>
          <c:idx val="3"/>
          <c:order val="3"/>
          <c:tx>
            <c:strRef>
              <c:f>'RD-MD_信頼区間_相関係数から_SW'!$B$124</c:f>
              <c:strCache>
                <c:ptCount val="1"/>
                <c:pt idx="0">
                  <c:v>その他の合併症</c:v>
                </c:pt>
              </c:strCache>
            </c:strRef>
          </c:tx>
          <c:spPr>
            <a:noFill/>
            <a:ln w="25400" cap="flat" cmpd="sng" algn="ctr">
              <a:solidFill>
                <a:schemeClr val="accent4"/>
              </a:solidFill>
              <a:miter lim="800000"/>
            </a:ln>
            <a:effectLst/>
          </c:spPr>
          <c:invertIfNegative val="0"/>
          <c:errBars>
            <c:errBarType val="both"/>
            <c:errValType val="cust"/>
            <c:noEndCap val="0"/>
            <c:plus>
              <c:numRef>
                <c:f>'RD-MD_信頼区間_相関係数から_SW'!$E$124</c:f>
                <c:numCache>
                  <c:formatCode>General</c:formatCode>
                  <c:ptCount val="1"/>
                  <c:pt idx="0">
                    <c:v>72.131973040497499</c:v>
                  </c:pt>
                </c:numCache>
              </c:numRef>
            </c:plus>
            <c:minus>
              <c:numRef>
                <c:f>'RD-MD_信頼区間_相関係数から_SW'!$D$124</c:f>
                <c:numCache>
                  <c:formatCode>General</c:formatCode>
                  <c:ptCount val="1"/>
                  <c:pt idx="0">
                    <c:v>15</c:v>
                  </c:pt>
                </c:numCache>
              </c:numRef>
            </c:minus>
            <c:spPr>
              <a:noFill/>
              <a:ln w="9525" cap="flat" cmpd="sng" algn="ctr">
                <a:solidFill>
                  <a:schemeClr val="tx1">
                    <a:lumMod val="50000"/>
                    <a:lumOff val="50000"/>
                  </a:schemeClr>
                </a:solidFill>
                <a:round/>
              </a:ln>
              <a:effectLst/>
            </c:spPr>
          </c:errBars>
          <c:val>
            <c:numRef>
              <c:f>'RD-MD_信頼区間_相関係数から_SW'!$C$124</c:f>
              <c:numCache>
                <c:formatCode>General</c:formatCode>
                <c:ptCount val="1"/>
                <c:pt idx="0">
                  <c:v>15</c:v>
                </c:pt>
              </c:numCache>
            </c:numRef>
          </c:val>
          <c:extLst>
            <c:ext xmlns:c16="http://schemas.microsoft.com/office/drawing/2014/chart" uri="{C3380CC4-5D6E-409C-BE32-E72D297353CC}">
              <c16:uniqueId val="{00000003-C13C-4680-94C8-1C86C980B9DB}"/>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0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45441702544597218"/>
              <c:y val="0.88858765615829538"/>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inorUnit val="5"/>
      </c:valAx>
      <c:spPr>
        <a:noFill/>
        <a:ln>
          <a:noFill/>
        </a:ln>
        <a:effectLst/>
      </c:spPr>
    </c:plotArea>
    <c:legend>
      <c:legendPos val="l"/>
      <c:layout>
        <c:manualLayout>
          <c:xMode val="edge"/>
          <c:yMode val="edge"/>
          <c:x val="7.2607727415254742E-3"/>
          <c:y val="0.29541555215007159"/>
          <c:w val="0.26855479252232789"/>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正味の益が反転しない重要度の範囲</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manualLayout>
          <c:layoutTarget val="inner"/>
          <c:xMode val="edge"/>
          <c:yMode val="edge"/>
          <c:x val="0.13567736971420821"/>
          <c:y val="0.30127416959395575"/>
          <c:w val="0.83277573113233161"/>
          <c:h val="0.33666054717136751"/>
        </c:manualLayout>
      </c:layout>
      <c:barChart>
        <c:barDir val="bar"/>
        <c:grouping val="clustered"/>
        <c:varyColors val="0"/>
        <c:ser>
          <c:idx val="0"/>
          <c:order val="0"/>
          <c:spPr>
            <a:noFill/>
            <a:ln w="25400" cap="flat" cmpd="sng" algn="ctr">
              <a:solidFill>
                <a:schemeClr val="accent1"/>
              </a:solidFill>
              <a:miter lim="800000"/>
            </a:ln>
            <a:effectLst/>
          </c:spPr>
          <c:invertIfNegative val="0"/>
          <c:dPt>
            <c:idx val="0"/>
            <c:invertIfNegative val="0"/>
            <c:bubble3D val="0"/>
            <c:spPr>
              <a:noFill/>
              <a:ln w="25400" cap="flat" cmpd="sng" algn="ctr">
                <a:solidFill>
                  <a:schemeClr val="accent5"/>
                </a:solidFill>
                <a:miter lim="800000"/>
              </a:ln>
              <a:effectLst/>
            </c:spPr>
            <c:extLst>
              <c:ext xmlns:c16="http://schemas.microsoft.com/office/drawing/2014/chart" uri="{C3380CC4-5D6E-409C-BE32-E72D297353CC}">
                <c16:uniqueId val="{00000001-7918-47FA-8799-A17D00BB3C26}"/>
              </c:ext>
            </c:extLst>
          </c:dPt>
          <c:errBars>
            <c:errBarType val="both"/>
            <c:errValType val="cust"/>
            <c:noEndCap val="0"/>
            <c:plus>
              <c:numRef>
                <c:f>'RD-MD_信頼区間_相関係数から_SW'!$E$125</c:f>
                <c:numCache>
                  <c:formatCode>General</c:formatCode>
                  <c:ptCount val="1"/>
                  <c:pt idx="0">
                    <c:v>90</c:v>
                  </c:pt>
                </c:numCache>
              </c:numRef>
            </c:plus>
            <c:minus>
              <c:numRef>
                <c:f>'RD-MD_信頼区間_相関係数から_SW'!$D$125</c:f>
                <c:numCache>
                  <c:formatCode>General</c:formatCode>
                  <c:ptCount val="1"/>
                  <c:pt idx="0">
                    <c:v>10</c:v>
                  </c:pt>
                </c:numCache>
              </c:numRef>
            </c:minus>
            <c:spPr>
              <a:noFill/>
              <a:ln w="9525" cap="flat" cmpd="sng" algn="ctr">
                <a:solidFill>
                  <a:schemeClr val="tx1">
                    <a:lumMod val="50000"/>
                    <a:lumOff val="50000"/>
                  </a:schemeClr>
                </a:solidFill>
                <a:round/>
              </a:ln>
              <a:effectLst/>
            </c:spPr>
          </c:errBars>
          <c:cat>
            <c:strRef>
              <c:f>'RD-MD_信頼区間_相関係数から_SW'!$B$125</c:f>
              <c:strCache>
                <c:ptCount val="1"/>
                <c:pt idx="0">
                  <c:v>入院期間</c:v>
                </c:pt>
              </c:strCache>
            </c:strRef>
          </c:cat>
          <c:val>
            <c:numRef>
              <c:f>'RD-MD_信頼区間_相関係数から_SW'!$C$125</c:f>
              <c:numCache>
                <c:formatCode>General</c:formatCode>
                <c:ptCount val="1"/>
                <c:pt idx="0">
                  <c:v>10</c:v>
                </c:pt>
              </c:numCache>
            </c:numRef>
          </c:val>
          <c:extLst>
            <c:ext xmlns:c16="http://schemas.microsoft.com/office/drawing/2014/chart" uri="{C3380CC4-5D6E-409C-BE32-E72D297353CC}">
              <c16:uniqueId val="{00000000-7918-47FA-8799-A17D00BB3C26}"/>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0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7065485328597286"/>
              <c:y val="0.8329913079861325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10"/>
        <c:minorUnit val="5"/>
      </c:valAx>
      <c:spPr>
        <a:noFill/>
        <a:ln>
          <a:noFill/>
        </a:ln>
        <a:effectLst/>
      </c:spPr>
    </c:plotArea>
    <c:legend>
      <c:legendPos val="l"/>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正味の益が反転しない重要度の範囲</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'RD-MD_信頼区間_相関係数から_SW'!$B$126</c:f>
              <c:strCache>
                <c:ptCount val="1"/>
                <c:pt idx="0">
                  <c:v>病休期間</c:v>
                </c:pt>
              </c:strCache>
            </c:strRef>
          </c:tx>
          <c:spPr>
            <a:noFill/>
            <a:ln w="25400" cap="flat" cmpd="sng" algn="ctr">
              <a:solidFill>
                <a:schemeClr val="accent6"/>
              </a:solidFill>
              <a:miter lim="800000"/>
            </a:ln>
            <a:effectLst/>
          </c:spPr>
          <c:invertIfNegative val="0"/>
          <c:errBars>
            <c:errBarType val="both"/>
            <c:errValType val="cust"/>
            <c:noEndCap val="0"/>
            <c:plus>
              <c:numRef>
                <c:f>'RD-MD_信頼区間_相関係数から_SW'!$E$126</c:f>
                <c:numCache>
                  <c:formatCode>General</c:formatCode>
                  <c:ptCount val="1"/>
                  <c:pt idx="0">
                    <c:v>80</c:v>
                  </c:pt>
                </c:numCache>
              </c:numRef>
            </c:plus>
            <c:minus>
              <c:numRef>
                <c:f>'RD-MD_信頼区間_相関係数から_SW'!$D$126</c:f>
                <c:numCache>
                  <c:formatCode>General</c:formatCode>
                  <c:ptCount val="1"/>
                  <c:pt idx="0">
                    <c:v>20</c:v>
                  </c:pt>
                </c:numCache>
              </c:numRef>
            </c:minus>
            <c:spPr>
              <a:noFill/>
              <a:ln w="9525" cap="flat" cmpd="sng" algn="ctr">
                <a:solidFill>
                  <a:schemeClr val="tx1">
                    <a:lumMod val="50000"/>
                    <a:lumOff val="50000"/>
                  </a:schemeClr>
                </a:solidFill>
                <a:round/>
              </a:ln>
              <a:effectLst/>
            </c:spPr>
          </c:errBars>
          <c:val>
            <c:numRef>
              <c:f>'RD-MD_信頼区間_相関係数から_SW'!$C$126</c:f>
              <c:numCache>
                <c:formatCode>General</c:formatCode>
                <c:ptCount val="1"/>
                <c:pt idx="0">
                  <c:v>20</c:v>
                </c:pt>
              </c:numCache>
            </c:numRef>
          </c:val>
          <c:extLst>
            <c:ext xmlns:c16="http://schemas.microsoft.com/office/drawing/2014/chart" uri="{C3380CC4-5D6E-409C-BE32-E72D297353CC}">
              <c16:uniqueId val="{00000000-D3EA-4DE1-9F53-875283CC904B}"/>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00"/>
          <c:min val="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7777205663871971"/>
              <c:y val="0.8399283139634283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ajorUnit val="10"/>
        <c:minorUnit val="5"/>
      </c:valAx>
      <c:spPr>
        <a:noFill/>
        <a:ln>
          <a:noFill/>
        </a:ln>
        <a:effectLst/>
      </c:spPr>
    </c:plotArea>
    <c:legend>
      <c:legendPos val="l"/>
      <c:layout>
        <c:manualLayout>
          <c:xMode val="edge"/>
          <c:yMode val="edge"/>
          <c:x val="7.2607727415254742E-3"/>
          <c:y val="0.29541555215007159"/>
          <c:w val="0.10745922256814708"/>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r>
              <a:rPr lang="ja-JP" altLang="en-US" sz="1400" b="0" i="0" u="none" strike="noStrike" kern="1200" cap="none" spc="50" baseline="0">
                <a:solidFill>
                  <a:sysClr val="windowText" lastClr="000000">
                    <a:lumMod val="65000"/>
                    <a:lumOff val="35000"/>
                  </a:sysClr>
                </a:solidFill>
              </a:rPr>
              <a:t>正味の益が反転しない重要度の範囲</a:t>
            </a:r>
            <a:r>
              <a:rPr lang="ja-JP" altLang="en-US" sz="1400"/>
              <a:t>：連続変数アウトカム</a:t>
            </a:r>
            <a:endParaRPr lang="en-US" altLang="ja-JP" sz="1400"/>
          </a:p>
        </c:rich>
      </c:tx>
      <c:layout>
        <c:manualLayout>
          <c:xMode val="edge"/>
          <c:yMode val="edge"/>
          <c:x val="0.12616652248521551"/>
          <c:y val="3.1834144465424499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tx1">
                  <a:lumMod val="65000"/>
                  <a:lumOff val="35000"/>
                </a:schemeClr>
              </a:solidFill>
              <a:latin typeface="+mn-lt"/>
              <a:ea typeface="+mn-ea"/>
              <a:cs typeface="+mn-cs"/>
            </a:defRPr>
          </a:pPr>
          <a:endParaRPr lang="ja-JP"/>
        </a:p>
      </c:txPr>
    </c:title>
    <c:autoTitleDeleted val="0"/>
    <c:plotArea>
      <c:layout/>
      <c:barChart>
        <c:barDir val="bar"/>
        <c:grouping val="clustered"/>
        <c:varyColors val="0"/>
        <c:ser>
          <c:idx val="0"/>
          <c:order val="0"/>
          <c:tx>
            <c:strRef>
              <c:f>'RD-MD_信頼区間_相関係数から_SW'!$B$127</c:f>
              <c:strCache>
                <c:ptCount val="1"/>
                <c:pt idx="0">
                  <c:v>費用</c:v>
                </c:pt>
              </c:strCache>
            </c:strRef>
          </c:tx>
          <c:spPr>
            <a:noFill/>
            <a:ln w="25400" cap="flat" cmpd="sng" algn="ctr">
              <a:solidFill>
                <a:schemeClr val="accent1"/>
              </a:solidFill>
              <a:miter lim="800000"/>
            </a:ln>
            <a:effectLst/>
          </c:spPr>
          <c:invertIfNegative val="0"/>
          <c:errBars>
            <c:errBarType val="both"/>
            <c:errValType val="cust"/>
            <c:noEndCap val="0"/>
            <c:plus>
              <c:numRef>
                <c:f>'RD-MD_信頼区間_相関係数から_SW'!$E$127</c:f>
                <c:numCache>
                  <c:formatCode>General</c:formatCode>
                  <c:ptCount val="1"/>
                  <c:pt idx="0">
                    <c:v>45.876802393167274</c:v>
                  </c:pt>
                </c:numCache>
              </c:numRef>
            </c:plus>
            <c:minus>
              <c:numRef>
                <c:f>'RD-MD_信頼区間_相関係数から_SW'!$D$127</c:f>
                <c:numCache>
                  <c:formatCode>General</c:formatCode>
                  <c:ptCount val="1"/>
                  <c:pt idx="0">
                    <c:v>5</c:v>
                  </c:pt>
                </c:numCache>
              </c:numRef>
            </c:minus>
            <c:spPr>
              <a:noFill/>
              <a:ln w="9525" cap="flat" cmpd="sng" algn="ctr">
                <a:solidFill>
                  <a:schemeClr val="tx1">
                    <a:lumMod val="50000"/>
                    <a:lumOff val="50000"/>
                  </a:schemeClr>
                </a:solidFill>
                <a:round/>
              </a:ln>
              <a:effectLst/>
            </c:spPr>
          </c:errBars>
          <c:val>
            <c:numRef>
              <c:f>'RD-MD_信頼区間_相関係数から_SW'!$C$127</c:f>
              <c:numCache>
                <c:formatCode>General</c:formatCode>
                <c:ptCount val="1"/>
                <c:pt idx="0">
                  <c:v>5</c:v>
                </c:pt>
              </c:numCache>
            </c:numRef>
          </c:val>
          <c:extLst>
            <c:ext xmlns:c16="http://schemas.microsoft.com/office/drawing/2014/chart" uri="{C3380CC4-5D6E-409C-BE32-E72D297353CC}">
              <c16:uniqueId val="{00000000-4553-49F8-900D-319D8EA16CDC}"/>
            </c:ext>
          </c:extLst>
        </c:ser>
        <c:dLbls>
          <c:showLegendKey val="0"/>
          <c:showVal val="0"/>
          <c:showCatName val="0"/>
          <c:showSerName val="0"/>
          <c:showPercent val="0"/>
          <c:showBubbleSize val="0"/>
        </c:dLbls>
        <c:gapWidth val="227"/>
        <c:overlap val="-48"/>
        <c:axId val="529009743"/>
        <c:axId val="529011823"/>
        <c:extLst/>
      </c:barChart>
      <c:catAx>
        <c:axId val="529009743"/>
        <c:scaling>
          <c:orientation val="maxMin"/>
        </c:scaling>
        <c:delete val="0"/>
        <c:axPos val="l"/>
        <c:numFmt formatCode="General" sourceLinked="1"/>
        <c:majorTickMark val="out"/>
        <c:minorTickMark val="cross"/>
        <c:tickLblPos val="none"/>
        <c:spPr>
          <a:noFill/>
          <a:ln>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11823"/>
        <c:crossesAt val="0"/>
        <c:auto val="1"/>
        <c:lblAlgn val="ctr"/>
        <c:lblOffset val="100"/>
        <c:tickLblSkip val="1"/>
        <c:noMultiLvlLbl val="0"/>
      </c:catAx>
      <c:valAx>
        <c:axId val="529011823"/>
        <c:scaling>
          <c:orientation val="minMax"/>
          <c:max val="100"/>
          <c:min val="0"/>
        </c:scaling>
        <c:delete val="0"/>
        <c:axPos val="b"/>
        <c:title>
          <c:tx>
            <c:rich>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r>
                  <a:rPr lang="ja-JP" altLang="en-US" sz="1200"/>
                  <a:t>←対照が望ましい    介入が望ましい→</a:t>
                </a:r>
              </a:p>
            </c:rich>
          </c:tx>
          <c:layout>
            <c:manualLayout>
              <c:xMode val="edge"/>
              <c:yMode val="edge"/>
              <c:x val="0.36539370067228344"/>
              <c:y val="0.8121802900542451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50000"/>
                      <a:lumOff val="50000"/>
                    </a:schemeClr>
                  </a:solidFill>
                  <a:latin typeface="+mn-lt"/>
                  <a:ea typeface="+mn-ea"/>
                  <a:cs typeface="+mn-cs"/>
                </a:defRPr>
              </a:pPr>
              <a:endParaRPr lang="ja-JP"/>
            </a:p>
          </c:txPr>
        </c:title>
        <c:numFmt formatCode="General" sourceLinked="1"/>
        <c:majorTickMark val="out"/>
        <c:minorTickMark val="in"/>
        <c:tickLblPos val="nextTo"/>
        <c:spPr>
          <a:solidFill>
            <a:schemeClr val="bg1"/>
          </a:solidFill>
          <a:ln w="9525">
            <a:solidFill>
              <a:schemeClr val="tx1">
                <a:lumMod val="15000"/>
                <a:lumOff val="85000"/>
              </a:schemeClr>
            </a:solid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crossAx val="529009743"/>
        <c:crosses val="max"/>
        <c:crossBetween val="between"/>
        <c:minorUnit val="5"/>
      </c:valAx>
      <c:spPr>
        <a:noFill/>
        <a:ln>
          <a:noFill/>
        </a:ln>
        <a:effectLst/>
      </c:spPr>
    </c:plotArea>
    <c:legend>
      <c:legendPos val="l"/>
      <c:layout>
        <c:manualLayout>
          <c:xMode val="edge"/>
          <c:yMode val="edge"/>
          <c:x val="7.2607727415254742E-3"/>
          <c:y val="0.29541555215007159"/>
          <c:w val="0.10745922256814708"/>
          <c:h val="0.42824292796733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連続変数から二値変数の割合への変換</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smoothMarker"/>
        <c:varyColors val="0"/>
        <c:ser>
          <c:idx val="0"/>
          <c:order val="0"/>
          <c:tx>
            <c:strRef>
              <c:f>'連続変数-二値変数変換'!$D$16</c:f>
              <c:strCache>
                <c:ptCount val="1"/>
                <c:pt idx="0">
                  <c:v>Control</c:v>
                </c:pt>
              </c:strCache>
            </c:strRef>
          </c:tx>
          <c:spPr>
            <a:ln w="19050" cap="rnd">
              <a:solidFill>
                <a:schemeClr val="accent1"/>
              </a:solidFill>
              <a:round/>
            </a:ln>
            <a:effectLst/>
          </c:spPr>
          <c:marker>
            <c:symbol val="none"/>
          </c:marker>
          <c:xVal>
            <c:numRef>
              <c:f>'連続変数-二値変数変換'!$C$17:$C$217</c:f>
              <c:numCache>
                <c:formatCode>General</c:formatCode>
                <c:ptCount val="201"/>
                <c:pt idx="0">
                  <c:v>0</c:v>
                </c:pt>
                <c:pt idx="1">
                  <c:v>3.5000000000000003E-2</c:v>
                </c:pt>
                <c:pt idx="2">
                  <c:v>7.0000000000000007E-2</c:v>
                </c:pt>
                <c:pt idx="3">
                  <c:v>0.105</c:v>
                </c:pt>
                <c:pt idx="4">
                  <c:v>0.14000000000000001</c:v>
                </c:pt>
                <c:pt idx="5">
                  <c:v>0.17499999999999999</c:v>
                </c:pt>
                <c:pt idx="6">
                  <c:v>0.21</c:v>
                </c:pt>
                <c:pt idx="7">
                  <c:v>0.245</c:v>
                </c:pt>
                <c:pt idx="8">
                  <c:v>0.28000000000000003</c:v>
                </c:pt>
                <c:pt idx="9">
                  <c:v>0.315</c:v>
                </c:pt>
                <c:pt idx="10">
                  <c:v>0.35</c:v>
                </c:pt>
                <c:pt idx="11">
                  <c:v>0.38500000000000001</c:v>
                </c:pt>
                <c:pt idx="12">
                  <c:v>0.42</c:v>
                </c:pt>
                <c:pt idx="13">
                  <c:v>0.45500000000000002</c:v>
                </c:pt>
                <c:pt idx="14">
                  <c:v>0.49</c:v>
                </c:pt>
                <c:pt idx="15">
                  <c:v>0.52500000000000002</c:v>
                </c:pt>
                <c:pt idx="16">
                  <c:v>0.56000000000000005</c:v>
                </c:pt>
                <c:pt idx="17">
                  <c:v>0.59499999999999997</c:v>
                </c:pt>
                <c:pt idx="18">
                  <c:v>0.63</c:v>
                </c:pt>
                <c:pt idx="19">
                  <c:v>0.66500000000000004</c:v>
                </c:pt>
                <c:pt idx="20">
                  <c:v>0.7</c:v>
                </c:pt>
                <c:pt idx="21">
                  <c:v>0.73499999999999999</c:v>
                </c:pt>
                <c:pt idx="22">
                  <c:v>0.77</c:v>
                </c:pt>
                <c:pt idx="23">
                  <c:v>0.80500000000000005</c:v>
                </c:pt>
                <c:pt idx="24">
                  <c:v>0.84</c:v>
                </c:pt>
                <c:pt idx="25">
                  <c:v>0.875</c:v>
                </c:pt>
                <c:pt idx="26">
                  <c:v>0.91</c:v>
                </c:pt>
                <c:pt idx="27">
                  <c:v>0.94499999999999995</c:v>
                </c:pt>
                <c:pt idx="28">
                  <c:v>0.98</c:v>
                </c:pt>
                <c:pt idx="29">
                  <c:v>1.0149999999999999</c:v>
                </c:pt>
                <c:pt idx="30">
                  <c:v>1.05</c:v>
                </c:pt>
                <c:pt idx="31">
                  <c:v>1.085</c:v>
                </c:pt>
                <c:pt idx="32">
                  <c:v>1.1200000000000001</c:v>
                </c:pt>
                <c:pt idx="33">
                  <c:v>1.155</c:v>
                </c:pt>
                <c:pt idx="34">
                  <c:v>1.19</c:v>
                </c:pt>
                <c:pt idx="35">
                  <c:v>1.2250000000000001</c:v>
                </c:pt>
                <c:pt idx="36">
                  <c:v>1.26</c:v>
                </c:pt>
                <c:pt idx="37">
                  <c:v>1.2949999999999999</c:v>
                </c:pt>
                <c:pt idx="38">
                  <c:v>1.33</c:v>
                </c:pt>
                <c:pt idx="39">
                  <c:v>1.365</c:v>
                </c:pt>
                <c:pt idx="40">
                  <c:v>1.4</c:v>
                </c:pt>
                <c:pt idx="41">
                  <c:v>1.4350000000000001</c:v>
                </c:pt>
                <c:pt idx="42">
                  <c:v>1.47</c:v>
                </c:pt>
                <c:pt idx="43">
                  <c:v>1.5049999999999999</c:v>
                </c:pt>
                <c:pt idx="44">
                  <c:v>1.54</c:v>
                </c:pt>
                <c:pt idx="45">
                  <c:v>1.575</c:v>
                </c:pt>
                <c:pt idx="46">
                  <c:v>1.61</c:v>
                </c:pt>
                <c:pt idx="47">
                  <c:v>1.645</c:v>
                </c:pt>
                <c:pt idx="48">
                  <c:v>1.68</c:v>
                </c:pt>
                <c:pt idx="49">
                  <c:v>1.7150000000000001</c:v>
                </c:pt>
                <c:pt idx="50">
                  <c:v>1.75</c:v>
                </c:pt>
                <c:pt idx="51">
                  <c:v>1.7849999999999999</c:v>
                </c:pt>
                <c:pt idx="52">
                  <c:v>1.82</c:v>
                </c:pt>
                <c:pt idx="53">
                  <c:v>1.855</c:v>
                </c:pt>
                <c:pt idx="54">
                  <c:v>1.89</c:v>
                </c:pt>
                <c:pt idx="55">
                  <c:v>1.925</c:v>
                </c:pt>
                <c:pt idx="56">
                  <c:v>1.96</c:v>
                </c:pt>
                <c:pt idx="57">
                  <c:v>1.9950000000000001</c:v>
                </c:pt>
                <c:pt idx="58">
                  <c:v>2.0299999999999998</c:v>
                </c:pt>
                <c:pt idx="59">
                  <c:v>2.0649999999999999</c:v>
                </c:pt>
                <c:pt idx="60">
                  <c:v>2.1</c:v>
                </c:pt>
                <c:pt idx="61">
                  <c:v>2.1349999999999998</c:v>
                </c:pt>
                <c:pt idx="62">
                  <c:v>2.17</c:v>
                </c:pt>
                <c:pt idx="63">
                  <c:v>2.2050000000000001</c:v>
                </c:pt>
                <c:pt idx="64">
                  <c:v>2.2400000000000002</c:v>
                </c:pt>
                <c:pt idx="65">
                  <c:v>2.2749999999999999</c:v>
                </c:pt>
                <c:pt idx="66">
                  <c:v>2.31</c:v>
                </c:pt>
                <c:pt idx="67">
                  <c:v>2.3450000000000002</c:v>
                </c:pt>
                <c:pt idx="68">
                  <c:v>2.38</c:v>
                </c:pt>
                <c:pt idx="69">
                  <c:v>2.415</c:v>
                </c:pt>
                <c:pt idx="70">
                  <c:v>2.4500000000000002</c:v>
                </c:pt>
                <c:pt idx="71">
                  <c:v>2.4849999999999999</c:v>
                </c:pt>
                <c:pt idx="72">
                  <c:v>2.52</c:v>
                </c:pt>
                <c:pt idx="73">
                  <c:v>2.5550000000000002</c:v>
                </c:pt>
                <c:pt idx="74">
                  <c:v>2.59</c:v>
                </c:pt>
                <c:pt idx="75">
                  <c:v>2.625</c:v>
                </c:pt>
                <c:pt idx="76">
                  <c:v>2.66</c:v>
                </c:pt>
                <c:pt idx="77">
                  <c:v>2.6949999999999998</c:v>
                </c:pt>
                <c:pt idx="78">
                  <c:v>2.73</c:v>
                </c:pt>
                <c:pt idx="79">
                  <c:v>2.7650000000000001</c:v>
                </c:pt>
                <c:pt idx="80">
                  <c:v>2.8</c:v>
                </c:pt>
                <c:pt idx="81">
                  <c:v>2.835</c:v>
                </c:pt>
                <c:pt idx="82">
                  <c:v>2.87</c:v>
                </c:pt>
                <c:pt idx="83">
                  <c:v>2.9049999999999998</c:v>
                </c:pt>
                <c:pt idx="84">
                  <c:v>2.94</c:v>
                </c:pt>
                <c:pt idx="85">
                  <c:v>2.9750000000000001</c:v>
                </c:pt>
                <c:pt idx="86">
                  <c:v>3.01</c:v>
                </c:pt>
                <c:pt idx="87">
                  <c:v>3.0449999999999999</c:v>
                </c:pt>
                <c:pt idx="88">
                  <c:v>3.08</c:v>
                </c:pt>
                <c:pt idx="89">
                  <c:v>3.1150000000000002</c:v>
                </c:pt>
                <c:pt idx="90">
                  <c:v>3.15</c:v>
                </c:pt>
                <c:pt idx="91">
                  <c:v>3.1850000000000001</c:v>
                </c:pt>
                <c:pt idx="92">
                  <c:v>3.22</c:v>
                </c:pt>
                <c:pt idx="93">
                  <c:v>3.2549999999999999</c:v>
                </c:pt>
                <c:pt idx="94">
                  <c:v>3.29</c:v>
                </c:pt>
                <c:pt idx="95">
                  <c:v>3.3250000000000002</c:v>
                </c:pt>
                <c:pt idx="96">
                  <c:v>3.36</c:v>
                </c:pt>
                <c:pt idx="97">
                  <c:v>3.395</c:v>
                </c:pt>
                <c:pt idx="98">
                  <c:v>3.43</c:v>
                </c:pt>
                <c:pt idx="99">
                  <c:v>3.4649999999999999</c:v>
                </c:pt>
                <c:pt idx="100">
                  <c:v>3.5</c:v>
                </c:pt>
                <c:pt idx="101">
                  <c:v>3.5350000000000001</c:v>
                </c:pt>
                <c:pt idx="102">
                  <c:v>3.57</c:v>
                </c:pt>
                <c:pt idx="103">
                  <c:v>3.605</c:v>
                </c:pt>
                <c:pt idx="104">
                  <c:v>3.64</c:v>
                </c:pt>
                <c:pt idx="105">
                  <c:v>3.6749999999999998</c:v>
                </c:pt>
                <c:pt idx="106">
                  <c:v>3.71</c:v>
                </c:pt>
                <c:pt idx="107">
                  <c:v>3.7450000000000001</c:v>
                </c:pt>
                <c:pt idx="108">
                  <c:v>3.78</c:v>
                </c:pt>
                <c:pt idx="109">
                  <c:v>3.8149999999999999</c:v>
                </c:pt>
                <c:pt idx="110">
                  <c:v>3.85</c:v>
                </c:pt>
                <c:pt idx="111">
                  <c:v>3.8849999999999998</c:v>
                </c:pt>
                <c:pt idx="112">
                  <c:v>3.92</c:v>
                </c:pt>
                <c:pt idx="113">
                  <c:v>3.9550000000000001</c:v>
                </c:pt>
                <c:pt idx="114">
                  <c:v>3.99</c:v>
                </c:pt>
                <c:pt idx="115">
                  <c:v>4.0250000000000004</c:v>
                </c:pt>
                <c:pt idx="116">
                  <c:v>4.0599999999999996</c:v>
                </c:pt>
                <c:pt idx="117">
                  <c:v>4.0949999999999998</c:v>
                </c:pt>
                <c:pt idx="118">
                  <c:v>4.13</c:v>
                </c:pt>
                <c:pt idx="119">
                  <c:v>4.165</c:v>
                </c:pt>
                <c:pt idx="120">
                  <c:v>4.2</c:v>
                </c:pt>
                <c:pt idx="121">
                  <c:v>4.2350000000000003</c:v>
                </c:pt>
                <c:pt idx="122">
                  <c:v>4.2699999999999996</c:v>
                </c:pt>
                <c:pt idx="123">
                  <c:v>4.3049999999999997</c:v>
                </c:pt>
                <c:pt idx="124">
                  <c:v>4.34</c:v>
                </c:pt>
                <c:pt idx="125">
                  <c:v>4.375</c:v>
                </c:pt>
                <c:pt idx="126">
                  <c:v>4.41</c:v>
                </c:pt>
                <c:pt idx="127">
                  <c:v>4.4450000000000003</c:v>
                </c:pt>
                <c:pt idx="128">
                  <c:v>4.4800000000000004</c:v>
                </c:pt>
                <c:pt idx="129">
                  <c:v>4.5149999999999997</c:v>
                </c:pt>
                <c:pt idx="130">
                  <c:v>4.55</c:v>
                </c:pt>
                <c:pt idx="131">
                  <c:v>4.585</c:v>
                </c:pt>
                <c:pt idx="132">
                  <c:v>4.62</c:v>
                </c:pt>
                <c:pt idx="133">
                  <c:v>4.6550000000000002</c:v>
                </c:pt>
                <c:pt idx="134">
                  <c:v>4.6900000000000004</c:v>
                </c:pt>
                <c:pt idx="135">
                  <c:v>4.7249999999999996</c:v>
                </c:pt>
                <c:pt idx="136">
                  <c:v>4.76</c:v>
                </c:pt>
                <c:pt idx="137">
                  <c:v>4.7949999999999999</c:v>
                </c:pt>
                <c:pt idx="138">
                  <c:v>4.83</c:v>
                </c:pt>
                <c:pt idx="139">
                  <c:v>4.8650000000000002</c:v>
                </c:pt>
                <c:pt idx="140">
                  <c:v>4.9000000000000004</c:v>
                </c:pt>
                <c:pt idx="141">
                  <c:v>4.9349999999999996</c:v>
                </c:pt>
                <c:pt idx="142">
                  <c:v>4.97</c:v>
                </c:pt>
                <c:pt idx="143">
                  <c:v>5.0049999999999999</c:v>
                </c:pt>
                <c:pt idx="144">
                  <c:v>5.04</c:v>
                </c:pt>
                <c:pt idx="145">
                  <c:v>5.0750000000000002</c:v>
                </c:pt>
                <c:pt idx="146">
                  <c:v>5.1100000000000003</c:v>
                </c:pt>
                <c:pt idx="147">
                  <c:v>5.1449999999999996</c:v>
                </c:pt>
                <c:pt idx="148">
                  <c:v>5.18</c:v>
                </c:pt>
                <c:pt idx="149">
                  <c:v>5.2149999999999999</c:v>
                </c:pt>
                <c:pt idx="150">
                  <c:v>5.25</c:v>
                </c:pt>
                <c:pt idx="151">
                  <c:v>5.2850000000000001</c:v>
                </c:pt>
                <c:pt idx="152">
                  <c:v>5.32</c:v>
                </c:pt>
                <c:pt idx="153">
                  <c:v>5.3550000000000004</c:v>
                </c:pt>
                <c:pt idx="154">
                  <c:v>5.39</c:v>
                </c:pt>
                <c:pt idx="155">
                  <c:v>5.4249999999999998</c:v>
                </c:pt>
                <c:pt idx="156">
                  <c:v>5.46</c:v>
                </c:pt>
                <c:pt idx="157">
                  <c:v>5.4950000000000001</c:v>
                </c:pt>
                <c:pt idx="158">
                  <c:v>5.53</c:v>
                </c:pt>
                <c:pt idx="159">
                  <c:v>5.5650000000000004</c:v>
                </c:pt>
                <c:pt idx="160">
                  <c:v>5.6</c:v>
                </c:pt>
                <c:pt idx="161">
                  <c:v>5.6349999999999998</c:v>
                </c:pt>
                <c:pt idx="162">
                  <c:v>5.67</c:v>
                </c:pt>
                <c:pt idx="163">
                  <c:v>5.7050000000000001</c:v>
                </c:pt>
                <c:pt idx="164">
                  <c:v>5.74</c:v>
                </c:pt>
                <c:pt idx="165">
                  <c:v>5.7750000000000004</c:v>
                </c:pt>
                <c:pt idx="166">
                  <c:v>5.81</c:v>
                </c:pt>
                <c:pt idx="167">
                  <c:v>5.8449999999999998</c:v>
                </c:pt>
                <c:pt idx="168">
                  <c:v>5.88</c:v>
                </c:pt>
                <c:pt idx="169">
                  <c:v>5.915</c:v>
                </c:pt>
                <c:pt idx="170">
                  <c:v>5.95</c:v>
                </c:pt>
                <c:pt idx="171">
                  <c:v>5.9850000000000003</c:v>
                </c:pt>
                <c:pt idx="172">
                  <c:v>6.02</c:v>
                </c:pt>
                <c:pt idx="173">
                  <c:v>6.0549999999999997</c:v>
                </c:pt>
                <c:pt idx="174">
                  <c:v>6.09</c:v>
                </c:pt>
                <c:pt idx="175">
                  <c:v>6.125</c:v>
                </c:pt>
                <c:pt idx="176">
                  <c:v>6.16</c:v>
                </c:pt>
                <c:pt idx="177">
                  <c:v>6.1950000000000003</c:v>
                </c:pt>
                <c:pt idx="178">
                  <c:v>6.23</c:v>
                </c:pt>
                <c:pt idx="179">
                  <c:v>6.2649999999999997</c:v>
                </c:pt>
                <c:pt idx="180">
                  <c:v>6.3</c:v>
                </c:pt>
                <c:pt idx="181">
                  <c:v>6.335</c:v>
                </c:pt>
                <c:pt idx="182">
                  <c:v>6.37</c:v>
                </c:pt>
                <c:pt idx="183">
                  <c:v>6.4050000000000002</c:v>
                </c:pt>
                <c:pt idx="184">
                  <c:v>6.44</c:v>
                </c:pt>
                <c:pt idx="185">
                  <c:v>6.4749999999999996</c:v>
                </c:pt>
                <c:pt idx="186">
                  <c:v>6.51</c:v>
                </c:pt>
                <c:pt idx="187">
                  <c:v>6.5449999999999999</c:v>
                </c:pt>
                <c:pt idx="188">
                  <c:v>6.58</c:v>
                </c:pt>
                <c:pt idx="189">
                  <c:v>6.6150000000000002</c:v>
                </c:pt>
                <c:pt idx="190">
                  <c:v>6.65</c:v>
                </c:pt>
                <c:pt idx="191">
                  <c:v>6.6849999999999996</c:v>
                </c:pt>
                <c:pt idx="192">
                  <c:v>6.72</c:v>
                </c:pt>
                <c:pt idx="193">
                  <c:v>6.7549999999999999</c:v>
                </c:pt>
                <c:pt idx="194">
                  <c:v>6.79</c:v>
                </c:pt>
                <c:pt idx="195">
                  <c:v>6.8250000000000002</c:v>
                </c:pt>
                <c:pt idx="196">
                  <c:v>6.86</c:v>
                </c:pt>
                <c:pt idx="197">
                  <c:v>6.8949999999999996</c:v>
                </c:pt>
                <c:pt idx="198">
                  <c:v>6.93</c:v>
                </c:pt>
                <c:pt idx="199">
                  <c:v>6.9649999999999999</c:v>
                </c:pt>
                <c:pt idx="200">
                  <c:v>7</c:v>
                </c:pt>
              </c:numCache>
            </c:numRef>
          </c:xVal>
          <c:yVal>
            <c:numRef>
              <c:f>'連続変数-二値変数変換'!$D$17:$D$217</c:f>
              <c:numCache>
                <c:formatCode>General</c:formatCode>
                <c:ptCount val="201"/>
                <c:pt idx="0">
                  <c:v>4.4318484119380075E-3</c:v>
                </c:pt>
                <c:pt idx="1">
                  <c:v>4.9194869458966993E-3</c:v>
                </c:pt>
                <c:pt idx="2">
                  <c:v>5.4540952350565454E-3</c:v>
                </c:pt>
                <c:pt idx="3">
                  <c:v>6.0393974423956082E-3</c:v>
                </c:pt>
                <c:pt idx="4">
                  <c:v>6.6793237392026202E-3</c:v>
                </c:pt>
                <c:pt idx="5">
                  <c:v>7.37801214864679E-3</c:v>
                </c:pt>
                <c:pt idx="6">
                  <c:v>8.1398092475460215E-3</c:v>
                </c:pt>
                <c:pt idx="7">
                  <c:v>8.9692696000083817E-3</c:v>
                </c:pt>
                <c:pt idx="8">
                  <c:v>9.8711537947511439E-3</c:v>
                </c:pt>
                <c:pt idx="9">
                  <c:v>1.0850424957154142E-2</c:v>
                </c:pt>
                <c:pt idx="10">
                  <c:v>1.1912243607605179E-2</c:v>
                </c:pt>
                <c:pt idx="11">
                  <c:v>1.3061960739566395E-2</c:v>
                </c:pt>
                <c:pt idx="12">
                  <c:v>1.430510899414969E-2</c:v>
                </c:pt>
                <c:pt idx="13">
                  <c:v>1.5647391812944764E-2</c:v>
                </c:pt>
                <c:pt idx="14">
                  <c:v>1.7094670457496956E-2</c:v>
                </c:pt>
                <c:pt idx="15">
                  <c:v>1.8652948792269905E-2</c:v>
                </c:pt>
                <c:pt idx="16">
                  <c:v>2.0328355738225837E-2</c:v>
                </c:pt>
                <c:pt idx="17">
                  <c:v>2.2127125316368654E-2</c:v>
                </c:pt>
                <c:pt idx="18">
                  <c:v>2.4055574214762971E-2</c:v>
                </c:pt>
                <c:pt idx="19">
                  <c:v>2.612007682867739E-2</c:v>
                </c:pt>
                <c:pt idx="20">
                  <c:v>2.8327037741601186E-2</c:v>
                </c:pt>
                <c:pt idx="21">
                  <c:v>3.0682861634910817E-2</c:v>
                </c:pt>
                <c:pt idx="22">
                  <c:v>3.3193920635861122E-2</c:v>
                </c:pt>
                <c:pt idx="23">
                  <c:v>3.5866519137251744E-2</c:v>
                </c:pt>
                <c:pt idx="24">
                  <c:v>3.8706856147455608E-2</c:v>
                </c:pt>
                <c:pt idx="25">
                  <c:v>4.1720985256338612E-2</c:v>
                </c:pt>
                <c:pt idx="26">
                  <c:v>4.49147723307671E-2</c:v>
                </c:pt>
                <c:pt idx="27">
                  <c:v>4.8293851082677301E-2</c:v>
                </c:pt>
                <c:pt idx="28">
                  <c:v>5.1863576682820565E-2</c:v>
                </c:pt>
                <c:pt idx="29">
                  <c:v>5.5628977624024092E-2</c:v>
                </c:pt>
                <c:pt idx="30">
                  <c:v>5.9594706068816075E-2</c:v>
                </c:pt>
                <c:pt idx="31">
                  <c:v>6.3764986947216634E-2</c:v>
                </c:pt>
                <c:pt idx="32">
                  <c:v>6.8143566101044578E-2</c:v>
                </c:pt>
                <c:pt idx="33">
                  <c:v>7.2733657800846702E-2</c:v>
                </c:pt>
                <c:pt idx="34">
                  <c:v>7.7537891990133986E-2</c:v>
                </c:pt>
                <c:pt idx="35">
                  <c:v>8.2558261638591632E-2</c:v>
                </c:pt>
                <c:pt idx="36">
                  <c:v>8.7796070610905622E-2</c:v>
                </c:pt>
                <c:pt idx="37">
                  <c:v>9.3251882480393525E-2</c:v>
                </c:pt>
                <c:pt idx="38">
                  <c:v>9.8925470736323712E-2</c:v>
                </c:pt>
                <c:pt idx="39">
                  <c:v>0.10481577085024761</c:v>
                </c:pt>
                <c:pt idx="40">
                  <c:v>0.11092083467945554</c:v>
                </c:pt>
                <c:pt idx="41">
                  <c:v>0.117237787694426</c:v>
                </c:pt>
                <c:pt idx="42">
                  <c:v>0.12376278952152313</c:v>
                </c:pt>
                <c:pt idx="43">
                  <c:v>0.13049099829189736</c:v>
                </c:pt>
                <c:pt idx="44">
                  <c:v>0.13741653928228179</c:v>
                </c:pt>
                <c:pt idx="45">
                  <c:v>0.14453247832293287</c:v>
                </c:pt>
                <c:pt idx="46">
                  <c:v>0.15183080043216168</c:v>
                </c:pt>
                <c:pt idx="47">
                  <c:v>0.15930239411562119</c:v>
                </c:pt>
                <c:pt idx="48">
                  <c:v>0.16693704174171381</c:v>
                </c:pt>
                <c:pt idx="49">
                  <c:v>0.17472341637216032</c:v>
                </c:pt>
                <c:pt idx="50">
                  <c:v>0.18264908538902191</c:v>
                </c:pt>
                <c:pt idx="51">
                  <c:v>0.19070052121643932</c:v>
                </c:pt>
                <c:pt idx="52">
                  <c:v>0.19886311938727591</c:v>
                </c:pt>
                <c:pt idx="53">
                  <c:v>0.20712122415203338</c:v>
                </c:pt>
                <c:pt idx="54">
                  <c:v>0.21545816177021967</c:v>
                </c:pt>
                <c:pt idx="55">
                  <c:v>0.22385628156323947</c:v>
                </c:pt>
                <c:pt idx="56">
                  <c:v>0.2322970047433662</c:v>
                </c:pt>
                <c:pt idx="57">
                  <c:v>0.24076088096602083</c:v>
                </c:pt>
                <c:pt idx="58">
                  <c:v>0.24922765248306586</c:v>
                </c:pt>
                <c:pt idx="59">
                  <c:v>0.25767632570382137</c:v>
                </c:pt>
                <c:pt idx="60">
                  <c:v>0.26608524989875487</c:v>
                </c:pt>
                <c:pt idx="61">
                  <c:v>0.2744322027090772</c:v>
                </c:pt>
                <c:pt idx="62">
                  <c:v>0.28269448205458025</c:v>
                </c:pt>
                <c:pt idx="63">
                  <c:v>0.29084900396281432</c:v>
                </c:pt>
                <c:pt idx="64">
                  <c:v>0.29887240577595287</c:v>
                </c:pt>
                <c:pt idx="65">
                  <c:v>0.30674115412823999</c:v>
                </c:pt>
                <c:pt idx="66">
                  <c:v>0.31443165702759734</c:v>
                </c:pt>
                <c:pt idx="67">
                  <c:v>0.32192037932053763</c:v>
                </c:pt>
                <c:pt idx="68">
                  <c:v>0.32918396077076478</c:v>
                </c:pt>
                <c:pt idx="69">
                  <c:v>0.33619933593940737</c:v>
                </c:pt>
                <c:pt idx="70">
                  <c:v>0.3429438550193839</c:v>
                </c:pt>
                <c:pt idx="71">
                  <c:v>0.34939540474849956</c:v>
                </c:pt>
                <c:pt idx="72">
                  <c:v>0.35553252850599709</c:v>
                </c:pt>
                <c:pt idx="73">
                  <c:v>0.36133454468584553</c:v>
                </c:pt>
                <c:pt idx="74">
                  <c:v>0.36678166243733612</c:v>
                </c:pt>
                <c:pt idx="75">
                  <c:v>0.37185509386976895</c:v>
                </c:pt>
                <c:pt idx="76">
                  <c:v>0.37653716183325397</c:v>
                </c:pt>
                <c:pt idx="77">
                  <c:v>0.38081140241189432</c:v>
                </c:pt>
                <c:pt idx="78">
                  <c:v>0.38466266129874283</c:v>
                </c:pt>
                <c:pt idx="79">
                  <c:v>0.38807718326368468</c:v>
                </c:pt>
                <c:pt idx="80">
                  <c:v>0.39104269397545588</c:v>
                </c:pt>
                <c:pt idx="81">
                  <c:v>0.39354847349689354</c:v>
                </c:pt>
                <c:pt idx="82">
                  <c:v>0.39558542083768738</c:v>
                </c:pt>
                <c:pt idx="83">
                  <c:v>0.39714610902069969</c:v>
                </c:pt>
                <c:pt idx="84">
                  <c:v>0.39822483019560695</c:v>
                </c:pt>
                <c:pt idx="85">
                  <c:v>0.3988176304163818</c:v>
                </c:pt>
                <c:pt idx="86">
                  <c:v>0.39892233378608216</c:v>
                </c:pt>
                <c:pt idx="87">
                  <c:v>0.39853855576261471</c:v>
                </c:pt>
                <c:pt idx="88">
                  <c:v>0.39766770551160885</c:v>
                </c:pt>
                <c:pt idx="89">
                  <c:v>0.39631297728625331</c:v>
                </c:pt>
                <c:pt idx="90">
                  <c:v>0.39447933090788895</c:v>
                </c:pt>
                <c:pt idx="91">
                  <c:v>0.39217346151428173</c:v>
                </c:pt>
                <c:pt idx="92">
                  <c:v>0.38940375883379041</c:v>
                </c:pt>
                <c:pt idx="93">
                  <c:v>0.38618025633210812</c:v>
                </c:pt>
                <c:pt idx="94">
                  <c:v>0.38251457066292405</c:v>
                </c:pt>
                <c:pt idx="95">
                  <c:v>0.37841983193381945</c:v>
                </c:pt>
                <c:pt idx="96">
                  <c:v>0.37391060537312842</c:v>
                </c:pt>
                <c:pt idx="97">
                  <c:v>0.36900280505159144</c:v>
                </c:pt>
                <c:pt idx="98">
                  <c:v>0.36371360037371336</c:v>
                </c:pt>
                <c:pt idx="99">
                  <c:v>0.35806131610721081</c:v>
                </c:pt>
                <c:pt idx="100">
                  <c:v>0.35206532676429952</c:v>
                </c:pt>
                <c:pt idx="101">
                  <c:v>0.34574594618543536</c:v>
                </c:pt>
                <c:pt idx="102">
                  <c:v>0.33912431320419223</c:v>
                </c:pt>
                <c:pt idx="103">
                  <c:v>0.33222227429106688</c:v>
                </c:pt>
                <c:pt idx="104">
                  <c:v>0.32506226408408212</c:v>
                </c:pt>
                <c:pt idx="105">
                  <c:v>0.31766718471514827</c:v>
                </c:pt>
                <c:pt idx="106">
                  <c:v>0.31006028483341613</c:v>
                </c:pt>
                <c:pt idx="107">
                  <c:v>0.30226503921054892</c:v>
                </c:pt>
                <c:pt idx="108">
                  <c:v>0.29430502978832518</c:v>
                </c:pt>
                <c:pt idx="109">
                  <c:v>0.28620382899670693</c:v>
                </c:pt>
                <c:pt idx="110">
                  <c:v>0.27798488613099642</c:v>
                </c:pt>
                <c:pt idx="111">
                  <c:v>0.26967141753056539</c:v>
                </c:pt>
                <c:pt idx="112">
                  <c:v>0.26128630124955315</c:v>
                </c:pt>
                <c:pt idx="113">
                  <c:v>0.25285197685261257</c:v>
                </c:pt>
                <c:pt idx="114">
                  <c:v>0.24439035090699954</c:v>
                </c:pt>
                <c:pt idx="115">
                  <c:v>0.23592270867687243</c:v>
                </c:pt>
                <c:pt idx="116">
                  <c:v>0.227469632457386</c:v>
                </c:pt>
                <c:pt idx="117">
                  <c:v>0.21905092691588202</c:v>
                </c:pt>
                <c:pt idx="118">
                  <c:v>0.21068555173601533</c:v>
                </c:pt>
                <c:pt idx="119">
                  <c:v>0.20239156178880735</c:v>
                </c:pt>
                <c:pt idx="120">
                  <c:v>0.19418605498321292</c:v>
                </c:pt>
                <c:pt idx="121">
                  <c:v>0.18608512787853715</c:v>
                </c:pt>
                <c:pt idx="122">
                  <c:v>0.17810383907269367</c:v>
                </c:pt>
                <c:pt idx="123">
                  <c:v>0.1702561803144946</c:v>
                </c:pt>
                <c:pt idx="124">
                  <c:v>0.16255505522553418</c:v>
                </c:pt>
                <c:pt idx="125">
                  <c:v>0.15501226545829322</c:v>
                </c:pt>
                <c:pt idx="126">
                  <c:v>0.14763850406235568</c:v>
                </c:pt>
                <c:pt idx="127">
                  <c:v>0.14044335578047468</c:v>
                </c:pt>
                <c:pt idx="128">
                  <c:v>0.1334353039510022</c:v>
                </c:pt>
                <c:pt idx="129">
                  <c:v>0.12662174365316278</c:v>
                </c:pt>
                <c:pt idx="130">
                  <c:v>0.12000900069698565</c:v>
                </c:pt>
                <c:pt idx="131">
                  <c:v>0.11360235603054231</c:v>
                </c:pt>
                <c:pt idx="132">
                  <c:v>0.1074060751134838</c:v>
                </c:pt>
                <c:pt idx="133">
                  <c:v>0.10142344178774104</c:v>
                </c:pt>
                <c:pt idx="134">
                  <c:v>9.5656796163523933E-2</c:v>
                </c:pt>
                <c:pt idx="135">
                  <c:v>9.0107576031298167E-2</c:v>
                </c:pt>
                <c:pt idx="136">
                  <c:v>8.4776361308022255E-2</c:v>
                </c:pt>
                <c:pt idx="137">
                  <c:v>7.9662921028342992E-2</c:v>
                </c:pt>
                <c:pt idx="138">
                  <c:v>7.4766262398367603E-2</c:v>
                </c:pt>
                <c:pt idx="139">
                  <c:v>7.0084681440741287E-2</c:v>
                </c:pt>
                <c:pt idx="140">
                  <c:v>6.5615814774676554E-2</c:v>
                </c:pt>
                <c:pt idx="141">
                  <c:v>6.1356692092932534E-2</c:v>
                </c:pt>
                <c:pt idx="142">
                  <c:v>5.7303788919117152E-2</c:v>
                </c:pt>
                <c:pt idx="143">
                  <c:v>5.3453079252672044E-2</c:v>
                </c:pt>
                <c:pt idx="144">
                  <c:v>4.9800087735070775E-2</c:v>
                </c:pt>
                <c:pt idx="145">
                  <c:v>4.6339940998709216E-2</c:v>
                </c:pt>
                <c:pt idx="146">
                  <c:v>4.3067417889265699E-2</c:v>
                </c:pt>
                <c:pt idx="147">
                  <c:v>3.9976998282565179E-2</c:v>
                </c:pt>
                <c:pt idx="148">
                  <c:v>3.7062910247806502E-2</c:v>
                </c:pt>
                <c:pt idx="149">
                  <c:v>3.4319175340040232E-2</c:v>
                </c:pt>
                <c:pt idx="150">
                  <c:v>3.1739651835667418E-2</c:v>
                </c:pt>
                <c:pt idx="151">
                  <c:v>2.9318075755160253E-2</c:v>
                </c:pt>
                <c:pt idx="152">
                  <c:v>2.7048099546881761E-2</c:v>
                </c:pt>
                <c:pt idx="153">
                  <c:v>2.4923328334554302E-2</c:v>
                </c:pt>
                <c:pt idx="154">
                  <c:v>2.2937353658360714E-2</c:v>
                </c:pt>
                <c:pt idx="155">
                  <c:v>2.1083784665664119E-2</c:v>
                </c:pt>
                <c:pt idx="156">
                  <c:v>1.9356276731736961E-2</c:v>
                </c:pt>
                <c:pt idx="157">
                  <c:v>1.7748557513561032E-2</c:v>
                </c:pt>
                <c:pt idx="158">
                  <c:v>1.6254450460600492E-2</c:v>
                </c:pt>
                <c:pt idx="159">
                  <c:v>1.4867895825380621E-2</c:v>
                </c:pt>
                <c:pt idx="160">
                  <c:v>1.3582969233685634E-2</c:v>
                </c:pt>
                <c:pt idx="161">
                  <c:v>1.2393897889198818E-2</c:v>
                </c:pt>
                <c:pt idx="162">
                  <c:v>1.1295074500456135E-2</c:v>
                </c:pt>
                <c:pt idx="163">
                  <c:v>1.0281069029095511E-2</c:v>
                </c:pt>
                <c:pt idx="164">
                  <c:v>9.3466383676122835E-3</c:v>
                </c:pt>
                <c:pt idx="165">
                  <c:v>8.48673406223871E-3</c:v>
                </c:pt>
                <c:pt idx="166">
                  <c:v>7.6965082022373314E-3</c:v>
                </c:pt>
                <c:pt idx="167">
                  <c:v>6.9713176009282797E-3</c:v>
                </c:pt>
                <c:pt idx="168">
                  <c:v>6.3067263962659275E-3</c:v>
                </c:pt>
                <c:pt idx="169">
                  <c:v>5.698507199853077E-3</c:v>
                </c:pt>
                <c:pt idx="170">
                  <c:v>5.1426409230539392E-3</c:v>
                </c:pt>
                <c:pt idx="171">
                  <c:v>4.6353154074620598E-3</c:v>
                </c:pt>
                <c:pt idx="172">
                  <c:v>4.1729229845239657E-3</c:v>
                </c:pt>
                <c:pt idx="173">
                  <c:v>3.7520570857391129E-3</c:v>
                </c:pt>
                <c:pt idx="174">
                  <c:v>3.3695080206774812E-3</c:v>
                </c:pt>
                <c:pt idx="175">
                  <c:v>3.0222580351987561E-3</c:v>
                </c:pt>
                <c:pt idx="176">
                  <c:v>2.7074757568406999E-3</c:v>
                </c:pt>
                <c:pt idx="177">
                  <c:v>2.4225101284807852E-3</c:v>
                </c:pt>
                <c:pt idx="178">
                  <c:v>2.1648839251710585E-3</c:v>
                </c:pt>
                <c:pt idx="179">
                  <c:v>1.9322869426015457E-3</c:v>
                </c:pt>
                <c:pt idx="180">
                  <c:v>1.7225689390536812E-3</c:v>
                </c:pt>
                <c:pt idx="181">
                  <c:v>1.5337324060474215E-3</c:v>
                </c:pt>
                <c:pt idx="182">
                  <c:v>1.3639252362389036E-3</c:v>
                </c:pt>
                <c:pt idx="183">
                  <c:v>1.2114333505588014E-3</c:v>
                </c:pt>
                <c:pt idx="184">
                  <c:v>1.0746733401537337E-3</c:v>
                </c:pt>
                <c:pt idx="185">
                  <c:v>9.5218517245627108E-4</c:v>
                </c:pt>
                <c:pt idx="186">
                  <c:v>8.4262500470690268E-4</c:v>
                </c:pt>
                <c:pt idx="187">
                  <c:v>7.4475814252004664E-4</c:v>
                </c:pt>
                <c:pt idx="188">
                  <c:v>6.5745217565467645E-4</c:v>
                </c:pt>
                <c:pt idx="189">
                  <c:v>5.7967031804106344E-4</c:v>
                </c:pt>
                <c:pt idx="190">
                  <c:v>5.1046497434418473E-4</c:v>
                </c:pt>
                <c:pt idx="191">
                  <c:v>4.4897155092210822E-4</c:v>
                </c:pt>
                <c:pt idx="192">
                  <c:v>3.9440252496915693E-4</c:v>
                </c:pt>
                <c:pt idx="193">
                  <c:v>3.4604178191937615E-4</c:v>
                </c:pt>
                <c:pt idx="194">
                  <c:v>3.0323922782200417E-4</c:v>
                </c:pt>
                <c:pt idx="195">
                  <c:v>2.6540568038022831E-4</c:v>
                </c:pt>
                <c:pt idx="196">
                  <c:v>2.3200803965694195E-4</c:v>
                </c:pt>
                <c:pt idx="197">
                  <c:v>2.0256473708380607E-4</c:v>
                </c:pt>
                <c:pt idx="198">
                  <c:v>1.7664145934757122E-4</c:v>
                </c:pt>
                <c:pt idx="199">
                  <c:v>1.5384714195379722E-4</c:v>
                </c:pt>
                <c:pt idx="200">
                  <c:v>1.3383022576488537E-4</c:v>
                </c:pt>
              </c:numCache>
            </c:numRef>
          </c:yVal>
          <c:smooth val="1"/>
          <c:extLst>
            <c:ext xmlns:c16="http://schemas.microsoft.com/office/drawing/2014/chart" uri="{C3380CC4-5D6E-409C-BE32-E72D297353CC}">
              <c16:uniqueId val="{00000000-E6ED-42F1-9773-579604071CBC}"/>
            </c:ext>
          </c:extLst>
        </c:ser>
        <c:ser>
          <c:idx val="1"/>
          <c:order val="1"/>
          <c:tx>
            <c:strRef>
              <c:f>'連続変数-二値変数変換'!$E$16</c:f>
              <c:strCache>
                <c:ptCount val="1"/>
                <c:pt idx="0">
                  <c:v>Intervention</c:v>
                </c:pt>
              </c:strCache>
            </c:strRef>
          </c:tx>
          <c:spPr>
            <a:ln w="19050" cap="rnd">
              <a:solidFill>
                <a:schemeClr val="accent2"/>
              </a:solidFill>
              <a:round/>
            </a:ln>
            <a:effectLst/>
          </c:spPr>
          <c:marker>
            <c:symbol val="none"/>
          </c:marker>
          <c:xVal>
            <c:numRef>
              <c:f>'連続変数-二値変数変換'!$C$17:$C$217</c:f>
              <c:numCache>
                <c:formatCode>General</c:formatCode>
                <c:ptCount val="201"/>
                <c:pt idx="0">
                  <c:v>0</c:v>
                </c:pt>
                <c:pt idx="1">
                  <c:v>3.5000000000000003E-2</c:v>
                </c:pt>
                <c:pt idx="2">
                  <c:v>7.0000000000000007E-2</c:v>
                </c:pt>
                <c:pt idx="3">
                  <c:v>0.105</c:v>
                </c:pt>
                <c:pt idx="4">
                  <c:v>0.14000000000000001</c:v>
                </c:pt>
                <c:pt idx="5">
                  <c:v>0.17499999999999999</c:v>
                </c:pt>
                <c:pt idx="6">
                  <c:v>0.21</c:v>
                </c:pt>
                <c:pt idx="7">
                  <c:v>0.245</c:v>
                </c:pt>
                <c:pt idx="8">
                  <c:v>0.28000000000000003</c:v>
                </c:pt>
                <c:pt idx="9">
                  <c:v>0.315</c:v>
                </c:pt>
                <c:pt idx="10">
                  <c:v>0.35</c:v>
                </c:pt>
                <c:pt idx="11">
                  <c:v>0.38500000000000001</c:v>
                </c:pt>
                <c:pt idx="12">
                  <c:v>0.42</c:v>
                </c:pt>
                <c:pt idx="13">
                  <c:v>0.45500000000000002</c:v>
                </c:pt>
                <c:pt idx="14">
                  <c:v>0.49</c:v>
                </c:pt>
                <c:pt idx="15">
                  <c:v>0.52500000000000002</c:v>
                </c:pt>
                <c:pt idx="16">
                  <c:v>0.56000000000000005</c:v>
                </c:pt>
                <c:pt idx="17">
                  <c:v>0.59499999999999997</c:v>
                </c:pt>
                <c:pt idx="18">
                  <c:v>0.63</c:v>
                </c:pt>
                <c:pt idx="19">
                  <c:v>0.66500000000000004</c:v>
                </c:pt>
                <c:pt idx="20">
                  <c:v>0.7</c:v>
                </c:pt>
                <c:pt idx="21">
                  <c:v>0.73499999999999999</c:v>
                </c:pt>
                <c:pt idx="22">
                  <c:v>0.77</c:v>
                </c:pt>
                <c:pt idx="23">
                  <c:v>0.80500000000000005</c:v>
                </c:pt>
                <c:pt idx="24">
                  <c:v>0.84</c:v>
                </c:pt>
                <c:pt idx="25">
                  <c:v>0.875</c:v>
                </c:pt>
                <c:pt idx="26">
                  <c:v>0.91</c:v>
                </c:pt>
                <c:pt idx="27">
                  <c:v>0.94499999999999995</c:v>
                </c:pt>
                <c:pt idx="28">
                  <c:v>0.98</c:v>
                </c:pt>
                <c:pt idx="29">
                  <c:v>1.0149999999999999</c:v>
                </c:pt>
                <c:pt idx="30">
                  <c:v>1.05</c:v>
                </c:pt>
                <c:pt idx="31">
                  <c:v>1.085</c:v>
                </c:pt>
                <c:pt idx="32">
                  <c:v>1.1200000000000001</c:v>
                </c:pt>
                <c:pt idx="33">
                  <c:v>1.155</c:v>
                </c:pt>
                <c:pt idx="34">
                  <c:v>1.19</c:v>
                </c:pt>
                <c:pt idx="35">
                  <c:v>1.2250000000000001</c:v>
                </c:pt>
                <c:pt idx="36">
                  <c:v>1.26</c:v>
                </c:pt>
                <c:pt idx="37">
                  <c:v>1.2949999999999999</c:v>
                </c:pt>
                <c:pt idx="38">
                  <c:v>1.33</c:v>
                </c:pt>
                <c:pt idx="39">
                  <c:v>1.365</c:v>
                </c:pt>
                <c:pt idx="40">
                  <c:v>1.4</c:v>
                </c:pt>
                <c:pt idx="41">
                  <c:v>1.4350000000000001</c:v>
                </c:pt>
                <c:pt idx="42">
                  <c:v>1.47</c:v>
                </c:pt>
                <c:pt idx="43">
                  <c:v>1.5049999999999999</c:v>
                </c:pt>
                <c:pt idx="44">
                  <c:v>1.54</c:v>
                </c:pt>
                <c:pt idx="45">
                  <c:v>1.575</c:v>
                </c:pt>
                <c:pt idx="46">
                  <c:v>1.61</c:v>
                </c:pt>
                <c:pt idx="47">
                  <c:v>1.645</c:v>
                </c:pt>
                <c:pt idx="48">
                  <c:v>1.68</c:v>
                </c:pt>
                <c:pt idx="49">
                  <c:v>1.7150000000000001</c:v>
                </c:pt>
                <c:pt idx="50">
                  <c:v>1.75</c:v>
                </c:pt>
                <c:pt idx="51">
                  <c:v>1.7849999999999999</c:v>
                </c:pt>
                <c:pt idx="52">
                  <c:v>1.82</c:v>
                </c:pt>
                <c:pt idx="53">
                  <c:v>1.855</c:v>
                </c:pt>
                <c:pt idx="54">
                  <c:v>1.89</c:v>
                </c:pt>
                <c:pt idx="55">
                  <c:v>1.925</c:v>
                </c:pt>
                <c:pt idx="56">
                  <c:v>1.96</c:v>
                </c:pt>
                <c:pt idx="57">
                  <c:v>1.9950000000000001</c:v>
                </c:pt>
                <c:pt idx="58">
                  <c:v>2.0299999999999998</c:v>
                </c:pt>
                <c:pt idx="59">
                  <c:v>2.0649999999999999</c:v>
                </c:pt>
                <c:pt idx="60">
                  <c:v>2.1</c:v>
                </c:pt>
                <c:pt idx="61">
                  <c:v>2.1349999999999998</c:v>
                </c:pt>
                <c:pt idx="62">
                  <c:v>2.17</c:v>
                </c:pt>
                <c:pt idx="63">
                  <c:v>2.2050000000000001</c:v>
                </c:pt>
                <c:pt idx="64">
                  <c:v>2.2400000000000002</c:v>
                </c:pt>
                <c:pt idx="65">
                  <c:v>2.2749999999999999</c:v>
                </c:pt>
                <c:pt idx="66">
                  <c:v>2.31</c:v>
                </c:pt>
                <c:pt idx="67">
                  <c:v>2.3450000000000002</c:v>
                </c:pt>
                <c:pt idx="68">
                  <c:v>2.38</c:v>
                </c:pt>
                <c:pt idx="69">
                  <c:v>2.415</c:v>
                </c:pt>
                <c:pt idx="70">
                  <c:v>2.4500000000000002</c:v>
                </c:pt>
                <c:pt idx="71">
                  <c:v>2.4849999999999999</c:v>
                </c:pt>
                <c:pt idx="72">
                  <c:v>2.52</c:v>
                </c:pt>
                <c:pt idx="73">
                  <c:v>2.5550000000000002</c:v>
                </c:pt>
                <c:pt idx="74">
                  <c:v>2.59</c:v>
                </c:pt>
                <c:pt idx="75">
                  <c:v>2.625</c:v>
                </c:pt>
                <c:pt idx="76">
                  <c:v>2.66</c:v>
                </c:pt>
                <c:pt idx="77">
                  <c:v>2.6949999999999998</c:v>
                </c:pt>
                <c:pt idx="78">
                  <c:v>2.73</c:v>
                </c:pt>
                <c:pt idx="79">
                  <c:v>2.7650000000000001</c:v>
                </c:pt>
                <c:pt idx="80">
                  <c:v>2.8</c:v>
                </c:pt>
                <c:pt idx="81">
                  <c:v>2.835</c:v>
                </c:pt>
                <c:pt idx="82">
                  <c:v>2.87</c:v>
                </c:pt>
                <c:pt idx="83">
                  <c:v>2.9049999999999998</c:v>
                </c:pt>
                <c:pt idx="84">
                  <c:v>2.94</c:v>
                </c:pt>
                <c:pt idx="85">
                  <c:v>2.9750000000000001</c:v>
                </c:pt>
                <c:pt idx="86">
                  <c:v>3.01</c:v>
                </c:pt>
                <c:pt idx="87">
                  <c:v>3.0449999999999999</c:v>
                </c:pt>
                <c:pt idx="88">
                  <c:v>3.08</c:v>
                </c:pt>
                <c:pt idx="89">
                  <c:v>3.1150000000000002</c:v>
                </c:pt>
                <c:pt idx="90">
                  <c:v>3.15</c:v>
                </c:pt>
                <c:pt idx="91">
                  <c:v>3.1850000000000001</c:v>
                </c:pt>
                <c:pt idx="92">
                  <c:v>3.22</c:v>
                </c:pt>
                <c:pt idx="93">
                  <c:v>3.2549999999999999</c:v>
                </c:pt>
                <c:pt idx="94">
                  <c:v>3.29</c:v>
                </c:pt>
                <c:pt idx="95">
                  <c:v>3.3250000000000002</c:v>
                </c:pt>
                <c:pt idx="96">
                  <c:v>3.36</c:v>
                </c:pt>
                <c:pt idx="97">
                  <c:v>3.395</c:v>
                </c:pt>
                <c:pt idx="98">
                  <c:v>3.43</c:v>
                </c:pt>
                <c:pt idx="99">
                  <c:v>3.4649999999999999</c:v>
                </c:pt>
                <c:pt idx="100">
                  <c:v>3.5</c:v>
                </c:pt>
                <c:pt idx="101">
                  <c:v>3.5350000000000001</c:v>
                </c:pt>
                <c:pt idx="102">
                  <c:v>3.57</c:v>
                </c:pt>
                <c:pt idx="103">
                  <c:v>3.605</c:v>
                </c:pt>
                <c:pt idx="104">
                  <c:v>3.64</c:v>
                </c:pt>
                <c:pt idx="105">
                  <c:v>3.6749999999999998</c:v>
                </c:pt>
                <c:pt idx="106">
                  <c:v>3.71</c:v>
                </c:pt>
                <c:pt idx="107">
                  <c:v>3.7450000000000001</c:v>
                </c:pt>
                <c:pt idx="108">
                  <c:v>3.78</c:v>
                </c:pt>
                <c:pt idx="109">
                  <c:v>3.8149999999999999</c:v>
                </c:pt>
                <c:pt idx="110">
                  <c:v>3.85</c:v>
                </c:pt>
                <c:pt idx="111">
                  <c:v>3.8849999999999998</c:v>
                </c:pt>
                <c:pt idx="112">
                  <c:v>3.92</c:v>
                </c:pt>
                <c:pt idx="113">
                  <c:v>3.9550000000000001</c:v>
                </c:pt>
                <c:pt idx="114">
                  <c:v>3.99</c:v>
                </c:pt>
                <c:pt idx="115">
                  <c:v>4.0250000000000004</c:v>
                </c:pt>
                <c:pt idx="116">
                  <c:v>4.0599999999999996</c:v>
                </c:pt>
                <c:pt idx="117">
                  <c:v>4.0949999999999998</c:v>
                </c:pt>
                <c:pt idx="118">
                  <c:v>4.13</c:v>
                </c:pt>
                <c:pt idx="119">
                  <c:v>4.165</c:v>
                </c:pt>
                <c:pt idx="120">
                  <c:v>4.2</c:v>
                </c:pt>
                <c:pt idx="121">
                  <c:v>4.2350000000000003</c:v>
                </c:pt>
                <c:pt idx="122">
                  <c:v>4.2699999999999996</c:v>
                </c:pt>
                <c:pt idx="123">
                  <c:v>4.3049999999999997</c:v>
                </c:pt>
                <c:pt idx="124">
                  <c:v>4.34</c:v>
                </c:pt>
                <c:pt idx="125">
                  <c:v>4.375</c:v>
                </c:pt>
                <c:pt idx="126">
                  <c:v>4.41</c:v>
                </c:pt>
                <c:pt idx="127">
                  <c:v>4.4450000000000003</c:v>
                </c:pt>
                <c:pt idx="128">
                  <c:v>4.4800000000000004</c:v>
                </c:pt>
                <c:pt idx="129">
                  <c:v>4.5149999999999997</c:v>
                </c:pt>
                <c:pt idx="130">
                  <c:v>4.55</c:v>
                </c:pt>
                <c:pt idx="131">
                  <c:v>4.585</c:v>
                </c:pt>
                <c:pt idx="132">
                  <c:v>4.62</c:v>
                </c:pt>
                <c:pt idx="133">
                  <c:v>4.6550000000000002</c:v>
                </c:pt>
                <c:pt idx="134">
                  <c:v>4.6900000000000004</c:v>
                </c:pt>
                <c:pt idx="135">
                  <c:v>4.7249999999999996</c:v>
                </c:pt>
                <c:pt idx="136">
                  <c:v>4.76</c:v>
                </c:pt>
                <c:pt idx="137">
                  <c:v>4.7949999999999999</c:v>
                </c:pt>
                <c:pt idx="138">
                  <c:v>4.83</c:v>
                </c:pt>
                <c:pt idx="139">
                  <c:v>4.8650000000000002</c:v>
                </c:pt>
                <c:pt idx="140">
                  <c:v>4.9000000000000004</c:v>
                </c:pt>
                <c:pt idx="141">
                  <c:v>4.9349999999999996</c:v>
                </c:pt>
                <c:pt idx="142">
                  <c:v>4.97</c:v>
                </c:pt>
                <c:pt idx="143">
                  <c:v>5.0049999999999999</c:v>
                </c:pt>
                <c:pt idx="144">
                  <c:v>5.04</c:v>
                </c:pt>
                <c:pt idx="145">
                  <c:v>5.0750000000000002</c:v>
                </c:pt>
                <c:pt idx="146">
                  <c:v>5.1100000000000003</c:v>
                </c:pt>
                <c:pt idx="147">
                  <c:v>5.1449999999999996</c:v>
                </c:pt>
                <c:pt idx="148">
                  <c:v>5.18</c:v>
                </c:pt>
                <c:pt idx="149">
                  <c:v>5.2149999999999999</c:v>
                </c:pt>
                <c:pt idx="150">
                  <c:v>5.25</c:v>
                </c:pt>
                <c:pt idx="151">
                  <c:v>5.2850000000000001</c:v>
                </c:pt>
                <c:pt idx="152">
                  <c:v>5.32</c:v>
                </c:pt>
                <c:pt idx="153">
                  <c:v>5.3550000000000004</c:v>
                </c:pt>
                <c:pt idx="154">
                  <c:v>5.39</c:v>
                </c:pt>
                <c:pt idx="155">
                  <c:v>5.4249999999999998</c:v>
                </c:pt>
                <c:pt idx="156">
                  <c:v>5.46</c:v>
                </c:pt>
                <c:pt idx="157">
                  <c:v>5.4950000000000001</c:v>
                </c:pt>
                <c:pt idx="158">
                  <c:v>5.53</c:v>
                </c:pt>
                <c:pt idx="159">
                  <c:v>5.5650000000000004</c:v>
                </c:pt>
                <c:pt idx="160">
                  <c:v>5.6</c:v>
                </c:pt>
                <c:pt idx="161">
                  <c:v>5.6349999999999998</c:v>
                </c:pt>
                <c:pt idx="162">
                  <c:v>5.67</c:v>
                </c:pt>
                <c:pt idx="163">
                  <c:v>5.7050000000000001</c:v>
                </c:pt>
                <c:pt idx="164">
                  <c:v>5.74</c:v>
                </c:pt>
                <c:pt idx="165">
                  <c:v>5.7750000000000004</c:v>
                </c:pt>
                <c:pt idx="166">
                  <c:v>5.81</c:v>
                </c:pt>
                <c:pt idx="167">
                  <c:v>5.8449999999999998</c:v>
                </c:pt>
                <c:pt idx="168">
                  <c:v>5.88</c:v>
                </c:pt>
                <c:pt idx="169">
                  <c:v>5.915</c:v>
                </c:pt>
                <c:pt idx="170">
                  <c:v>5.95</c:v>
                </c:pt>
                <c:pt idx="171">
                  <c:v>5.9850000000000003</c:v>
                </c:pt>
                <c:pt idx="172">
                  <c:v>6.02</c:v>
                </c:pt>
                <c:pt idx="173">
                  <c:v>6.0549999999999997</c:v>
                </c:pt>
                <c:pt idx="174">
                  <c:v>6.09</c:v>
                </c:pt>
                <c:pt idx="175">
                  <c:v>6.125</c:v>
                </c:pt>
                <c:pt idx="176">
                  <c:v>6.16</c:v>
                </c:pt>
                <c:pt idx="177">
                  <c:v>6.1950000000000003</c:v>
                </c:pt>
                <c:pt idx="178">
                  <c:v>6.23</c:v>
                </c:pt>
                <c:pt idx="179">
                  <c:v>6.2649999999999997</c:v>
                </c:pt>
                <c:pt idx="180">
                  <c:v>6.3</c:v>
                </c:pt>
                <c:pt idx="181">
                  <c:v>6.335</c:v>
                </c:pt>
                <c:pt idx="182">
                  <c:v>6.37</c:v>
                </c:pt>
                <c:pt idx="183">
                  <c:v>6.4050000000000002</c:v>
                </c:pt>
                <c:pt idx="184">
                  <c:v>6.44</c:v>
                </c:pt>
                <c:pt idx="185">
                  <c:v>6.4749999999999996</c:v>
                </c:pt>
                <c:pt idx="186">
                  <c:v>6.51</c:v>
                </c:pt>
                <c:pt idx="187">
                  <c:v>6.5449999999999999</c:v>
                </c:pt>
                <c:pt idx="188">
                  <c:v>6.58</c:v>
                </c:pt>
                <c:pt idx="189">
                  <c:v>6.6150000000000002</c:v>
                </c:pt>
                <c:pt idx="190">
                  <c:v>6.65</c:v>
                </c:pt>
                <c:pt idx="191">
                  <c:v>6.6849999999999996</c:v>
                </c:pt>
                <c:pt idx="192">
                  <c:v>6.72</c:v>
                </c:pt>
                <c:pt idx="193">
                  <c:v>6.7549999999999999</c:v>
                </c:pt>
                <c:pt idx="194">
                  <c:v>6.79</c:v>
                </c:pt>
                <c:pt idx="195">
                  <c:v>6.8250000000000002</c:v>
                </c:pt>
                <c:pt idx="196">
                  <c:v>6.86</c:v>
                </c:pt>
                <c:pt idx="197">
                  <c:v>6.8949999999999996</c:v>
                </c:pt>
                <c:pt idx="198">
                  <c:v>6.93</c:v>
                </c:pt>
                <c:pt idx="199">
                  <c:v>6.9649999999999999</c:v>
                </c:pt>
                <c:pt idx="200">
                  <c:v>7</c:v>
                </c:pt>
              </c:numCache>
            </c:numRef>
          </c:xVal>
          <c:yVal>
            <c:numRef>
              <c:f>'連続変数-二値変数変換'!$E$17:$E$217</c:f>
              <c:numCache>
                <c:formatCode>General</c:formatCode>
                <c:ptCount val="201"/>
                <c:pt idx="0">
                  <c:v>1.3383022576488537E-4</c:v>
                </c:pt>
                <c:pt idx="1">
                  <c:v>1.5384714195379722E-4</c:v>
                </c:pt>
                <c:pt idx="2">
                  <c:v>1.7664145934757092E-4</c:v>
                </c:pt>
                <c:pt idx="3">
                  <c:v>2.0256473708380571E-4</c:v>
                </c:pt>
                <c:pt idx="4">
                  <c:v>2.3200803965694238E-4</c:v>
                </c:pt>
                <c:pt idx="5">
                  <c:v>2.6540568038022831E-4</c:v>
                </c:pt>
                <c:pt idx="6">
                  <c:v>3.0323922782200417E-4</c:v>
                </c:pt>
                <c:pt idx="7">
                  <c:v>3.4604178191937615E-4</c:v>
                </c:pt>
                <c:pt idx="8">
                  <c:v>3.9440252496915693E-4</c:v>
                </c:pt>
                <c:pt idx="9">
                  <c:v>4.4897155092210735E-4</c:v>
                </c:pt>
                <c:pt idx="10">
                  <c:v>5.104649743441856E-4</c:v>
                </c:pt>
                <c:pt idx="11">
                  <c:v>5.7967031804106344E-4</c:v>
                </c:pt>
                <c:pt idx="12">
                  <c:v>6.5745217565467645E-4</c:v>
                </c:pt>
                <c:pt idx="13">
                  <c:v>7.4475814252004664E-4</c:v>
                </c:pt>
                <c:pt idx="14">
                  <c:v>8.4262500470690268E-4</c:v>
                </c:pt>
                <c:pt idx="15">
                  <c:v>9.5218517245626935E-4</c:v>
                </c:pt>
                <c:pt idx="16">
                  <c:v>1.0746733401537356E-3</c:v>
                </c:pt>
                <c:pt idx="17">
                  <c:v>1.2114333505588014E-3</c:v>
                </c:pt>
                <c:pt idx="18">
                  <c:v>1.3639252362389036E-3</c:v>
                </c:pt>
                <c:pt idx="19">
                  <c:v>1.5337324060474215E-3</c:v>
                </c:pt>
                <c:pt idx="20">
                  <c:v>1.7225689390536812E-3</c:v>
                </c:pt>
                <c:pt idx="21">
                  <c:v>1.932286942601544E-3</c:v>
                </c:pt>
                <c:pt idx="22">
                  <c:v>2.164883925171062E-3</c:v>
                </c:pt>
                <c:pt idx="23">
                  <c:v>2.4225101284807873E-3</c:v>
                </c:pt>
                <c:pt idx="24">
                  <c:v>2.7074757568406999E-3</c:v>
                </c:pt>
                <c:pt idx="25">
                  <c:v>3.0222580351987561E-3</c:v>
                </c:pt>
                <c:pt idx="26">
                  <c:v>3.3695080206774812E-3</c:v>
                </c:pt>
                <c:pt idx="27">
                  <c:v>3.752057085739106E-3</c:v>
                </c:pt>
                <c:pt idx="28">
                  <c:v>4.1729229845239623E-3</c:v>
                </c:pt>
                <c:pt idx="29">
                  <c:v>4.6353154074620598E-3</c:v>
                </c:pt>
                <c:pt idx="30">
                  <c:v>5.1426409230539392E-3</c:v>
                </c:pt>
                <c:pt idx="31">
                  <c:v>5.698507199853077E-3</c:v>
                </c:pt>
                <c:pt idx="32">
                  <c:v>6.3067263962659275E-3</c:v>
                </c:pt>
                <c:pt idx="33">
                  <c:v>6.9713176009282797E-3</c:v>
                </c:pt>
                <c:pt idx="34">
                  <c:v>7.6965082022373218E-3</c:v>
                </c:pt>
                <c:pt idx="35">
                  <c:v>8.4867340622387204E-3</c:v>
                </c:pt>
                <c:pt idx="36">
                  <c:v>9.3466383676122835E-3</c:v>
                </c:pt>
                <c:pt idx="37">
                  <c:v>1.0281069029095511E-2</c:v>
                </c:pt>
                <c:pt idx="38">
                  <c:v>1.1295074500456135E-2</c:v>
                </c:pt>
                <c:pt idx="39">
                  <c:v>1.2393897889198818E-2</c:v>
                </c:pt>
                <c:pt idx="40">
                  <c:v>1.3582969233685613E-2</c:v>
                </c:pt>
                <c:pt idx="41">
                  <c:v>1.4867895825380634E-2</c:v>
                </c:pt>
                <c:pt idx="42">
                  <c:v>1.6254450460600492E-2</c:v>
                </c:pt>
                <c:pt idx="43">
                  <c:v>1.7748557513561032E-2</c:v>
                </c:pt>
                <c:pt idx="44">
                  <c:v>1.9356276731736961E-2</c:v>
                </c:pt>
                <c:pt idx="45">
                  <c:v>2.1083784665664119E-2</c:v>
                </c:pt>
                <c:pt idx="46">
                  <c:v>2.2937353658360714E-2</c:v>
                </c:pt>
                <c:pt idx="47">
                  <c:v>2.4923328334554323E-2</c:v>
                </c:pt>
                <c:pt idx="48">
                  <c:v>2.7048099546881761E-2</c:v>
                </c:pt>
                <c:pt idx="49">
                  <c:v>2.9318075755160253E-2</c:v>
                </c:pt>
                <c:pt idx="50">
                  <c:v>3.1739651835667418E-2</c:v>
                </c:pt>
                <c:pt idx="51">
                  <c:v>3.4319175340040232E-2</c:v>
                </c:pt>
                <c:pt idx="52">
                  <c:v>3.7062910247806502E-2</c:v>
                </c:pt>
                <c:pt idx="53">
                  <c:v>3.9976998282565138E-2</c:v>
                </c:pt>
                <c:pt idx="54">
                  <c:v>4.3067417889265699E-2</c:v>
                </c:pt>
                <c:pt idx="55">
                  <c:v>4.6339940998709216E-2</c:v>
                </c:pt>
                <c:pt idx="56">
                  <c:v>4.9800087735070775E-2</c:v>
                </c:pt>
                <c:pt idx="57">
                  <c:v>5.3453079252672044E-2</c:v>
                </c:pt>
                <c:pt idx="58">
                  <c:v>5.730378891911711E-2</c:v>
                </c:pt>
                <c:pt idx="59">
                  <c:v>6.1356692092932479E-2</c:v>
                </c:pt>
                <c:pt idx="60">
                  <c:v>6.5615814774676595E-2</c:v>
                </c:pt>
                <c:pt idx="61">
                  <c:v>7.0084681440741287E-2</c:v>
                </c:pt>
                <c:pt idx="62">
                  <c:v>7.4766262398367603E-2</c:v>
                </c:pt>
                <c:pt idx="63">
                  <c:v>7.9662921028342992E-2</c:v>
                </c:pt>
                <c:pt idx="64">
                  <c:v>8.4776361308022255E-2</c:v>
                </c:pt>
                <c:pt idx="65">
                  <c:v>9.0107576031298098E-2</c:v>
                </c:pt>
                <c:pt idx="66">
                  <c:v>9.5656796163524016E-2</c:v>
                </c:pt>
                <c:pt idx="67">
                  <c:v>0.10142344178774111</c:v>
                </c:pt>
                <c:pt idx="68">
                  <c:v>0.1074060751134838</c:v>
                </c:pt>
                <c:pt idx="69">
                  <c:v>0.11360235603054231</c:v>
                </c:pt>
                <c:pt idx="70">
                  <c:v>0.12000900069698565</c:v>
                </c:pt>
                <c:pt idx="71">
                  <c:v>0.12662174365316267</c:v>
                </c:pt>
                <c:pt idx="72">
                  <c:v>0.13343530395100231</c:v>
                </c:pt>
                <c:pt idx="73">
                  <c:v>0.14044335578047476</c:v>
                </c:pt>
                <c:pt idx="74">
                  <c:v>0.14763850406235568</c:v>
                </c:pt>
                <c:pt idx="75">
                  <c:v>0.15501226545829322</c:v>
                </c:pt>
                <c:pt idx="76">
                  <c:v>0.16255505522553418</c:v>
                </c:pt>
                <c:pt idx="77">
                  <c:v>0.17025618031449449</c:v>
                </c:pt>
                <c:pt idx="78">
                  <c:v>0.17810383907269359</c:v>
                </c:pt>
                <c:pt idx="79">
                  <c:v>0.18608512787853726</c:v>
                </c:pt>
                <c:pt idx="80">
                  <c:v>0.19418605498321292</c:v>
                </c:pt>
                <c:pt idx="81">
                  <c:v>0.20239156178880735</c:v>
                </c:pt>
                <c:pt idx="82">
                  <c:v>0.21068555173601533</c:v>
                </c:pt>
                <c:pt idx="83">
                  <c:v>0.21905092691588193</c:v>
                </c:pt>
                <c:pt idx="84">
                  <c:v>0.22746963245738591</c:v>
                </c:pt>
                <c:pt idx="85">
                  <c:v>0.23592270867687257</c:v>
                </c:pt>
                <c:pt idx="86">
                  <c:v>0.24439035090699954</c:v>
                </c:pt>
                <c:pt idx="87">
                  <c:v>0.25285197685261257</c:v>
                </c:pt>
                <c:pt idx="88">
                  <c:v>0.26128630124955315</c:v>
                </c:pt>
                <c:pt idx="89">
                  <c:v>0.26967141753056539</c:v>
                </c:pt>
                <c:pt idx="90">
                  <c:v>0.27798488613099642</c:v>
                </c:pt>
                <c:pt idx="91">
                  <c:v>0.28620382899670693</c:v>
                </c:pt>
                <c:pt idx="92">
                  <c:v>0.29430502978832518</c:v>
                </c:pt>
                <c:pt idx="93">
                  <c:v>0.30226503921054892</c:v>
                </c:pt>
                <c:pt idx="94">
                  <c:v>0.31006028483341613</c:v>
                </c:pt>
                <c:pt idx="95">
                  <c:v>0.31766718471514827</c:v>
                </c:pt>
                <c:pt idx="96">
                  <c:v>0.32506226408408212</c:v>
                </c:pt>
                <c:pt idx="97">
                  <c:v>0.33222227429106688</c:v>
                </c:pt>
                <c:pt idx="98">
                  <c:v>0.33912431320419223</c:v>
                </c:pt>
                <c:pt idx="99">
                  <c:v>0.34574594618543536</c:v>
                </c:pt>
                <c:pt idx="100">
                  <c:v>0.35206532676429952</c:v>
                </c:pt>
                <c:pt idx="101">
                  <c:v>0.35806131610721081</c:v>
                </c:pt>
                <c:pt idx="102">
                  <c:v>0.36371360037371336</c:v>
                </c:pt>
                <c:pt idx="103">
                  <c:v>0.36900280505159144</c:v>
                </c:pt>
                <c:pt idx="104">
                  <c:v>0.37391060537312842</c:v>
                </c:pt>
                <c:pt idx="105">
                  <c:v>0.37841983193381945</c:v>
                </c:pt>
                <c:pt idx="106">
                  <c:v>0.38251457066292405</c:v>
                </c:pt>
                <c:pt idx="107">
                  <c:v>0.38618025633210812</c:v>
                </c:pt>
                <c:pt idx="108">
                  <c:v>0.38940375883379041</c:v>
                </c:pt>
                <c:pt idx="109">
                  <c:v>0.39217346151428173</c:v>
                </c:pt>
                <c:pt idx="110">
                  <c:v>0.39447933090788895</c:v>
                </c:pt>
                <c:pt idx="111">
                  <c:v>0.39631297728625331</c:v>
                </c:pt>
                <c:pt idx="112">
                  <c:v>0.39766770551160885</c:v>
                </c:pt>
                <c:pt idx="113">
                  <c:v>0.39853855576261471</c:v>
                </c:pt>
                <c:pt idx="114">
                  <c:v>0.39892233378608216</c:v>
                </c:pt>
                <c:pt idx="115">
                  <c:v>0.3988176304163818</c:v>
                </c:pt>
                <c:pt idx="116">
                  <c:v>0.39822483019560695</c:v>
                </c:pt>
                <c:pt idx="117">
                  <c:v>0.39714610902069969</c:v>
                </c:pt>
                <c:pt idx="118">
                  <c:v>0.39558542083768738</c:v>
                </c:pt>
                <c:pt idx="119">
                  <c:v>0.39354847349689354</c:v>
                </c:pt>
                <c:pt idx="120">
                  <c:v>0.39104269397545588</c:v>
                </c:pt>
                <c:pt idx="121">
                  <c:v>0.38807718326368462</c:v>
                </c:pt>
                <c:pt idx="122">
                  <c:v>0.38466266129874283</c:v>
                </c:pt>
                <c:pt idx="123">
                  <c:v>0.38081140241189437</c:v>
                </c:pt>
                <c:pt idx="124">
                  <c:v>0.37653716183325397</c:v>
                </c:pt>
                <c:pt idx="125">
                  <c:v>0.37185509386976895</c:v>
                </c:pt>
                <c:pt idx="126">
                  <c:v>0.36678166243733612</c:v>
                </c:pt>
                <c:pt idx="127">
                  <c:v>0.36133454468584547</c:v>
                </c:pt>
                <c:pt idx="128">
                  <c:v>0.35553252850599704</c:v>
                </c:pt>
                <c:pt idx="129">
                  <c:v>0.34939540474849967</c:v>
                </c:pt>
                <c:pt idx="130">
                  <c:v>0.3429438550193839</c:v>
                </c:pt>
                <c:pt idx="131">
                  <c:v>0.33619933593940737</c:v>
                </c:pt>
                <c:pt idx="132">
                  <c:v>0.32918396077076478</c:v>
                </c:pt>
                <c:pt idx="133">
                  <c:v>0.32192037932053752</c:v>
                </c:pt>
                <c:pt idx="134">
                  <c:v>0.31443165702759723</c:v>
                </c:pt>
                <c:pt idx="135">
                  <c:v>0.30674115412824005</c:v>
                </c:pt>
                <c:pt idx="136">
                  <c:v>0.29887240577595287</c:v>
                </c:pt>
                <c:pt idx="137">
                  <c:v>0.29084900396281432</c:v>
                </c:pt>
                <c:pt idx="138">
                  <c:v>0.28269448205458025</c:v>
                </c:pt>
                <c:pt idx="139">
                  <c:v>0.2744322027090772</c:v>
                </c:pt>
                <c:pt idx="140">
                  <c:v>0.26608524989875476</c:v>
                </c:pt>
                <c:pt idx="141">
                  <c:v>0.25767632570382143</c:v>
                </c:pt>
                <c:pt idx="142">
                  <c:v>0.249227652483066</c:v>
                </c:pt>
                <c:pt idx="143">
                  <c:v>0.24076088096602083</c:v>
                </c:pt>
                <c:pt idx="144">
                  <c:v>0.2322970047433662</c:v>
                </c:pt>
                <c:pt idx="145">
                  <c:v>0.22385628156323945</c:v>
                </c:pt>
                <c:pt idx="146">
                  <c:v>0.21545816177021965</c:v>
                </c:pt>
                <c:pt idx="147">
                  <c:v>0.20712122415203352</c:v>
                </c:pt>
                <c:pt idx="148">
                  <c:v>0.19886311938727594</c:v>
                </c:pt>
                <c:pt idx="149">
                  <c:v>0.19070052121643938</c:v>
                </c:pt>
                <c:pt idx="150">
                  <c:v>0.18264908538902191</c:v>
                </c:pt>
                <c:pt idx="151">
                  <c:v>0.17472341637216027</c:v>
                </c:pt>
                <c:pt idx="152">
                  <c:v>0.16693704174171375</c:v>
                </c:pt>
                <c:pt idx="153">
                  <c:v>0.15930239411562108</c:v>
                </c:pt>
                <c:pt idx="154">
                  <c:v>0.15183080043216174</c:v>
                </c:pt>
                <c:pt idx="155">
                  <c:v>0.14453247832293289</c:v>
                </c:pt>
                <c:pt idx="156">
                  <c:v>0.13741653928228179</c:v>
                </c:pt>
                <c:pt idx="157">
                  <c:v>0.13049099829189736</c:v>
                </c:pt>
                <c:pt idx="158">
                  <c:v>0.12376278952152307</c:v>
                </c:pt>
                <c:pt idx="159">
                  <c:v>0.11723778769442594</c:v>
                </c:pt>
                <c:pt idx="160">
                  <c:v>0.11092083467945563</c:v>
                </c:pt>
                <c:pt idx="161">
                  <c:v>0.10481577085024762</c:v>
                </c:pt>
                <c:pt idx="162">
                  <c:v>9.8925470736323712E-2</c:v>
                </c:pt>
                <c:pt idx="163">
                  <c:v>9.3251882480393525E-2</c:v>
                </c:pt>
                <c:pt idx="164">
                  <c:v>8.7796070610905594E-2</c:v>
                </c:pt>
                <c:pt idx="165">
                  <c:v>8.2558261638591576E-2</c:v>
                </c:pt>
                <c:pt idx="166">
                  <c:v>7.7537891990134028E-2</c:v>
                </c:pt>
                <c:pt idx="167">
                  <c:v>7.2733657800846743E-2</c:v>
                </c:pt>
                <c:pt idx="168">
                  <c:v>6.8143566101044578E-2</c:v>
                </c:pt>
                <c:pt idx="169">
                  <c:v>6.3764986947216634E-2</c:v>
                </c:pt>
                <c:pt idx="170">
                  <c:v>5.9594706068816054E-2</c:v>
                </c:pt>
                <c:pt idx="171">
                  <c:v>5.5628977624024072E-2</c:v>
                </c:pt>
                <c:pt idx="172">
                  <c:v>5.1863576682820607E-2</c:v>
                </c:pt>
                <c:pt idx="173">
                  <c:v>4.829385108267735E-2</c:v>
                </c:pt>
                <c:pt idx="174">
                  <c:v>4.49147723307671E-2</c:v>
                </c:pt>
                <c:pt idx="175">
                  <c:v>4.1720985256338612E-2</c:v>
                </c:pt>
                <c:pt idx="176">
                  <c:v>3.8706856147455608E-2</c:v>
                </c:pt>
                <c:pt idx="177">
                  <c:v>3.5866519137251716E-2</c:v>
                </c:pt>
                <c:pt idx="178">
                  <c:v>3.3193920635861088E-2</c:v>
                </c:pt>
                <c:pt idx="179">
                  <c:v>3.0682861634910845E-2</c:v>
                </c:pt>
                <c:pt idx="180">
                  <c:v>2.8327037741601186E-2</c:v>
                </c:pt>
                <c:pt idx="181">
                  <c:v>2.612007682867739E-2</c:v>
                </c:pt>
                <c:pt idx="182">
                  <c:v>2.4055574214762971E-2</c:v>
                </c:pt>
                <c:pt idx="183">
                  <c:v>2.2127125316368654E-2</c:v>
                </c:pt>
                <c:pt idx="184">
                  <c:v>2.032835573822582E-2</c:v>
                </c:pt>
                <c:pt idx="185">
                  <c:v>1.8652948792269922E-2</c:v>
                </c:pt>
                <c:pt idx="186">
                  <c:v>1.7094670457496956E-2</c:v>
                </c:pt>
                <c:pt idx="187">
                  <c:v>1.5647391812944764E-2</c:v>
                </c:pt>
                <c:pt idx="188">
                  <c:v>1.430510899414969E-2</c:v>
                </c:pt>
                <c:pt idx="189">
                  <c:v>1.3061960739566395E-2</c:v>
                </c:pt>
                <c:pt idx="190">
                  <c:v>1.1912243607605169E-2</c:v>
                </c:pt>
                <c:pt idx="191">
                  <c:v>1.0850424957154152E-2</c:v>
                </c:pt>
                <c:pt idx="192">
                  <c:v>9.8711537947511439E-3</c:v>
                </c:pt>
                <c:pt idx="193">
                  <c:v>8.9692696000083817E-3</c:v>
                </c:pt>
                <c:pt idx="194">
                  <c:v>8.1398092475460215E-3</c:v>
                </c:pt>
                <c:pt idx="195">
                  <c:v>7.37801214864679E-3</c:v>
                </c:pt>
                <c:pt idx="196">
                  <c:v>6.6793237392026089E-3</c:v>
                </c:pt>
                <c:pt idx="197">
                  <c:v>6.0393974423956142E-3</c:v>
                </c:pt>
                <c:pt idx="198">
                  <c:v>5.4540952350565549E-3</c:v>
                </c:pt>
                <c:pt idx="199">
                  <c:v>4.9194869458966993E-3</c:v>
                </c:pt>
                <c:pt idx="200">
                  <c:v>4.4318484119380075E-3</c:v>
                </c:pt>
              </c:numCache>
            </c:numRef>
          </c:yVal>
          <c:smooth val="1"/>
          <c:extLst>
            <c:ext xmlns:c16="http://schemas.microsoft.com/office/drawing/2014/chart" uri="{C3380CC4-5D6E-409C-BE32-E72D297353CC}">
              <c16:uniqueId val="{00000001-E6ED-42F1-9773-579604071CBC}"/>
            </c:ext>
          </c:extLst>
        </c:ser>
        <c:ser>
          <c:idx val="2"/>
          <c:order val="2"/>
          <c:tx>
            <c:v>Threshold</c:v>
          </c:tx>
          <c:spPr>
            <a:ln w="19050" cap="rnd">
              <a:solidFill>
                <a:schemeClr val="accent3"/>
              </a:solidFill>
              <a:prstDash val="sysDot"/>
              <a:round/>
            </a:ln>
            <a:effectLst/>
          </c:spPr>
          <c:marker>
            <c:symbol val="none"/>
          </c:marker>
          <c:dPt>
            <c:idx val="1"/>
            <c:marker>
              <c:symbol val="none"/>
            </c:marker>
            <c:bubble3D val="0"/>
            <c:spPr>
              <a:ln w="19050" cap="rnd">
                <a:solidFill>
                  <a:schemeClr val="accent3"/>
                </a:solidFill>
                <a:prstDash val="sysDot"/>
                <a:round/>
              </a:ln>
              <a:effectLst/>
            </c:spPr>
            <c:extLst>
              <c:ext xmlns:c16="http://schemas.microsoft.com/office/drawing/2014/chart" uri="{C3380CC4-5D6E-409C-BE32-E72D297353CC}">
                <c16:uniqueId val="{00000005-E6ED-42F1-9773-579604071CBC}"/>
              </c:ext>
            </c:extLst>
          </c:dPt>
          <c:xVal>
            <c:numRef>
              <c:f>'連続変数-二値変数変換'!$C$12:$C$13</c:f>
              <c:numCache>
                <c:formatCode>General</c:formatCode>
                <c:ptCount val="2"/>
                <c:pt idx="0">
                  <c:v>3.8</c:v>
                </c:pt>
                <c:pt idx="1">
                  <c:v>3.8</c:v>
                </c:pt>
              </c:numCache>
            </c:numRef>
          </c:xVal>
          <c:yVal>
            <c:numRef>
              <c:f>'連続変数-二値変数変換'!$D$12:$D$13</c:f>
              <c:numCache>
                <c:formatCode>General</c:formatCode>
                <c:ptCount val="2"/>
                <c:pt idx="0">
                  <c:v>0</c:v>
                </c:pt>
                <c:pt idx="1">
                  <c:v>0.43881456716469042</c:v>
                </c:pt>
              </c:numCache>
            </c:numRef>
          </c:yVal>
          <c:smooth val="1"/>
          <c:extLst>
            <c:ext xmlns:c16="http://schemas.microsoft.com/office/drawing/2014/chart" uri="{C3380CC4-5D6E-409C-BE32-E72D297353CC}">
              <c16:uniqueId val="{00000004-E6ED-42F1-9773-579604071CBC}"/>
            </c:ext>
          </c:extLst>
        </c:ser>
        <c:ser>
          <c:idx val="3"/>
          <c:order val="3"/>
          <c:tx>
            <c:v>Direction</c:v>
          </c:tx>
          <c:spPr>
            <a:ln w="19050" cap="rnd">
              <a:solidFill>
                <a:schemeClr val="accent4"/>
              </a:solidFill>
              <a:prstDash val="sysDot"/>
              <a:round/>
              <a:headEnd type="triangle"/>
            </a:ln>
            <a:effectLst/>
          </c:spPr>
          <c:marker>
            <c:symbol val="none"/>
          </c:marker>
          <c:xVal>
            <c:numRef>
              <c:f>'連続変数-二値変数変換'!$E$12:$E$13</c:f>
              <c:numCache>
                <c:formatCode>General</c:formatCode>
                <c:ptCount val="2"/>
                <c:pt idx="0">
                  <c:v>5.6999999999999993</c:v>
                </c:pt>
                <c:pt idx="1">
                  <c:v>3.8</c:v>
                </c:pt>
              </c:numCache>
            </c:numRef>
          </c:xVal>
          <c:yVal>
            <c:numRef>
              <c:f>'連続変数-二値変数変換'!$F$12:$F$13</c:f>
              <c:numCache>
                <c:formatCode>General</c:formatCode>
                <c:ptCount val="2"/>
                <c:pt idx="0">
                  <c:v>0.43881456716469042</c:v>
                </c:pt>
                <c:pt idx="1">
                  <c:v>0.43881456716469042</c:v>
                </c:pt>
              </c:numCache>
            </c:numRef>
          </c:yVal>
          <c:smooth val="1"/>
          <c:extLst>
            <c:ext xmlns:c16="http://schemas.microsoft.com/office/drawing/2014/chart" uri="{C3380CC4-5D6E-409C-BE32-E72D297353CC}">
              <c16:uniqueId val="{00000006-E6ED-42F1-9773-579604071CBC}"/>
            </c:ext>
          </c:extLst>
        </c:ser>
        <c:dLbls>
          <c:showLegendKey val="0"/>
          <c:showVal val="0"/>
          <c:showCatName val="0"/>
          <c:showSerName val="0"/>
          <c:showPercent val="0"/>
          <c:showBubbleSize val="0"/>
        </c:dLbls>
        <c:axId val="434713887"/>
        <c:axId val="434711007"/>
      </c:scatterChart>
      <c:valAx>
        <c:axId val="4347138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4711007"/>
        <c:crosses val="autoZero"/>
        <c:crossBetween val="midCat"/>
      </c:valAx>
      <c:valAx>
        <c:axId val="434711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434713887"/>
        <c:crosses val="autoZero"/>
        <c:crossBetween val="midCat"/>
      </c:valAx>
      <c:spPr>
        <a:solidFill>
          <a:schemeClr val="bg1"/>
        </a:solidFill>
        <a:ln>
          <a:solidFill>
            <a:srgbClr val="D9D9D9"/>
          </a:solid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24">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prstDash val="sysDot"/>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spPr>
      <a:ln w="9525">
        <a:solidFill>
          <a:schemeClr val="tx1">
            <a:lumMod val="15000"/>
            <a:lumOff val="85000"/>
          </a:schemeClr>
        </a:solidFill>
      </a:ln>
    </cs:spPr>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13" Type="http://schemas.openxmlformats.org/officeDocument/2006/relationships/chart" Target="../charts/chart21.xml"/><Relationship Id="rId3" Type="http://schemas.openxmlformats.org/officeDocument/2006/relationships/chart" Target="../charts/chart11.xml"/><Relationship Id="rId7" Type="http://schemas.openxmlformats.org/officeDocument/2006/relationships/chart" Target="../charts/chart15.xml"/><Relationship Id="rId12" Type="http://schemas.openxmlformats.org/officeDocument/2006/relationships/chart" Target="../charts/chart20.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11</xdr:col>
      <xdr:colOff>859117</xdr:colOff>
      <xdr:row>13</xdr:row>
      <xdr:rowOff>201705</xdr:rowOff>
    </xdr:from>
    <xdr:to>
      <xdr:col>11</xdr:col>
      <xdr:colOff>1105646</xdr:colOff>
      <xdr:row>15</xdr:row>
      <xdr:rowOff>179294</xdr:rowOff>
    </xdr:to>
    <xdr:sp macro="" textlink="">
      <xdr:nvSpPr>
        <xdr:cNvPr id="2" name="矢印: 下 1">
          <a:extLst>
            <a:ext uri="{FF2B5EF4-FFF2-40B4-BE49-F238E27FC236}">
              <a16:creationId xmlns:a16="http://schemas.microsoft.com/office/drawing/2014/main" id="{C9CA5FEA-8AD2-4078-84D7-FE0CCBDF1F7A}"/>
            </a:ext>
          </a:extLst>
        </xdr:cNvPr>
        <xdr:cNvSpPr/>
      </xdr:nvSpPr>
      <xdr:spPr>
        <a:xfrm rot="10800000">
          <a:off x="9584764" y="3944470"/>
          <a:ext cx="246529" cy="44076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t>＊</a:t>
          </a:r>
          <a:endParaRPr kumimoji="1" lang="en-US" altLang="ja-JP" sz="1100" kern="1200"/>
        </a:p>
      </xdr:txBody>
    </xdr:sp>
    <xdr:clientData/>
  </xdr:twoCellAnchor>
  <xdr:twoCellAnchor>
    <xdr:from>
      <xdr:col>5</xdr:col>
      <xdr:colOff>0</xdr:colOff>
      <xdr:row>33</xdr:row>
      <xdr:rowOff>0</xdr:rowOff>
    </xdr:from>
    <xdr:to>
      <xdr:col>12</xdr:col>
      <xdr:colOff>382120</xdr:colOff>
      <xdr:row>45</xdr:row>
      <xdr:rowOff>98425</xdr:rowOff>
    </xdr:to>
    <xdr:graphicFrame macro="">
      <xdr:nvGraphicFramePr>
        <xdr:cNvPr id="6" name="グラフ 5">
          <a:extLst>
            <a:ext uri="{FF2B5EF4-FFF2-40B4-BE49-F238E27FC236}">
              <a16:creationId xmlns:a16="http://schemas.microsoft.com/office/drawing/2014/main" id="{6425C76B-6E46-4B36-A836-4313A6D5C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49</xdr:row>
      <xdr:rowOff>0</xdr:rowOff>
    </xdr:from>
    <xdr:to>
      <xdr:col>12</xdr:col>
      <xdr:colOff>382120</xdr:colOff>
      <xdr:row>61</xdr:row>
      <xdr:rowOff>98425</xdr:rowOff>
    </xdr:to>
    <xdr:graphicFrame macro="">
      <xdr:nvGraphicFramePr>
        <xdr:cNvPr id="7" name="グラフ 6">
          <a:extLst>
            <a:ext uri="{FF2B5EF4-FFF2-40B4-BE49-F238E27FC236}">
              <a16:creationId xmlns:a16="http://schemas.microsoft.com/office/drawing/2014/main" id="{AB879F25-B416-4581-BF9C-057F843920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137647</xdr:colOff>
      <xdr:row>64</xdr:row>
      <xdr:rowOff>74707</xdr:rowOff>
    </xdr:from>
    <xdr:to>
      <xdr:col>13</xdr:col>
      <xdr:colOff>564590</xdr:colOff>
      <xdr:row>76</xdr:row>
      <xdr:rowOff>104309</xdr:rowOff>
    </xdr:to>
    <xdr:graphicFrame macro="">
      <xdr:nvGraphicFramePr>
        <xdr:cNvPr id="11" name="グラフ 10">
          <a:extLst>
            <a:ext uri="{FF2B5EF4-FFF2-40B4-BE49-F238E27FC236}">
              <a16:creationId xmlns:a16="http://schemas.microsoft.com/office/drawing/2014/main" id="{44A89F0E-B93B-47F3-9670-DFFFB6A96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283883</xdr:colOff>
      <xdr:row>78</xdr:row>
      <xdr:rowOff>224118</xdr:rowOff>
    </xdr:from>
    <xdr:to>
      <xdr:col>12</xdr:col>
      <xdr:colOff>666003</xdr:colOff>
      <xdr:row>91</xdr:row>
      <xdr:rowOff>61073</xdr:rowOff>
    </xdr:to>
    <xdr:graphicFrame macro="">
      <xdr:nvGraphicFramePr>
        <xdr:cNvPr id="12" name="グラフ 11">
          <a:extLst>
            <a:ext uri="{FF2B5EF4-FFF2-40B4-BE49-F238E27FC236}">
              <a16:creationId xmlns:a16="http://schemas.microsoft.com/office/drawing/2014/main" id="{142FE67F-C726-4D6B-8266-3F28FCAE46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859117</xdr:colOff>
      <xdr:row>13</xdr:row>
      <xdr:rowOff>201705</xdr:rowOff>
    </xdr:from>
    <xdr:to>
      <xdr:col>11</xdr:col>
      <xdr:colOff>1105646</xdr:colOff>
      <xdr:row>15</xdr:row>
      <xdr:rowOff>179294</xdr:rowOff>
    </xdr:to>
    <xdr:sp macro="" textlink="">
      <xdr:nvSpPr>
        <xdr:cNvPr id="2" name="矢印: 下 1">
          <a:extLst>
            <a:ext uri="{FF2B5EF4-FFF2-40B4-BE49-F238E27FC236}">
              <a16:creationId xmlns:a16="http://schemas.microsoft.com/office/drawing/2014/main" id="{79BB86BA-2EBC-42F9-A8FC-1593F103ABFC}"/>
            </a:ext>
          </a:extLst>
        </xdr:cNvPr>
        <xdr:cNvSpPr/>
      </xdr:nvSpPr>
      <xdr:spPr>
        <a:xfrm rot="10800000">
          <a:off x="9577667" y="3910105"/>
          <a:ext cx="246529" cy="447489"/>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t>＊</a:t>
          </a:r>
          <a:endParaRPr kumimoji="1" lang="en-US" altLang="ja-JP" sz="1100" kern="1200"/>
        </a:p>
      </xdr:txBody>
    </xdr:sp>
    <xdr:clientData/>
  </xdr:twoCellAnchor>
  <xdr:twoCellAnchor>
    <xdr:from>
      <xdr:col>5</xdr:col>
      <xdr:colOff>22412</xdr:colOff>
      <xdr:row>33</xdr:row>
      <xdr:rowOff>0</xdr:rowOff>
    </xdr:from>
    <xdr:to>
      <xdr:col>12</xdr:col>
      <xdr:colOff>415178</xdr:colOff>
      <xdr:row>45</xdr:row>
      <xdr:rowOff>100012</xdr:rowOff>
    </xdr:to>
    <xdr:graphicFrame macro="">
      <xdr:nvGraphicFramePr>
        <xdr:cNvPr id="7" name="グラフ 6">
          <a:extLst>
            <a:ext uri="{FF2B5EF4-FFF2-40B4-BE49-F238E27FC236}">
              <a16:creationId xmlns:a16="http://schemas.microsoft.com/office/drawing/2014/main" id="{3CE06356-0F17-4836-B9FD-936AE231C3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49</xdr:row>
      <xdr:rowOff>0</xdr:rowOff>
    </xdr:from>
    <xdr:to>
      <xdr:col>12</xdr:col>
      <xdr:colOff>389591</xdr:colOff>
      <xdr:row>60</xdr:row>
      <xdr:rowOff>98425</xdr:rowOff>
    </xdr:to>
    <xdr:graphicFrame macro="">
      <xdr:nvGraphicFramePr>
        <xdr:cNvPr id="8" name="グラフ 7">
          <a:extLst>
            <a:ext uri="{FF2B5EF4-FFF2-40B4-BE49-F238E27FC236}">
              <a16:creationId xmlns:a16="http://schemas.microsoft.com/office/drawing/2014/main" id="{22FD9A26-0C8C-4B08-970B-F9F1E1627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112060</xdr:colOff>
      <xdr:row>65</xdr:row>
      <xdr:rowOff>74707</xdr:rowOff>
    </xdr:from>
    <xdr:to>
      <xdr:col>13</xdr:col>
      <xdr:colOff>552450</xdr:colOff>
      <xdr:row>76</xdr:row>
      <xdr:rowOff>209550</xdr:rowOff>
    </xdr:to>
    <xdr:graphicFrame macro="">
      <xdr:nvGraphicFramePr>
        <xdr:cNvPr id="9" name="グラフ 8">
          <a:extLst>
            <a:ext uri="{FF2B5EF4-FFF2-40B4-BE49-F238E27FC236}">
              <a16:creationId xmlns:a16="http://schemas.microsoft.com/office/drawing/2014/main" id="{61A41586-CF97-4595-BA05-9F28969454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134472</xdr:colOff>
      <xdr:row>81</xdr:row>
      <xdr:rowOff>74707</xdr:rowOff>
    </xdr:from>
    <xdr:to>
      <xdr:col>13</xdr:col>
      <xdr:colOff>568885</xdr:colOff>
      <xdr:row>93</xdr:row>
      <xdr:rowOff>143250</xdr:rowOff>
    </xdr:to>
    <xdr:graphicFrame macro="">
      <xdr:nvGraphicFramePr>
        <xdr:cNvPr id="10" name="グラフ 9">
          <a:extLst>
            <a:ext uri="{FF2B5EF4-FFF2-40B4-BE49-F238E27FC236}">
              <a16:creationId xmlns:a16="http://schemas.microsoft.com/office/drawing/2014/main" id="{9B616DD8-C3C8-4B66-81FA-D8EDE24BAD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1770529</xdr:colOff>
      <xdr:row>13</xdr:row>
      <xdr:rowOff>224116</xdr:rowOff>
    </xdr:from>
    <xdr:to>
      <xdr:col>15</xdr:col>
      <xdr:colOff>2017058</xdr:colOff>
      <xdr:row>15</xdr:row>
      <xdr:rowOff>201704</xdr:rowOff>
    </xdr:to>
    <xdr:sp macro="" textlink="">
      <xdr:nvSpPr>
        <xdr:cNvPr id="2" name="矢印: 下 1">
          <a:extLst>
            <a:ext uri="{FF2B5EF4-FFF2-40B4-BE49-F238E27FC236}">
              <a16:creationId xmlns:a16="http://schemas.microsoft.com/office/drawing/2014/main" id="{CA014594-97E0-8F8D-0A30-7A8E58A620BE}"/>
            </a:ext>
          </a:extLst>
        </xdr:cNvPr>
        <xdr:cNvSpPr/>
      </xdr:nvSpPr>
      <xdr:spPr>
        <a:xfrm rot="10800000">
          <a:off x="13790705" y="4377763"/>
          <a:ext cx="246529" cy="440765"/>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kern="1200"/>
            <a:t>＊</a:t>
          </a:r>
          <a:endParaRPr kumimoji="1" lang="en-US" altLang="ja-JP" sz="1100" kern="1200"/>
        </a:p>
      </xdr:txBody>
    </xdr:sp>
    <xdr:clientData/>
  </xdr:twoCellAnchor>
  <xdr:twoCellAnchor>
    <xdr:from>
      <xdr:col>4</xdr:col>
      <xdr:colOff>515470</xdr:colOff>
      <xdr:row>65</xdr:row>
      <xdr:rowOff>14941</xdr:rowOff>
    </xdr:from>
    <xdr:to>
      <xdr:col>14</xdr:col>
      <xdr:colOff>408827</xdr:colOff>
      <xdr:row>76</xdr:row>
      <xdr:rowOff>121302</xdr:rowOff>
    </xdr:to>
    <xdr:graphicFrame macro="">
      <xdr:nvGraphicFramePr>
        <xdr:cNvPr id="6" name="グラフ 5">
          <a:extLst>
            <a:ext uri="{FF2B5EF4-FFF2-40B4-BE49-F238E27FC236}">
              <a16:creationId xmlns:a16="http://schemas.microsoft.com/office/drawing/2014/main" id="{8AF2C416-9F48-403D-81BF-EEB25D323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502117</xdr:colOff>
      <xdr:row>28</xdr:row>
      <xdr:rowOff>195823</xdr:rowOff>
    </xdr:from>
    <xdr:to>
      <xdr:col>14</xdr:col>
      <xdr:colOff>387351</xdr:colOff>
      <xdr:row>39</xdr:row>
      <xdr:rowOff>209550</xdr:rowOff>
    </xdr:to>
    <xdr:graphicFrame macro="">
      <xdr:nvGraphicFramePr>
        <xdr:cNvPr id="8" name="グラフ 7">
          <a:extLst>
            <a:ext uri="{FF2B5EF4-FFF2-40B4-BE49-F238E27FC236}">
              <a16:creationId xmlns:a16="http://schemas.microsoft.com/office/drawing/2014/main" id="{1972BC5A-1506-4FC9-B583-28FAA450C8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500531</xdr:colOff>
      <xdr:row>40</xdr:row>
      <xdr:rowOff>19797</xdr:rowOff>
    </xdr:from>
    <xdr:to>
      <xdr:col>14</xdr:col>
      <xdr:colOff>390712</xdr:colOff>
      <xdr:row>47</xdr:row>
      <xdr:rowOff>120650</xdr:rowOff>
    </xdr:to>
    <xdr:graphicFrame macro="">
      <xdr:nvGraphicFramePr>
        <xdr:cNvPr id="9" name="グラフ 8">
          <a:extLst>
            <a:ext uri="{FF2B5EF4-FFF2-40B4-BE49-F238E27FC236}">
              <a16:creationId xmlns:a16="http://schemas.microsoft.com/office/drawing/2014/main" id="{4505EE54-F728-4E1F-9688-73A695933C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486708</xdr:colOff>
      <xdr:row>47</xdr:row>
      <xdr:rowOff>177053</xdr:rowOff>
    </xdr:from>
    <xdr:to>
      <xdr:col>14</xdr:col>
      <xdr:colOff>376889</xdr:colOff>
      <xdr:row>54</xdr:row>
      <xdr:rowOff>203200</xdr:rowOff>
    </xdr:to>
    <xdr:graphicFrame macro="">
      <xdr:nvGraphicFramePr>
        <xdr:cNvPr id="10" name="グラフ 9">
          <a:extLst>
            <a:ext uri="{FF2B5EF4-FFF2-40B4-BE49-F238E27FC236}">
              <a16:creationId xmlns:a16="http://schemas.microsoft.com/office/drawing/2014/main" id="{5E4F70A3-87D3-42B7-A19A-B956929389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491938</xdr:colOff>
      <xdr:row>55</xdr:row>
      <xdr:rowOff>13820</xdr:rowOff>
    </xdr:from>
    <xdr:to>
      <xdr:col>14</xdr:col>
      <xdr:colOff>383706</xdr:colOff>
      <xdr:row>62</xdr:row>
      <xdr:rowOff>139700</xdr:rowOff>
    </xdr:to>
    <xdr:graphicFrame macro="">
      <xdr:nvGraphicFramePr>
        <xdr:cNvPr id="11" name="グラフ 10">
          <a:extLst>
            <a:ext uri="{FF2B5EF4-FFF2-40B4-BE49-F238E27FC236}">
              <a16:creationId xmlns:a16="http://schemas.microsoft.com/office/drawing/2014/main" id="{D0364CFC-5A77-4751-B464-C7A31DBA1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81</xdr:row>
      <xdr:rowOff>0</xdr:rowOff>
    </xdr:from>
    <xdr:to>
      <xdr:col>15</xdr:col>
      <xdr:colOff>744537</xdr:colOff>
      <xdr:row>90</xdr:row>
      <xdr:rowOff>71718</xdr:rowOff>
    </xdr:to>
    <xdr:graphicFrame macro="">
      <xdr:nvGraphicFramePr>
        <xdr:cNvPr id="12" name="グラフ 11">
          <a:extLst>
            <a:ext uri="{FF2B5EF4-FFF2-40B4-BE49-F238E27FC236}">
              <a16:creationId xmlns:a16="http://schemas.microsoft.com/office/drawing/2014/main" id="{73DF6255-C4CD-4788-8653-F43D99D63C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90</xdr:row>
      <xdr:rowOff>134470</xdr:rowOff>
    </xdr:from>
    <xdr:to>
      <xdr:col>15</xdr:col>
      <xdr:colOff>749299</xdr:colOff>
      <xdr:row>98</xdr:row>
      <xdr:rowOff>172289</xdr:rowOff>
    </xdr:to>
    <xdr:graphicFrame macro="">
      <xdr:nvGraphicFramePr>
        <xdr:cNvPr id="13" name="グラフ 12">
          <a:extLst>
            <a:ext uri="{FF2B5EF4-FFF2-40B4-BE49-F238E27FC236}">
              <a16:creationId xmlns:a16="http://schemas.microsoft.com/office/drawing/2014/main" id="{F44E0851-2055-44AD-A0A0-9F85B17D8E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0</xdr:colOff>
      <xdr:row>99</xdr:row>
      <xdr:rowOff>0</xdr:rowOff>
    </xdr:from>
    <xdr:to>
      <xdr:col>15</xdr:col>
      <xdr:colOff>754061</xdr:colOff>
      <xdr:row>107</xdr:row>
      <xdr:rowOff>37820</xdr:rowOff>
    </xdr:to>
    <xdr:graphicFrame macro="">
      <xdr:nvGraphicFramePr>
        <xdr:cNvPr id="14" name="グラフ 13">
          <a:extLst>
            <a:ext uri="{FF2B5EF4-FFF2-40B4-BE49-F238E27FC236}">
              <a16:creationId xmlns:a16="http://schemas.microsoft.com/office/drawing/2014/main" id="{BFFF22DC-8B0B-4587-A1D6-3DBFF0944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0</xdr:colOff>
      <xdr:row>107</xdr:row>
      <xdr:rowOff>82176</xdr:rowOff>
    </xdr:from>
    <xdr:to>
      <xdr:col>15</xdr:col>
      <xdr:colOff>754060</xdr:colOff>
      <xdr:row>115</xdr:row>
      <xdr:rowOff>119995</xdr:rowOff>
    </xdr:to>
    <xdr:graphicFrame macro="">
      <xdr:nvGraphicFramePr>
        <xdr:cNvPr id="15" name="グラフ 14">
          <a:extLst>
            <a:ext uri="{FF2B5EF4-FFF2-40B4-BE49-F238E27FC236}">
              <a16:creationId xmlns:a16="http://schemas.microsoft.com/office/drawing/2014/main" id="{1DB4A56A-1DF8-47CD-936B-B096AFC7DD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7471</xdr:colOff>
      <xdr:row>118</xdr:row>
      <xdr:rowOff>209177</xdr:rowOff>
    </xdr:from>
    <xdr:to>
      <xdr:col>15</xdr:col>
      <xdr:colOff>752008</xdr:colOff>
      <xdr:row>131</xdr:row>
      <xdr:rowOff>85071</xdr:rowOff>
    </xdr:to>
    <xdr:graphicFrame macro="">
      <xdr:nvGraphicFramePr>
        <xdr:cNvPr id="16" name="グラフ 15">
          <a:extLst>
            <a:ext uri="{FF2B5EF4-FFF2-40B4-BE49-F238E27FC236}">
              <a16:creationId xmlns:a16="http://schemas.microsoft.com/office/drawing/2014/main" id="{6BF7DA4E-0628-4CBB-A844-C34F80EDA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0</xdr:colOff>
      <xdr:row>132</xdr:row>
      <xdr:rowOff>0</xdr:rowOff>
    </xdr:from>
    <xdr:to>
      <xdr:col>15</xdr:col>
      <xdr:colOff>754061</xdr:colOff>
      <xdr:row>140</xdr:row>
      <xdr:rowOff>37820</xdr:rowOff>
    </xdr:to>
    <xdr:graphicFrame macro="">
      <xdr:nvGraphicFramePr>
        <xdr:cNvPr id="17" name="グラフ 16">
          <a:extLst>
            <a:ext uri="{FF2B5EF4-FFF2-40B4-BE49-F238E27FC236}">
              <a16:creationId xmlns:a16="http://schemas.microsoft.com/office/drawing/2014/main" id="{C3ACD42F-CB77-458B-8D0B-A13C34430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0</xdr:colOff>
      <xdr:row>141</xdr:row>
      <xdr:rowOff>0</xdr:rowOff>
    </xdr:from>
    <xdr:to>
      <xdr:col>15</xdr:col>
      <xdr:colOff>755648</xdr:colOff>
      <xdr:row>149</xdr:row>
      <xdr:rowOff>37820</xdr:rowOff>
    </xdr:to>
    <xdr:graphicFrame macro="">
      <xdr:nvGraphicFramePr>
        <xdr:cNvPr id="18" name="グラフ 17">
          <a:extLst>
            <a:ext uri="{FF2B5EF4-FFF2-40B4-BE49-F238E27FC236}">
              <a16:creationId xmlns:a16="http://schemas.microsoft.com/office/drawing/2014/main" id="{CCA549BA-E9DA-4A34-BB4F-1839951FF4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150</xdr:row>
      <xdr:rowOff>0</xdr:rowOff>
    </xdr:from>
    <xdr:to>
      <xdr:col>15</xdr:col>
      <xdr:colOff>755647</xdr:colOff>
      <xdr:row>158</xdr:row>
      <xdr:rowOff>37820</xdr:rowOff>
    </xdr:to>
    <xdr:graphicFrame macro="">
      <xdr:nvGraphicFramePr>
        <xdr:cNvPr id="19" name="グラフ 18">
          <a:extLst>
            <a:ext uri="{FF2B5EF4-FFF2-40B4-BE49-F238E27FC236}">
              <a16:creationId xmlns:a16="http://schemas.microsoft.com/office/drawing/2014/main" id="{983AE2F7-FE4A-4B25-8CEC-8AAB93BF2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247650</xdr:colOff>
      <xdr:row>10</xdr:row>
      <xdr:rowOff>60324</xdr:rowOff>
    </xdr:from>
    <xdr:to>
      <xdr:col>12</xdr:col>
      <xdr:colOff>654050</xdr:colOff>
      <xdr:row>23</xdr:row>
      <xdr:rowOff>209549</xdr:rowOff>
    </xdr:to>
    <xdr:graphicFrame macro="">
      <xdr:nvGraphicFramePr>
        <xdr:cNvPr id="3" name="グラフ 2">
          <a:extLst>
            <a:ext uri="{FF2B5EF4-FFF2-40B4-BE49-F238E27FC236}">
              <a16:creationId xmlns:a16="http://schemas.microsoft.com/office/drawing/2014/main" id="{CF5335D3-F33D-8932-3297-EE278163BB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xdr:row>
      <xdr:rowOff>114300</xdr:rowOff>
    </xdr:from>
    <xdr:to>
      <xdr:col>1</xdr:col>
      <xdr:colOff>0</xdr:colOff>
      <xdr:row>5</xdr:row>
      <xdr:rowOff>196850</xdr:rowOff>
    </xdr:to>
    <xdr:cxnSp macro="">
      <xdr:nvCxnSpPr>
        <xdr:cNvPr id="5" name="直線矢印コネクタ 4">
          <a:extLst>
            <a:ext uri="{FF2B5EF4-FFF2-40B4-BE49-F238E27FC236}">
              <a16:creationId xmlns:a16="http://schemas.microsoft.com/office/drawing/2014/main" id="{D0A0D90B-CC83-57A2-8E8B-0343C853503F}"/>
            </a:ext>
          </a:extLst>
        </xdr:cNvPr>
        <xdr:cNvCxnSpPr/>
      </xdr:nvCxnSpPr>
      <xdr:spPr>
        <a:xfrm>
          <a:off x="5575300" y="800100"/>
          <a:ext cx="806450" cy="311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787214</xdr:colOff>
      <xdr:row>14</xdr:row>
      <xdr:rowOff>116727</xdr:rowOff>
    </xdr:from>
    <xdr:to>
      <xdr:col>12</xdr:col>
      <xdr:colOff>162747</xdr:colOff>
      <xdr:row>21</xdr:row>
      <xdr:rowOff>51354</xdr:rowOff>
    </xdr:to>
    <xdr:pic>
      <xdr:nvPicPr>
        <xdr:cNvPr id="3" name="図 2">
          <a:extLst>
            <a:ext uri="{FF2B5EF4-FFF2-40B4-BE49-F238E27FC236}">
              <a16:creationId xmlns:a16="http://schemas.microsoft.com/office/drawing/2014/main" id="{635AD951-6237-4C50-8A34-5CB43F415C98}"/>
            </a:ext>
          </a:extLst>
        </xdr:cNvPr>
        <xdr:cNvPicPr>
          <a:picLocks noChangeAspect="1"/>
        </xdr:cNvPicPr>
      </xdr:nvPicPr>
      <xdr:blipFill>
        <a:blip xmlns:r="http://schemas.openxmlformats.org/officeDocument/2006/relationships" r:embed="rId1"/>
        <a:stretch>
          <a:fillRect/>
        </a:stretch>
      </xdr:blipFill>
      <xdr:spPr>
        <a:xfrm>
          <a:off x="7032626" y="2806139"/>
          <a:ext cx="2451830" cy="1495515"/>
        </a:xfrm>
        <a:prstGeom prst="rect">
          <a:avLst/>
        </a:prstGeom>
      </xdr:spPr>
    </xdr:pic>
    <xdr:clientData/>
  </xdr:twoCellAnchor>
  <xdr:twoCellAnchor editAs="oneCell">
    <xdr:from>
      <xdr:col>12</xdr:col>
      <xdr:colOff>627621</xdr:colOff>
      <xdr:row>14</xdr:row>
      <xdr:rowOff>54657</xdr:rowOff>
    </xdr:from>
    <xdr:to>
      <xdr:col>16</xdr:col>
      <xdr:colOff>113344</xdr:colOff>
      <xdr:row>29</xdr:row>
      <xdr:rowOff>108707</xdr:rowOff>
    </xdr:to>
    <xdr:pic>
      <xdr:nvPicPr>
        <xdr:cNvPr id="4" name="図 3">
          <a:extLst>
            <a:ext uri="{FF2B5EF4-FFF2-40B4-BE49-F238E27FC236}">
              <a16:creationId xmlns:a16="http://schemas.microsoft.com/office/drawing/2014/main" id="{BC24AD9A-D15B-4251-A134-4AB751C28B28}"/>
            </a:ext>
          </a:extLst>
        </xdr:cNvPr>
        <xdr:cNvPicPr>
          <a:picLocks noChangeAspect="1"/>
        </xdr:cNvPicPr>
      </xdr:nvPicPr>
      <xdr:blipFill>
        <a:blip xmlns:r="http://schemas.openxmlformats.org/officeDocument/2006/relationships" r:embed="rId2"/>
        <a:stretch>
          <a:fillRect/>
        </a:stretch>
      </xdr:blipFill>
      <xdr:spPr>
        <a:xfrm>
          <a:off x="9950915" y="2744069"/>
          <a:ext cx="4565723" cy="3414229"/>
        </a:xfrm>
        <a:prstGeom prst="rect">
          <a:avLst/>
        </a:prstGeom>
      </xdr:spPr>
    </xdr:pic>
    <xdr:clientData/>
  </xdr:twoCellAnchor>
  <xdr:twoCellAnchor editAs="oneCell">
    <xdr:from>
      <xdr:col>0</xdr:col>
      <xdr:colOff>478397</xdr:colOff>
      <xdr:row>14</xdr:row>
      <xdr:rowOff>197407</xdr:rowOff>
    </xdr:from>
    <xdr:to>
      <xdr:col>8</xdr:col>
      <xdr:colOff>393136</xdr:colOff>
      <xdr:row>32</xdr:row>
      <xdr:rowOff>203826</xdr:rowOff>
    </xdr:to>
    <xdr:pic>
      <xdr:nvPicPr>
        <xdr:cNvPr id="5" name="図 4">
          <a:extLst>
            <a:ext uri="{FF2B5EF4-FFF2-40B4-BE49-F238E27FC236}">
              <a16:creationId xmlns:a16="http://schemas.microsoft.com/office/drawing/2014/main" id="{1526118D-5F84-43C3-99A3-65399B705819}"/>
            </a:ext>
          </a:extLst>
        </xdr:cNvPr>
        <xdr:cNvPicPr>
          <a:picLocks noChangeAspect="1"/>
        </xdr:cNvPicPr>
      </xdr:nvPicPr>
      <xdr:blipFill>
        <a:blip xmlns:r="http://schemas.openxmlformats.org/officeDocument/2006/relationships" r:embed="rId3"/>
        <a:stretch>
          <a:fillRect/>
        </a:stretch>
      </xdr:blipFill>
      <xdr:spPr>
        <a:xfrm>
          <a:off x="478397" y="10088466"/>
          <a:ext cx="6155391" cy="4035776"/>
        </a:xfrm>
        <a:prstGeom prst="rect">
          <a:avLst/>
        </a:prstGeom>
      </xdr:spPr>
    </xdr:pic>
    <xdr:clientData/>
  </xdr:twoCellAnchor>
  <xdr:twoCellAnchor editAs="oneCell">
    <xdr:from>
      <xdr:col>1</xdr:col>
      <xdr:colOff>31470</xdr:colOff>
      <xdr:row>38</xdr:row>
      <xdr:rowOff>77880</xdr:rowOff>
    </xdr:from>
    <xdr:to>
      <xdr:col>4</xdr:col>
      <xdr:colOff>306148</xdr:colOff>
      <xdr:row>45</xdr:row>
      <xdr:rowOff>77874</xdr:rowOff>
    </xdr:to>
    <xdr:pic>
      <xdr:nvPicPr>
        <xdr:cNvPr id="6" name="図 5">
          <a:extLst>
            <a:ext uri="{FF2B5EF4-FFF2-40B4-BE49-F238E27FC236}">
              <a16:creationId xmlns:a16="http://schemas.microsoft.com/office/drawing/2014/main" id="{017FA780-6247-4266-ADB4-704B6F53D9A2}"/>
            </a:ext>
          </a:extLst>
        </xdr:cNvPr>
        <xdr:cNvPicPr>
          <a:picLocks noChangeAspect="1"/>
        </xdr:cNvPicPr>
      </xdr:nvPicPr>
      <xdr:blipFill>
        <a:blip xmlns:r="http://schemas.openxmlformats.org/officeDocument/2006/relationships" r:embed="rId4"/>
        <a:stretch>
          <a:fillRect/>
        </a:stretch>
      </xdr:blipFill>
      <xdr:spPr>
        <a:xfrm>
          <a:off x="546941" y="7921998"/>
          <a:ext cx="3576678" cy="156881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imic.or.jp/member/files/2019/10/fde9329d6f022ffaa0c6c6ad4908eda7-1.pdf" TargetMode="External"/><Relationship Id="rId2" Type="http://schemas.openxmlformats.org/officeDocument/2006/relationships/hyperlink" Target="https://pubmed.ncbi.nlm.nih.gov/25128056/" TargetMode="External"/><Relationship Id="rId1" Type="http://schemas.openxmlformats.org/officeDocument/2006/relationships/hyperlink" Target="https://en.wikipedia.org/wiki/Variance" TargetMode="External"/><Relationship Id="rId6" Type="http://schemas.openxmlformats.org/officeDocument/2006/relationships/drawing" Target="../drawings/drawing5.xml"/><Relationship Id="rId5" Type="http://schemas.openxmlformats.org/officeDocument/2006/relationships/printerSettings" Target="../printerSettings/printerSettings4.bin"/><Relationship Id="rId4" Type="http://schemas.openxmlformats.org/officeDocument/2006/relationships/hyperlink" Target="https://www.imic.or.jp/member/files/2019/10/8f989e688ff82d57664682aca88dff77-2.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7BF85-6874-41D8-92EB-8C963F2072C1}">
  <dimension ref="A1:AU95"/>
  <sheetViews>
    <sheetView tabSelected="1" zoomScaleNormal="100" workbookViewId="0"/>
  </sheetViews>
  <sheetFormatPr defaultRowHeight="18"/>
  <cols>
    <col min="1" max="1" width="5.59765625" customWidth="1"/>
    <col min="2" max="2" width="16.5" customWidth="1"/>
    <col min="3" max="3" width="11" customWidth="1"/>
    <col min="4" max="4" width="10.3984375" customWidth="1"/>
    <col min="5" max="5" width="10" customWidth="1"/>
    <col min="6" max="6" width="11.8984375" customWidth="1"/>
    <col min="7" max="7" width="10.09765625" customWidth="1"/>
    <col min="8" max="8" width="11.09765625" customWidth="1"/>
    <col min="9" max="10" width="10.796875" customWidth="1"/>
    <col min="11" max="11" width="16.8984375" customWidth="1"/>
    <col min="12" max="12" width="15.3984375" customWidth="1"/>
    <col min="13" max="13" width="11.3984375" customWidth="1"/>
    <col min="14" max="14" width="10.69921875" customWidth="1"/>
    <col min="15" max="15" width="10.5" customWidth="1"/>
    <col min="23" max="23" width="3.3984375" customWidth="1"/>
    <col min="24" max="24" width="10.796875" customWidth="1"/>
    <col min="25" max="25" width="12.69921875" customWidth="1"/>
    <col min="35" max="35" width="13.19921875" customWidth="1"/>
    <col min="36" max="36" width="11.3984375" customWidth="1"/>
    <col min="38" max="38" width="12.296875" customWidth="1"/>
    <col min="39" max="39" width="10.09765625" customWidth="1"/>
    <col min="40" max="40" width="10.19921875" customWidth="1"/>
    <col min="42" max="42" width="10.796875" customWidth="1"/>
    <col min="43" max="43" width="4.296875" customWidth="1"/>
    <col min="44" max="44" width="11" customWidth="1"/>
    <col min="45" max="45" width="10.296875" customWidth="1"/>
    <col min="46" max="46" width="10.3984375" customWidth="1"/>
    <col min="47" max="47" width="7.69921875" customWidth="1"/>
    <col min="48" max="48" width="5" customWidth="1"/>
  </cols>
  <sheetData>
    <row r="1" spans="1:47">
      <c r="A1" s="1" t="s">
        <v>56</v>
      </c>
      <c r="H1" t="s">
        <v>57</v>
      </c>
      <c r="J1" s="2"/>
    </row>
    <row r="2" spans="1:47">
      <c r="B2" t="s">
        <v>150</v>
      </c>
      <c r="H2" t="s">
        <v>75</v>
      </c>
    </row>
    <row r="3" spans="1:47" ht="19.8">
      <c r="B3" s="75" t="s">
        <v>155</v>
      </c>
      <c r="M3" t="s">
        <v>59</v>
      </c>
      <c r="Y3" t="s">
        <v>60</v>
      </c>
      <c r="AL3" t="s">
        <v>82</v>
      </c>
      <c r="AR3" t="s">
        <v>80</v>
      </c>
    </row>
    <row r="4" spans="1:47" ht="74.400000000000006">
      <c r="A4" t="s">
        <v>6</v>
      </c>
      <c r="B4" s="3" t="s">
        <v>7</v>
      </c>
      <c r="C4" s="4" t="s">
        <v>8</v>
      </c>
      <c r="D4" s="4" t="s">
        <v>9</v>
      </c>
      <c r="E4" s="3" t="s">
        <v>13</v>
      </c>
      <c r="F4" s="4" t="s">
        <v>132</v>
      </c>
      <c r="G4" s="4" t="s">
        <v>14</v>
      </c>
      <c r="H4" s="4" t="s">
        <v>15</v>
      </c>
      <c r="I4" s="4" t="s">
        <v>127</v>
      </c>
      <c r="J4" s="5" t="s">
        <v>135</v>
      </c>
      <c r="K4" s="4" t="s">
        <v>139</v>
      </c>
      <c r="L4" s="6" t="s">
        <v>16</v>
      </c>
      <c r="M4" s="13" t="str">
        <f>IF($B5="","",$B5)</f>
        <v>脳卒中予防</v>
      </c>
      <c r="N4" s="13" t="str">
        <f>IF($B6="","",$B6)</f>
        <v>心不全予防</v>
      </c>
      <c r="O4" s="13" t="str">
        <f>IF($B7="","",$B7)</f>
        <v>めまい</v>
      </c>
      <c r="P4" s="13" t="str">
        <f>IF($B8="","",$B8)</f>
        <v>頻尿</v>
      </c>
      <c r="Q4" s="13" t="str">
        <f>IF($B9="","",$B9)</f>
        <v>転倒</v>
      </c>
      <c r="R4" s="13" t="str">
        <f>IF($B10="","",$B10)</f>
        <v/>
      </c>
      <c r="S4" s="13" t="str">
        <f>IF($B11="","",$B11)</f>
        <v/>
      </c>
      <c r="T4" s="13" t="str">
        <f>IF($B12="","",$B12)</f>
        <v/>
      </c>
      <c r="U4" s="13" t="str">
        <f>IF($B13="","",$B13)</f>
        <v/>
      </c>
      <c r="V4" s="13" t="str">
        <f>IF($B14="","",$B14)</f>
        <v/>
      </c>
      <c r="X4" s="8" t="s">
        <v>61</v>
      </c>
      <c r="AL4" t="s">
        <v>76</v>
      </c>
      <c r="AM4" s="8" t="s">
        <v>78</v>
      </c>
      <c r="AN4" s="8" t="s">
        <v>77</v>
      </c>
      <c r="AO4" t="s">
        <v>79</v>
      </c>
      <c r="AP4" s="8" t="s">
        <v>120</v>
      </c>
      <c r="AR4" t="s">
        <v>76</v>
      </c>
      <c r="AS4" s="8" t="s">
        <v>78</v>
      </c>
      <c r="AT4" s="8" t="s">
        <v>77</v>
      </c>
      <c r="AU4" t="s">
        <v>81</v>
      </c>
    </row>
    <row r="5" spans="1:47">
      <c r="A5">
        <v>1</v>
      </c>
      <c r="B5" s="28" t="s">
        <v>62</v>
      </c>
      <c r="C5" s="9" t="s">
        <v>20</v>
      </c>
      <c r="D5" s="9" t="s">
        <v>21</v>
      </c>
      <c r="E5" s="17">
        <f>IF(D5="","",IF(D5="有益事象",1,-1))</f>
        <v>1</v>
      </c>
      <c r="F5" s="28">
        <v>0.1</v>
      </c>
      <c r="G5" s="29">
        <v>0.05</v>
      </c>
      <c r="H5" s="29">
        <v>0.15</v>
      </c>
      <c r="I5" s="12">
        <v>100</v>
      </c>
      <c r="J5" s="31">
        <f>IF(I5&lt;&gt;"",I5/MAX($I$5:$I$14),"")</f>
        <v>1</v>
      </c>
      <c r="K5" s="31">
        <f>IF(I5&lt;&gt;"",E5*J5*F5,"")</f>
        <v>0.1</v>
      </c>
      <c r="L5" s="11" t="str">
        <f>IF(B5="","",B5)</f>
        <v>脳卒中予防</v>
      </c>
      <c r="M5" s="31">
        <f>IF($F5="",0,IF($G5="",0,POWER(($F5-$G5)/1.96,2)))</f>
        <v>6.5077051228654734E-4</v>
      </c>
      <c r="N5" s="31">
        <f>IF(N18="",0,IF(F5=0,0,N18*(F5-G5)*(F6-G6)/1.96/1.96))</f>
        <v>4.6855476884631402E-4</v>
      </c>
      <c r="O5" s="31">
        <f>IF(O18="",0,IF(F5=0,0,O18*(F5-G5)*(F7-G7)/1.96/1.96))</f>
        <v>0</v>
      </c>
      <c r="P5" s="31">
        <f>IF(P18="",0,IF(F5=0,0,P18*(F5-G5)*(F7-G7)/1.96/1.96))</f>
        <v>0</v>
      </c>
      <c r="Q5" s="31">
        <f>IF(Q18="",0,IF(F5=0,0,Q18*(F5-G5)*(F8-G8)/1.96/1.96))</f>
        <v>0</v>
      </c>
      <c r="R5" s="31">
        <f>IF(R18="",0,IF(F5=0,0,R18*(F5-G5)*(F9-G9)/1.96/1.96))</f>
        <v>0</v>
      </c>
      <c r="S5" s="31">
        <f>IF(S18="",0,IF(F5=0,0,S18*(F5-G5)*(F10-G10)/1.96/1.96))</f>
        <v>0</v>
      </c>
      <c r="T5" s="31">
        <f>IF(T18="",0,IF(F5=0,0,T18*(F5-G5)*(F11-G11)/1.96/1.96))</f>
        <v>0</v>
      </c>
      <c r="U5" s="31">
        <f>IF(U18="",0,IF(F5=0,0,U18*(F5-G5)*(F12-G12)/1.96/1.96))</f>
        <v>0</v>
      </c>
      <c r="V5" s="31">
        <f>IF(V18="",0,IF(F5=0,0,V18*(F5-G5)*(F13-G13)/1.96/1.96))</f>
        <v>0</v>
      </c>
      <c r="X5" s="17">
        <f>IF($J5="",0,$J5)</f>
        <v>1</v>
      </c>
      <c r="Y5" s="31">
        <f>M5*$X5</f>
        <v>6.5077051228654734E-4</v>
      </c>
      <c r="Z5" s="31">
        <f t="shared" ref="Z5:AH14" si="0">N5*$X5</f>
        <v>4.6855476884631402E-4</v>
      </c>
      <c r="AA5" s="31">
        <f t="shared" si="0"/>
        <v>0</v>
      </c>
      <c r="AB5" s="31">
        <f t="shared" si="0"/>
        <v>0</v>
      </c>
      <c r="AC5" s="31">
        <f t="shared" si="0"/>
        <v>0</v>
      </c>
      <c r="AD5" s="31">
        <f t="shared" si="0"/>
        <v>0</v>
      </c>
      <c r="AE5" s="31">
        <f t="shared" si="0"/>
        <v>0</v>
      </c>
      <c r="AF5" s="31">
        <f t="shared" si="0"/>
        <v>0</v>
      </c>
      <c r="AG5" s="31">
        <f t="shared" si="0"/>
        <v>0</v>
      </c>
      <c r="AH5" s="31">
        <f t="shared" si="0"/>
        <v>0</v>
      </c>
      <c r="AJ5" s="17" cm="1">
        <f t="array" ref="AJ5:AJ14">MMULT(Y5:AH14,X5:X14)</f>
        <v>7.9133694294044156E-4</v>
      </c>
      <c r="AL5" s="17">
        <f>IF(K5="","",-1*($K$15-K5)*E5/J5)</f>
        <v>3.2000000000000001E-2</v>
      </c>
      <c r="AM5" s="17">
        <f>IF(AL5="","",IF(K5&gt;AL5,AL5,-1))</f>
        <v>3.2000000000000001E-2</v>
      </c>
      <c r="AN5" s="17">
        <f>IF(AL5="","",IF(K5&gt;AL5,1,AL5))</f>
        <v>1</v>
      </c>
      <c r="AO5">
        <f>IF(F5="","",F5)</f>
        <v>0.1</v>
      </c>
      <c r="AP5" t="str">
        <f>IF(AM5="","",IF(AND(G5&gt;AM5,H5&lt;AN5),"certain","uncertain"))</f>
        <v>certain</v>
      </c>
      <c r="AR5" s="17">
        <f>IF(K5="","",-100*($K$15-K5)*E5/F5)</f>
        <v>32</v>
      </c>
      <c r="AS5" s="17">
        <f>IF(AR5="","",IF(AR5&lt;I5,IF(AR5&lt;0,0,AR5),0))</f>
        <v>32</v>
      </c>
      <c r="AT5" s="17">
        <f>IF(AR5="","",IF(AR5&lt;I5,100,IF(AR5&gt;100,100,AR5)))</f>
        <v>100</v>
      </c>
      <c r="AU5">
        <f>IF(I5="","",I5)</f>
        <v>100</v>
      </c>
    </row>
    <row r="6" spans="1:47">
      <c r="A6">
        <v>2</v>
      </c>
      <c r="B6" s="12" t="s">
        <v>63</v>
      </c>
      <c r="C6" s="9" t="s">
        <v>20</v>
      </c>
      <c r="D6" s="14" t="s">
        <v>21</v>
      </c>
      <c r="E6" s="17">
        <f t="shared" ref="E6:E14" si="1">IF(D6="","",IF(D6="有益事象",1,-1))</f>
        <v>1</v>
      </c>
      <c r="F6" s="12">
        <v>-0.1</v>
      </c>
      <c r="G6" s="30">
        <v>-0.16</v>
      </c>
      <c r="H6" s="30">
        <v>-0.04</v>
      </c>
      <c r="I6" s="12">
        <v>30</v>
      </c>
      <c r="J6" s="31">
        <f t="shared" ref="J6:J14" si="2">IF(I6&lt;&gt;"",I6/MAX($I$5:$I$14),"")</f>
        <v>0.3</v>
      </c>
      <c r="K6" s="31">
        <f t="shared" ref="K6:K14" si="3">IF(I6&lt;&gt;"",E6*J6*F6,"")</f>
        <v>-0.03</v>
      </c>
      <c r="L6" s="11" t="str">
        <f t="shared" ref="L6:L14" si="4">IF(B6="","",B6)</f>
        <v>心不全予防</v>
      </c>
      <c r="M6" s="31">
        <f>N$5</f>
        <v>4.6855476884631402E-4</v>
      </c>
      <c r="N6" s="31">
        <f>IF($F6="",0,IF($G6="",0,POWER(($F6-$G6)/1.96,2)))</f>
        <v>9.3710953769262804E-4</v>
      </c>
      <c r="O6" s="31">
        <f>IF(O19="",0,IF(F6=0,0,O19*(F6-G6)*(F7-G7)/1.96/1.96))</f>
        <v>0</v>
      </c>
      <c r="P6" s="31">
        <f>IF(P19="",0,IF(F6=0,0,P19*(F6-G6)*(F8-G8)/1.96/1.96))</f>
        <v>0</v>
      </c>
      <c r="Q6" s="31">
        <f>IF(Q19="",0,IF(F6=0,0,Q19*(F6-G6)*(F9-G9)/1.96/1.96))</f>
        <v>0</v>
      </c>
      <c r="R6" s="31">
        <f>IF(R19="",0,IF(F6=0,0,R19*(F6-G6)*(F10-G10)/1.96/1.96))</f>
        <v>0</v>
      </c>
      <c r="S6" s="31">
        <f>IF(S19="",0,IF(F6=0,0,S19*(F6-G6)*(F11-G11)/1.96/1.96))</f>
        <v>0</v>
      </c>
      <c r="T6" s="31">
        <f>IF(T19="",0,IF(F6=0,0,T19*(F6-G6)*(F12-G12)/1.96/1.96))</f>
        <v>0</v>
      </c>
      <c r="U6" s="31">
        <f>IF(U19="",0,IF(F6=0,0,U19*(F6-G6)*(F13-G13)/1.96/1.96))</f>
        <v>0</v>
      </c>
      <c r="V6" s="31">
        <f>IF(V19="",0,IF(F6=0,0,V19*(F6-G6)*(F14-G14)/1.96/1.96))</f>
        <v>0</v>
      </c>
      <c r="X6" s="17">
        <f t="shared" ref="X6:X14" si="5">IF($J6="",0,$J6)</f>
        <v>0.3</v>
      </c>
      <c r="Y6" s="31">
        <f t="shared" ref="Y6:Y14" si="6">M6*$X6</f>
        <v>1.405664306538942E-4</v>
      </c>
      <c r="Z6" s="31">
        <f t="shared" si="0"/>
        <v>2.811328613077884E-4</v>
      </c>
      <c r="AA6" s="31">
        <f t="shared" si="0"/>
        <v>0</v>
      </c>
      <c r="AB6" s="31">
        <f t="shared" si="0"/>
        <v>0</v>
      </c>
      <c r="AC6" s="31">
        <f t="shared" si="0"/>
        <v>0</v>
      </c>
      <c r="AD6" s="31">
        <f t="shared" si="0"/>
        <v>0</v>
      </c>
      <c r="AE6" s="31">
        <f t="shared" si="0"/>
        <v>0</v>
      </c>
      <c r="AF6" s="31">
        <f t="shared" si="0"/>
        <v>0</v>
      </c>
      <c r="AG6" s="31">
        <f t="shared" si="0"/>
        <v>0</v>
      </c>
      <c r="AH6" s="31">
        <f t="shared" si="0"/>
        <v>0</v>
      </c>
      <c r="AJ6" s="17">
        <v>2.2490628904623072E-4</v>
      </c>
      <c r="AL6" s="17">
        <f t="shared" ref="AL6:AL14" si="7">IF(K6="","",-1*($K$15-K6)*E6/J6)</f>
        <v>-0.32666666666666672</v>
      </c>
      <c r="AM6" s="17">
        <f t="shared" ref="AM6:AM14" si="8">IF(AL6="","",IF(K6&gt;AL6,AL6,-1))</f>
        <v>-0.32666666666666672</v>
      </c>
      <c r="AN6" s="17">
        <f t="shared" ref="AN6:AN14" si="9">IF(AL6="","",IF(K6&gt;AL6,1,AL6))</f>
        <v>1</v>
      </c>
      <c r="AO6">
        <f t="shared" ref="AO6:AO14" si="10">IF(F6="","",F6)</f>
        <v>-0.1</v>
      </c>
      <c r="AP6" t="str">
        <f t="shared" ref="AP6:AP14" si="11">IF(AM6="","",IF(AND(G6&gt;AM6,H6&lt;AN6),"certain","uncertain"))</f>
        <v>certain</v>
      </c>
      <c r="AR6" s="17">
        <f t="shared" ref="AR6:AR14" si="12">IF(K6="","",-100*($K$15-K6)*E6/F6)</f>
        <v>98</v>
      </c>
      <c r="AS6" s="17">
        <f t="shared" ref="AS6:AS14" si="13">IF(AR6="","",IF(AR6&lt;I6,IF(AR6&lt;0,0,AR6),0))</f>
        <v>0</v>
      </c>
      <c r="AT6" s="17">
        <f t="shared" ref="AT6:AT14" si="14">IF(AR6="","",IF(AR6&lt;I6,100,IF(AR6&gt;100,100,AR6)))</f>
        <v>98</v>
      </c>
      <c r="AU6">
        <f t="shared" ref="AU6:AU14" si="15">IF(I6="","",I6)</f>
        <v>30</v>
      </c>
    </row>
    <row r="7" spans="1:47">
      <c r="A7">
        <v>3</v>
      </c>
      <c r="B7" s="12" t="s">
        <v>64</v>
      </c>
      <c r="C7" s="9" t="s">
        <v>24</v>
      </c>
      <c r="D7" s="14" t="s">
        <v>25</v>
      </c>
      <c r="E7" s="17">
        <f t="shared" si="1"/>
        <v>-1</v>
      </c>
      <c r="F7" s="12">
        <v>0.02</v>
      </c>
      <c r="G7" s="30">
        <v>1.0999999999999999E-2</v>
      </c>
      <c r="H7" s="30">
        <v>2.9000000000000001E-2</v>
      </c>
      <c r="I7" s="12">
        <v>50</v>
      </c>
      <c r="J7" s="31">
        <f t="shared" si="2"/>
        <v>0.5</v>
      </c>
      <c r="K7" s="31">
        <f t="shared" si="3"/>
        <v>-0.01</v>
      </c>
      <c r="L7" s="11" t="str">
        <f t="shared" si="4"/>
        <v>めまい</v>
      </c>
      <c r="M7" s="31">
        <f>O$5</f>
        <v>0</v>
      </c>
      <c r="N7" s="31">
        <f>O$6</f>
        <v>0</v>
      </c>
      <c r="O7" s="31">
        <f>IF($F7="",0,IF($G7="",0,POWER(($F7-$G7)/1.96,2)))</f>
        <v>2.1084964598084137E-5</v>
      </c>
      <c r="P7" s="31">
        <f>IF(P20="",0,IF(F7=0,0,P20*(F7-G7)*(F8-G8)/1.96/1.96))</f>
        <v>0</v>
      </c>
      <c r="Q7" s="31">
        <f>IF(Q20="",0,IF(F7=0,0,Q20*(F7-G7)*(F9-G9)/1.96/1.96))</f>
        <v>3.7484381507705122E-5</v>
      </c>
      <c r="R7" s="31">
        <f>IF(R20="",0,IF(F7=0,0,R20*(F7-G7)*(F10-G10)/1.96/1.96))</f>
        <v>0</v>
      </c>
      <c r="S7" s="31">
        <f>IF(S20="",0,IF(F7=0,0,S20*(F7-G7)*(F11-G11)/1.96/1.96))</f>
        <v>0</v>
      </c>
      <c r="T7" s="31">
        <f>IF(T20="",0,IF(F7=0,0,T20*(F7-G7)*(F12-G12)/1.96/1.96))</f>
        <v>0</v>
      </c>
      <c r="U7" s="31">
        <f>IF(U20="",0,IF(F7=0,0,U20*(F7-G7)*(F13-G13)/1.96/1.96))</f>
        <v>0</v>
      </c>
      <c r="V7" s="31">
        <f>IF(V20="",0,IF(F7=0,0,V20*(F7-G7)*(F14-G14)/1.96/1.96))</f>
        <v>0</v>
      </c>
      <c r="X7" s="17">
        <f t="shared" si="5"/>
        <v>0.5</v>
      </c>
      <c r="Y7" s="31">
        <f t="shared" si="6"/>
        <v>0</v>
      </c>
      <c r="Z7" s="31">
        <f t="shared" si="0"/>
        <v>0</v>
      </c>
      <c r="AA7" s="31">
        <f t="shared" si="0"/>
        <v>1.0542482299042068E-5</v>
      </c>
      <c r="AB7" s="31">
        <f t="shared" si="0"/>
        <v>0</v>
      </c>
      <c r="AC7" s="31">
        <f t="shared" si="0"/>
        <v>1.8742190753852561E-5</v>
      </c>
      <c r="AD7" s="31">
        <f t="shared" si="0"/>
        <v>0</v>
      </c>
      <c r="AE7" s="31">
        <f t="shared" si="0"/>
        <v>0</v>
      </c>
      <c r="AF7" s="31">
        <f t="shared" si="0"/>
        <v>0</v>
      </c>
      <c r="AG7" s="31">
        <f t="shared" si="0"/>
        <v>0</v>
      </c>
      <c r="AH7" s="31">
        <f t="shared" si="0"/>
        <v>0</v>
      </c>
      <c r="AJ7" s="17">
        <v>1.0893898375676804E-5</v>
      </c>
      <c r="AL7" s="17">
        <f t="shared" si="7"/>
        <v>0.156</v>
      </c>
      <c r="AM7" s="17">
        <f t="shared" si="8"/>
        <v>-1</v>
      </c>
      <c r="AN7" s="17">
        <f t="shared" si="9"/>
        <v>0.156</v>
      </c>
      <c r="AO7">
        <f t="shared" si="10"/>
        <v>0.02</v>
      </c>
      <c r="AP7" t="str">
        <f t="shared" si="11"/>
        <v>certain</v>
      </c>
      <c r="AR7" s="17">
        <f t="shared" si="12"/>
        <v>390</v>
      </c>
      <c r="AS7" s="17">
        <f t="shared" si="13"/>
        <v>0</v>
      </c>
      <c r="AT7" s="17">
        <f t="shared" si="14"/>
        <v>100</v>
      </c>
      <c r="AU7">
        <f t="shared" si="15"/>
        <v>50</v>
      </c>
    </row>
    <row r="8" spans="1:47">
      <c r="A8">
        <v>4</v>
      </c>
      <c r="B8" s="12" t="s">
        <v>65</v>
      </c>
      <c r="C8" s="9" t="s">
        <v>24</v>
      </c>
      <c r="D8" s="14" t="s">
        <v>25</v>
      </c>
      <c r="E8" s="17">
        <f t="shared" si="1"/>
        <v>-1</v>
      </c>
      <c r="F8" s="12">
        <v>-0.01</v>
      </c>
      <c r="G8" s="30">
        <v>-0.03</v>
      </c>
      <c r="H8" s="30">
        <v>0.01</v>
      </c>
      <c r="I8" s="12">
        <v>20</v>
      </c>
      <c r="J8" s="31">
        <f t="shared" si="2"/>
        <v>0.2</v>
      </c>
      <c r="K8" s="31">
        <f t="shared" si="3"/>
        <v>2E-3</v>
      </c>
      <c r="L8" s="11" t="str">
        <f t="shared" si="4"/>
        <v>頻尿</v>
      </c>
      <c r="M8" s="31">
        <f>P$5</f>
        <v>0</v>
      </c>
      <c r="N8" s="31">
        <f>P$6</f>
        <v>0</v>
      </c>
      <c r="O8" s="31">
        <f>P$7</f>
        <v>0</v>
      </c>
      <c r="P8" s="31">
        <f>IF($F8="",0,IF($G8="",0,POWER(($F8-$G8)/1.96,2)))</f>
        <v>1.0412328196584754E-4</v>
      </c>
      <c r="Q8" s="31">
        <f>IF(Q21="",0,IF(F8=0,0,Q21*(F8-G8)*(F9-G9)/1.96/1.96))</f>
        <v>0</v>
      </c>
      <c r="R8" s="31">
        <f>IF(R21="",0,IF(F8=0,0,R21*(F8-G8)*(F10-G10)/1.96/1.96))</f>
        <v>0</v>
      </c>
      <c r="S8" s="31">
        <f>IF(S21="",0,IF(F8=0,0,S21*(F8-G8)*(F11-G11)/1.96/1.96))</f>
        <v>0</v>
      </c>
      <c r="T8" s="31">
        <f>IF(T21="",0,IF(F8=0,0,T21*(F8-G8)*(F12-G12)/1.96/1.96))</f>
        <v>0</v>
      </c>
      <c r="U8" s="31">
        <f>IF(U21="",0,IF(F8=0,0,U21*(F8-G8)*(F13-G13)/1.96/1.96))</f>
        <v>0</v>
      </c>
      <c r="V8" s="31">
        <f>IF(V21="",0,IF(F8=0,0,V21*(F8-G8)*(F14-G14)/1.96/1.96))</f>
        <v>0</v>
      </c>
      <c r="X8" s="17">
        <f t="shared" si="5"/>
        <v>0.2</v>
      </c>
      <c r="Y8" s="31">
        <f t="shared" si="6"/>
        <v>0</v>
      </c>
      <c r="Z8" s="31">
        <f t="shared" si="0"/>
        <v>0</v>
      </c>
      <c r="AA8" s="31">
        <f t="shared" si="0"/>
        <v>0</v>
      </c>
      <c r="AB8" s="31">
        <f t="shared" si="0"/>
        <v>2.0824656393169509E-5</v>
      </c>
      <c r="AC8" s="31">
        <f t="shared" si="0"/>
        <v>0</v>
      </c>
      <c r="AD8" s="31">
        <f t="shared" si="0"/>
        <v>0</v>
      </c>
      <c r="AE8" s="31">
        <f t="shared" si="0"/>
        <v>0</v>
      </c>
      <c r="AF8" s="31">
        <f t="shared" si="0"/>
        <v>0</v>
      </c>
      <c r="AG8" s="31">
        <f t="shared" si="0"/>
        <v>0</v>
      </c>
      <c r="AH8" s="31">
        <f t="shared" si="0"/>
        <v>0</v>
      </c>
      <c r="AJ8" s="17">
        <v>4.1649312786339024E-6</v>
      </c>
      <c r="AL8" s="17">
        <f t="shared" si="7"/>
        <v>0.33</v>
      </c>
      <c r="AM8" s="17">
        <f t="shared" si="8"/>
        <v>-1</v>
      </c>
      <c r="AN8" s="17">
        <f t="shared" si="9"/>
        <v>0.33</v>
      </c>
      <c r="AO8">
        <f t="shared" si="10"/>
        <v>-0.01</v>
      </c>
      <c r="AP8" t="str">
        <f t="shared" si="11"/>
        <v>certain</v>
      </c>
      <c r="AR8" s="17">
        <f t="shared" si="12"/>
        <v>-660</v>
      </c>
      <c r="AS8" s="17">
        <f t="shared" si="13"/>
        <v>0</v>
      </c>
      <c r="AT8" s="17">
        <f t="shared" si="14"/>
        <v>100</v>
      </c>
      <c r="AU8">
        <f t="shared" si="15"/>
        <v>20</v>
      </c>
    </row>
    <row r="9" spans="1:47">
      <c r="A9">
        <v>5</v>
      </c>
      <c r="B9" s="12" t="s">
        <v>86</v>
      </c>
      <c r="C9" s="9" t="s">
        <v>24</v>
      </c>
      <c r="D9" s="14" t="s">
        <v>25</v>
      </c>
      <c r="E9" s="17">
        <f t="shared" si="1"/>
        <v>-1</v>
      </c>
      <c r="F9" s="12">
        <v>-0.02</v>
      </c>
      <c r="G9" s="30">
        <v>-0.06</v>
      </c>
      <c r="H9" s="30">
        <v>0.02</v>
      </c>
      <c r="I9" s="12">
        <v>30</v>
      </c>
      <c r="J9" s="31">
        <f t="shared" si="2"/>
        <v>0.3</v>
      </c>
      <c r="K9" s="31">
        <f t="shared" si="3"/>
        <v>6.0000000000000001E-3</v>
      </c>
      <c r="L9" s="11" t="str">
        <f t="shared" si="4"/>
        <v>転倒</v>
      </c>
      <c r="M9" s="31">
        <f>Q$5</f>
        <v>0</v>
      </c>
      <c r="N9" s="31">
        <f>Q$6</f>
        <v>0</v>
      </c>
      <c r="O9" s="31">
        <f>Q$7</f>
        <v>3.7484381507705122E-5</v>
      </c>
      <c r="P9" s="31">
        <f>Q$8</f>
        <v>0</v>
      </c>
      <c r="Q9" s="31">
        <f>IF($F9="",0,IF($G9="",0,POWER(($F9-$G9)/1.96,2)))</f>
        <v>4.1649312786339016E-4</v>
      </c>
      <c r="R9" s="31">
        <f>IF(R22="",0,IF(F9=0,0,R22*(F9-G9)*(F10-G10)/1.96/1.96))</f>
        <v>0</v>
      </c>
      <c r="S9" s="31">
        <f>IF(S22="",0,IF(F9=0,0,S22*(F9-G9)*(F11-G11)/1.96/1.96))</f>
        <v>0</v>
      </c>
      <c r="T9" s="31">
        <f>IF(T22="",0,IF(F9=0,0,T22*(F9-G9)*(F12-G12)/1.96/1.96))</f>
        <v>0</v>
      </c>
      <c r="U9" s="31">
        <f>IF(U22="",0,IF(F9=0,0,U22*(F9-G9)*(F13-G13)/1.96/1.96))</f>
        <v>0</v>
      </c>
      <c r="V9" s="31">
        <f>IF(V22="",0,IF(F9=0,0,V22*(F9-G9)*(F14-G14)/1.96/1.96))</f>
        <v>0</v>
      </c>
      <c r="X9" s="17">
        <f t="shared" si="5"/>
        <v>0.3</v>
      </c>
      <c r="Y9" s="31">
        <f t="shared" si="6"/>
        <v>0</v>
      </c>
      <c r="Z9" s="31">
        <f t="shared" si="0"/>
        <v>0</v>
      </c>
      <c r="AA9" s="31">
        <f t="shared" si="0"/>
        <v>1.1245314452311537E-5</v>
      </c>
      <c r="AB9" s="31">
        <f t="shared" si="0"/>
        <v>0</v>
      </c>
      <c r="AC9" s="31">
        <f t="shared" si="0"/>
        <v>1.2494793835901704E-4</v>
      </c>
      <c r="AD9" s="31">
        <f t="shared" si="0"/>
        <v>0</v>
      </c>
      <c r="AE9" s="31">
        <f t="shared" si="0"/>
        <v>0</v>
      </c>
      <c r="AF9" s="31">
        <f t="shared" si="0"/>
        <v>0</v>
      </c>
      <c r="AG9" s="31">
        <f t="shared" si="0"/>
        <v>0</v>
      </c>
      <c r="AH9" s="31">
        <f t="shared" si="0"/>
        <v>0</v>
      </c>
      <c r="AJ9" s="17">
        <v>4.3107038733860878E-5</v>
      </c>
      <c r="AL9" s="17">
        <f t="shared" si="7"/>
        <v>0.20666666666666669</v>
      </c>
      <c r="AM9" s="17">
        <f t="shared" si="8"/>
        <v>-1</v>
      </c>
      <c r="AN9" s="17">
        <f t="shared" si="9"/>
        <v>0.20666666666666669</v>
      </c>
      <c r="AO9">
        <f t="shared" si="10"/>
        <v>-0.02</v>
      </c>
      <c r="AP9" t="str">
        <f t="shared" si="11"/>
        <v>certain</v>
      </c>
      <c r="AR9" s="17">
        <f t="shared" si="12"/>
        <v>-310.00000000000006</v>
      </c>
      <c r="AS9" s="17">
        <f t="shared" si="13"/>
        <v>0</v>
      </c>
      <c r="AT9" s="17">
        <f t="shared" si="14"/>
        <v>100</v>
      </c>
      <c r="AU9">
        <f t="shared" si="15"/>
        <v>30</v>
      </c>
    </row>
    <row r="10" spans="1:47">
      <c r="A10">
        <v>6</v>
      </c>
      <c r="B10" s="12"/>
      <c r="C10" s="9"/>
      <c r="D10" s="14"/>
      <c r="E10" s="17" t="str">
        <f t="shared" si="1"/>
        <v/>
      </c>
      <c r="F10" s="12"/>
      <c r="G10" s="30"/>
      <c r="H10" s="30"/>
      <c r="I10" s="12"/>
      <c r="J10" s="31" t="str">
        <f t="shared" si="2"/>
        <v/>
      </c>
      <c r="K10" s="31" t="str">
        <f t="shared" si="3"/>
        <v/>
      </c>
      <c r="L10" s="11" t="str">
        <f t="shared" si="4"/>
        <v/>
      </c>
      <c r="M10" s="31">
        <f>R$5</f>
        <v>0</v>
      </c>
      <c r="N10" s="31">
        <f>R$6</f>
        <v>0</v>
      </c>
      <c r="O10" s="31">
        <f>R$7</f>
        <v>0</v>
      </c>
      <c r="P10" s="31">
        <f>R$8</f>
        <v>0</v>
      </c>
      <c r="Q10" s="31">
        <f>R$9</f>
        <v>0</v>
      </c>
      <c r="R10" s="31">
        <f>IF($F10="",0,IF($G10="",0,POWER(($F10-$G10)/1.96,2)))</f>
        <v>0</v>
      </c>
      <c r="S10" s="31">
        <f>IF(S23="",0,IF(F10=0,0,S23*(F10-G10)*(F11-G11)/1.96/1.96))</f>
        <v>0</v>
      </c>
      <c r="T10" s="31">
        <f>IF(T23="",0,IF(F10=0,0,T23*(F10-G10)*(F12-G12)/1.96/1.96))</f>
        <v>0</v>
      </c>
      <c r="U10" s="31">
        <f>IF(U23="",0,IF(F10=0,0,U23*(F10-G10)*(F13-G13)/1.96/1.96))</f>
        <v>0</v>
      </c>
      <c r="V10" s="31">
        <f>IF(V23="",0,IF(F10=0,0,V23*(F10-G10)*(F14-G14)/1.96/1.96))</f>
        <v>0</v>
      </c>
      <c r="X10" s="17">
        <f t="shared" si="5"/>
        <v>0</v>
      </c>
      <c r="Y10" s="31">
        <f t="shared" si="6"/>
        <v>0</v>
      </c>
      <c r="Z10" s="31">
        <f t="shared" si="0"/>
        <v>0</v>
      </c>
      <c r="AA10" s="31">
        <f t="shared" si="0"/>
        <v>0</v>
      </c>
      <c r="AB10" s="31">
        <f t="shared" si="0"/>
        <v>0</v>
      </c>
      <c r="AC10" s="31">
        <f t="shared" si="0"/>
        <v>0</v>
      </c>
      <c r="AD10" s="31">
        <f t="shared" si="0"/>
        <v>0</v>
      </c>
      <c r="AE10" s="31">
        <f t="shared" si="0"/>
        <v>0</v>
      </c>
      <c r="AF10" s="31">
        <f t="shared" si="0"/>
        <v>0</v>
      </c>
      <c r="AG10" s="31">
        <f t="shared" si="0"/>
        <v>0</v>
      </c>
      <c r="AH10" s="31">
        <f t="shared" si="0"/>
        <v>0</v>
      </c>
      <c r="AJ10" s="17">
        <v>0</v>
      </c>
      <c r="AL10" s="17" t="str">
        <f t="shared" si="7"/>
        <v/>
      </c>
      <c r="AM10" s="17" t="str">
        <f t="shared" si="8"/>
        <v/>
      </c>
      <c r="AN10" s="17" t="str">
        <f t="shared" si="9"/>
        <v/>
      </c>
      <c r="AO10" t="str">
        <f t="shared" si="10"/>
        <v/>
      </c>
      <c r="AP10" t="str">
        <f t="shared" si="11"/>
        <v/>
      </c>
      <c r="AR10" s="17" t="str">
        <f t="shared" si="12"/>
        <v/>
      </c>
      <c r="AS10" s="17" t="str">
        <f t="shared" si="13"/>
        <v/>
      </c>
      <c r="AT10" s="17" t="str">
        <f t="shared" si="14"/>
        <v/>
      </c>
      <c r="AU10" t="str">
        <f t="shared" si="15"/>
        <v/>
      </c>
    </row>
    <row r="11" spans="1:47">
      <c r="A11">
        <v>7</v>
      </c>
      <c r="B11" s="12"/>
      <c r="C11" s="9"/>
      <c r="D11" s="14"/>
      <c r="E11" s="17" t="str">
        <f t="shared" si="1"/>
        <v/>
      </c>
      <c r="F11" s="12"/>
      <c r="G11" s="30"/>
      <c r="H11" s="30"/>
      <c r="I11" s="12"/>
      <c r="J11" s="31" t="str">
        <f t="shared" si="2"/>
        <v/>
      </c>
      <c r="K11" s="31" t="str">
        <f t="shared" si="3"/>
        <v/>
      </c>
      <c r="L11" s="11" t="str">
        <f t="shared" si="4"/>
        <v/>
      </c>
      <c r="M11" s="31">
        <f>S$5</f>
        <v>0</v>
      </c>
      <c r="N11" s="31">
        <f>S$6</f>
        <v>0</v>
      </c>
      <c r="O11" s="31">
        <f>S$7</f>
        <v>0</v>
      </c>
      <c r="P11" s="31">
        <f>S$8</f>
        <v>0</v>
      </c>
      <c r="Q11" s="31">
        <f>S$9</f>
        <v>0</v>
      </c>
      <c r="R11" s="31">
        <f>S$10</f>
        <v>0</v>
      </c>
      <c r="S11" s="31">
        <f>IF($F11="",0,IF($G11="",0,POWER(($F11-$G11)/1.96,2)))</f>
        <v>0</v>
      </c>
      <c r="T11" s="31">
        <f>IF(T24="",0,IF(F11=0,0,T24*(F11-G11)*(F12-G12)/1.96/1.96))</f>
        <v>0</v>
      </c>
      <c r="U11" s="31">
        <f>IF(U24="",0,IF(F11=0,0,U24*(F11-G11)*(F13-G13)/1.96/1.96))</f>
        <v>0</v>
      </c>
      <c r="V11" s="31">
        <f>IF(V24="",0,IF(F11=0,0,V24*(F11-G11)*(F14-G14)/1.96/1.96))</f>
        <v>0</v>
      </c>
      <c r="X11" s="17">
        <f t="shared" si="5"/>
        <v>0</v>
      </c>
      <c r="Y11" s="31">
        <f t="shared" si="6"/>
        <v>0</v>
      </c>
      <c r="Z11" s="31">
        <f t="shared" si="0"/>
        <v>0</v>
      </c>
      <c r="AA11" s="31">
        <f t="shared" si="0"/>
        <v>0</v>
      </c>
      <c r="AB11" s="31">
        <f t="shared" si="0"/>
        <v>0</v>
      </c>
      <c r="AC11" s="31">
        <f t="shared" si="0"/>
        <v>0</v>
      </c>
      <c r="AD11" s="31">
        <f t="shared" si="0"/>
        <v>0</v>
      </c>
      <c r="AE11" s="31">
        <f t="shared" si="0"/>
        <v>0</v>
      </c>
      <c r="AF11" s="31">
        <f t="shared" si="0"/>
        <v>0</v>
      </c>
      <c r="AG11" s="31">
        <f t="shared" si="0"/>
        <v>0</v>
      </c>
      <c r="AH11" s="31">
        <f t="shared" si="0"/>
        <v>0</v>
      </c>
      <c r="AJ11" s="17">
        <v>0</v>
      </c>
      <c r="AL11" s="17" t="str">
        <f t="shared" si="7"/>
        <v/>
      </c>
      <c r="AM11" s="17" t="str">
        <f t="shared" si="8"/>
        <v/>
      </c>
      <c r="AN11" s="17" t="str">
        <f t="shared" si="9"/>
        <v/>
      </c>
      <c r="AO11" t="str">
        <f t="shared" si="10"/>
        <v/>
      </c>
      <c r="AP11" t="str">
        <f t="shared" si="11"/>
        <v/>
      </c>
      <c r="AR11" s="17" t="str">
        <f t="shared" si="12"/>
        <v/>
      </c>
      <c r="AS11" s="17" t="str">
        <f t="shared" si="13"/>
        <v/>
      </c>
      <c r="AT11" s="17" t="str">
        <f t="shared" si="14"/>
        <v/>
      </c>
      <c r="AU11" t="str">
        <f t="shared" si="15"/>
        <v/>
      </c>
    </row>
    <row r="12" spans="1:47">
      <c r="A12">
        <v>8</v>
      </c>
      <c r="B12" s="12"/>
      <c r="C12" s="9"/>
      <c r="D12" s="14"/>
      <c r="E12" s="17" t="str">
        <f t="shared" si="1"/>
        <v/>
      </c>
      <c r="F12" s="12"/>
      <c r="G12" s="30"/>
      <c r="H12" s="30"/>
      <c r="I12" s="12"/>
      <c r="J12" s="31" t="str">
        <f t="shared" si="2"/>
        <v/>
      </c>
      <c r="K12" s="31" t="str">
        <f t="shared" si="3"/>
        <v/>
      </c>
      <c r="L12" s="11" t="str">
        <f t="shared" si="4"/>
        <v/>
      </c>
      <c r="M12" s="31">
        <f>T$5</f>
        <v>0</v>
      </c>
      <c r="N12" s="31">
        <f>T$6</f>
        <v>0</v>
      </c>
      <c r="O12" s="31">
        <f>T$7</f>
        <v>0</v>
      </c>
      <c r="P12" s="31">
        <f>T$8</f>
        <v>0</v>
      </c>
      <c r="Q12" s="31">
        <f>T$9</f>
        <v>0</v>
      </c>
      <c r="R12" s="31">
        <f>T$10</f>
        <v>0</v>
      </c>
      <c r="S12" s="31">
        <f>T$11</f>
        <v>0</v>
      </c>
      <c r="T12" s="31">
        <f>IF($F12="",0,IF($G12="",0,POWER(($F12-$G12)/1.96,2)))</f>
        <v>0</v>
      </c>
      <c r="U12" s="31">
        <f>IF(U25="",0,IF(F12=0,0,U25*(F12-G12)*(F13-G13)/1.96/1.96))</f>
        <v>0</v>
      </c>
      <c r="V12" s="31">
        <f>IF(V25="",0,IF(F12=0,0,V25*(F12-G12)*(F14-G14)/1.96/1.96))</f>
        <v>0</v>
      </c>
      <c r="X12" s="17">
        <f t="shared" si="5"/>
        <v>0</v>
      </c>
      <c r="Y12" s="31">
        <f t="shared" si="6"/>
        <v>0</v>
      </c>
      <c r="Z12" s="31">
        <f t="shared" si="0"/>
        <v>0</v>
      </c>
      <c r="AA12" s="31">
        <f t="shared" si="0"/>
        <v>0</v>
      </c>
      <c r="AB12" s="31">
        <f t="shared" si="0"/>
        <v>0</v>
      </c>
      <c r="AC12" s="31">
        <f t="shared" si="0"/>
        <v>0</v>
      </c>
      <c r="AD12" s="31">
        <f t="shared" si="0"/>
        <v>0</v>
      </c>
      <c r="AE12" s="31">
        <f t="shared" si="0"/>
        <v>0</v>
      </c>
      <c r="AF12" s="31">
        <f t="shared" si="0"/>
        <v>0</v>
      </c>
      <c r="AG12" s="31">
        <f t="shared" si="0"/>
        <v>0</v>
      </c>
      <c r="AH12" s="31">
        <f t="shared" si="0"/>
        <v>0</v>
      </c>
      <c r="AJ12" s="17">
        <v>0</v>
      </c>
      <c r="AL12" s="17" t="str">
        <f t="shared" si="7"/>
        <v/>
      </c>
      <c r="AM12" s="17" t="str">
        <f t="shared" si="8"/>
        <v/>
      </c>
      <c r="AN12" s="17" t="str">
        <f t="shared" si="9"/>
        <v/>
      </c>
      <c r="AO12" t="str">
        <f t="shared" si="10"/>
        <v/>
      </c>
      <c r="AP12" t="str">
        <f t="shared" si="11"/>
        <v/>
      </c>
      <c r="AR12" s="17" t="str">
        <f t="shared" si="12"/>
        <v/>
      </c>
      <c r="AS12" s="17" t="str">
        <f t="shared" si="13"/>
        <v/>
      </c>
      <c r="AT12" s="17" t="str">
        <f t="shared" si="14"/>
        <v/>
      </c>
      <c r="AU12" t="str">
        <f t="shared" si="15"/>
        <v/>
      </c>
    </row>
    <row r="13" spans="1:47">
      <c r="A13">
        <v>9</v>
      </c>
      <c r="B13" s="12"/>
      <c r="C13" s="9"/>
      <c r="D13" s="14"/>
      <c r="E13" s="17" t="str">
        <f t="shared" si="1"/>
        <v/>
      </c>
      <c r="F13" s="12"/>
      <c r="G13" s="30"/>
      <c r="H13" s="30"/>
      <c r="I13" s="12"/>
      <c r="J13" s="31" t="str">
        <f t="shared" si="2"/>
        <v/>
      </c>
      <c r="K13" s="31" t="str">
        <f t="shared" si="3"/>
        <v/>
      </c>
      <c r="L13" s="11" t="str">
        <f t="shared" si="4"/>
        <v/>
      </c>
      <c r="M13" s="31">
        <f>U$5</f>
        <v>0</v>
      </c>
      <c r="N13" s="31">
        <f>U$6</f>
        <v>0</v>
      </c>
      <c r="O13" s="31">
        <f>U$7</f>
        <v>0</v>
      </c>
      <c r="P13" s="31">
        <f>U$8</f>
        <v>0</v>
      </c>
      <c r="Q13" s="31">
        <f>U$9</f>
        <v>0</v>
      </c>
      <c r="R13" s="31">
        <f>U$10</f>
        <v>0</v>
      </c>
      <c r="S13" s="31">
        <f>U$11</f>
        <v>0</v>
      </c>
      <c r="T13" s="31">
        <f>U$12</f>
        <v>0</v>
      </c>
      <c r="U13" s="31">
        <f>IF($F13="",0,IF($G13="",0,POWER(($F13-$G13)/1.96,2)))</f>
        <v>0</v>
      </c>
      <c r="V13" s="31">
        <f>IF(V26="",0,IF(F13=0,0,V26*(F13-G13)*(F14-G14)/1.96/1.96))</f>
        <v>0</v>
      </c>
      <c r="X13" s="17">
        <f t="shared" si="5"/>
        <v>0</v>
      </c>
      <c r="Y13" s="31">
        <f t="shared" si="6"/>
        <v>0</v>
      </c>
      <c r="Z13" s="31">
        <f t="shared" si="0"/>
        <v>0</v>
      </c>
      <c r="AA13" s="31">
        <f t="shared" si="0"/>
        <v>0</v>
      </c>
      <c r="AB13" s="31">
        <f t="shared" si="0"/>
        <v>0</v>
      </c>
      <c r="AC13" s="31">
        <f t="shared" si="0"/>
        <v>0</v>
      </c>
      <c r="AD13" s="31">
        <f t="shared" si="0"/>
        <v>0</v>
      </c>
      <c r="AE13" s="31">
        <f t="shared" si="0"/>
        <v>0</v>
      </c>
      <c r="AF13" s="31">
        <f t="shared" si="0"/>
        <v>0</v>
      </c>
      <c r="AG13" s="31">
        <f t="shared" si="0"/>
        <v>0</v>
      </c>
      <c r="AH13" s="31">
        <f t="shared" si="0"/>
        <v>0</v>
      </c>
      <c r="AJ13" s="17">
        <v>0</v>
      </c>
      <c r="AL13" s="17" t="str">
        <f t="shared" si="7"/>
        <v/>
      </c>
      <c r="AM13" s="17" t="str">
        <f t="shared" si="8"/>
        <v/>
      </c>
      <c r="AN13" s="17" t="str">
        <f t="shared" si="9"/>
        <v/>
      </c>
      <c r="AO13" t="str">
        <f t="shared" si="10"/>
        <v/>
      </c>
      <c r="AP13" t="str">
        <f t="shared" si="11"/>
        <v/>
      </c>
      <c r="AR13" s="17" t="str">
        <f t="shared" si="12"/>
        <v/>
      </c>
      <c r="AS13" s="17" t="str">
        <f t="shared" si="13"/>
        <v/>
      </c>
      <c r="AT13" s="17" t="str">
        <f t="shared" si="14"/>
        <v/>
      </c>
      <c r="AU13" t="str">
        <f t="shared" si="15"/>
        <v/>
      </c>
    </row>
    <row r="14" spans="1:47">
      <c r="A14">
        <v>10</v>
      </c>
      <c r="B14" s="12"/>
      <c r="C14" s="9"/>
      <c r="D14" s="14"/>
      <c r="E14" s="32" t="str">
        <f t="shared" si="1"/>
        <v/>
      </c>
      <c r="F14" s="12"/>
      <c r="G14" s="30"/>
      <c r="H14" s="30"/>
      <c r="I14" s="12"/>
      <c r="J14" s="31" t="str">
        <f t="shared" si="2"/>
        <v/>
      </c>
      <c r="K14" s="31" t="str">
        <f t="shared" si="3"/>
        <v/>
      </c>
      <c r="L14" s="11" t="str">
        <f t="shared" si="4"/>
        <v/>
      </c>
      <c r="M14" s="31">
        <f>V$5</f>
        <v>0</v>
      </c>
      <c r="N14" s="31">
        <f>V$6</f>
        <v>0</v>
      </c>
      <c r="O14" s="31">
        <f>V$7</f>
        <v>0</v>
      </c>
      <c r="P14" s="31">
        <f>V$8</f>
        <v>0</v>
      </c>
      <c r="Q14" s="31">
        <f>V$9</f>
        <v>0</v>
      </c>
      <c r="R14" s="31">
        <f>V$10</f>
        <v>0</v>
      </c>
      <c r="S14" s="31">
        <f>V$11</f>
        <v>0</v>
      </c>
      <c r="T14" s="31">
        <f>V$12</f>
        <v>0</v>
      </c>
      <c r="U14" s="31">
        <f>V$13</f>
        <v>0</v>
      </c>
      <c r="V14" s="31">
        <f>IF($F14="",0,IF($G14="",0,POWER(($F14-$G14)/1.96,2)))</f>
        <v>0</v>
      </c>
      <c r="X14" s="17">
        <f t="shared" si="5"/>
        <v>0</v>
      </c>
      <c r="Y14" s="31">
        <f t="shared" si="6"/>
        <v>0</v>
      </c>
      <c r="Z14" s="31">
        <f t="shared" si="0"/>
        <v>0</v>
      </c>
      <c r="AA14" s="31">
        <f t="shared" si="0"/>
        <v>0</v>
      </c>
      <c r="AB14" s="31">
        <f t="shared" si="0"/>
        <v>0</v>
      </c>
      <c r="AC14" s="31">
        <f t="shared" si="0"/>
        <v>0</v>
      </c>
      <c r="AD14" s="31">
        <f t="shared" si="0"/>
        <v>0</v>
      </c>
      <c r="AE14" s="31">
        <f t="shared" si="0"/>
        <v>0</v>
      </c>
      <c r="AF14" s="31">
        <f t="shared" si="0"/>
        <v>0</v>
      </c>
      <c r="AG14" s="31">
        <f t="shared" si="0"/>
        <v>0</v>
      </c>
      <c r="AH14" s="31">
        <f t="shared" si="0"/>
        <v>0</v>
      </c>
      <c r="AJ14" s="17">
        <v>0</v>
      </c>
      <c r="AL14" s="17" t="str">
        <f t="shared" si="7"/>
        <v/>
      </c>
      <c r="AM14" s="17" t="str">
        <f t="shared" si="8"/>
        <v/>
      </c>
      <c r="AN14" s="17" t="str">
        <f t="shared" si="9"/>
        <v/>
      </c>
      <c r="AO14" t="str">
        <f t="shared" si="10"/>
        <v/>
      </c>
      <c r="AP14" t="str">
        <f t="shared" si="11"/>
        <v/>
      </c>
      <c r="AR14" s="17" t="str">
        <f t="shared" si="12"/>
        <v/>
      </c>
      <c r="AS14" s="17" t="str">
        <f t="shared" si="13"/>
        <v/>
      </c>
      <c r="AT14" s="17" t="str">
        <f t="shared" si="14"/>
        <v/>
      </c>
      <c r="AU14" t="str">
        <f t="shared" si="15"/>
        <v/>
      </c>
    </row>
    <row r="15" spans="1:47">
      <c r="I15" s="31">
        <f>SUM(I5:I14)</f>
        <v>230</v>
      </c>
      <c r="J15" s="31">
        <f>SUM(J5:J14)</f>
        <v>2.2999999999999998</v>
      </c>
      <c r="K15" s="31">
        <f>SUM(K5:K14)</f>
        <v>6.8000000000000005E-2</v>
      </c>
      <c r="M15" t="s">
        <v>70</v>
      </c>
      <c r="AH15" t="s">
        <v>34</v>
      </c>
      <c r="AJ15" s="17">
        <f>SUM(AJ5:AJ14)</f>
        <v>1.074409100374844E-3</v>
      </c>
    </row>
    <row r="16" spans="1:47" ht="18.600000000000001" thickBot="1">
      <c r="D16" s="15"/>
      <c r="E16" s="16"/>
      <c r="M16" t="s">
        <v>35</v>
      </c>
      <c r="AH16" t="s">
        <v>36</v>
      </c>
      <c r="AJ16" s="17">
        <f>SQRT(AJ15)</f>
        <v>3.2778180248068133E-2</v>
      </c>
    </row>
    <row r="17" spans="2:22">
      <c r="H17" t="s">
        <v>69</v>
      </c>
      <c r="I17" s="18" t="s">
        <v>37</v>
      </c>
      <c r="J17" s="19"/>
      <c r="K17" s="20">
        <f>K15</f>
        <v>6.8000000000000005E-2</v>
      </c>
      <c r="M17" s="7" t="str">
        <f>IF($B5="","",$B5)</f>
        <v>脳卒中予防</v>
      </c>
      <c r="N17" s="7" t="str">
        <f>IF($B6="","",$B6)</f>
        <v>心不全予防</v>
      </c>
      <c r="O17" s="7" t="str">
        <f>IF($B7="","",$B7)</f>
        <v>めまい</v>
      </c>
      <c r="P17" s="7" t="str">
        <f>IF($B8="","",$B8)</f>
        <v>頻尿</v>
      </c>
      <c r="Q17" s="7" t="str">
        <f>IF($B9="","",$B9)</f>
        <v>転倒</v>
      </c>
      <c r="R17" s="7" t="str">
        <f>IF($B10="","",$B10)</f>
        <v/>
      </c>
      <c r="S17" s="7" t="str">
        <f>IF($B11="","",$B11)</f>
        <v/>
      </c>
      <c r="T17" s="7" t="str">
        <f>IF($B12="","",$B12)</f>
        <v/>
      </c>
      <c r="U17" s="7" t="str">
        <f>IF($B13="","",$B13)</f>
        <v/>
      </c>
      <c r="V17" s="7" t="str">
        <f>IF($B14="","",$B14)</f>
        <v/>
      </c>
    </row>
    <row r="18" spans="2:22">
      <c r="F18" s="15"/>
      <c r="G18" s="15"/>
      <c r="H18" s="15"/>
      <c r="I18" s="21" t="s">
        <v>14</v>
      </c>
      <c r="J18" s="22"/>
      <c r="K18" s="23">
        <f>K17-1.96*AJ16</f>
        <v>3.7547667137864671E-3</v>
      </c>
      <c r="L18" s="11" t="str">
        <f>IF(B5="","",B5)</f>
        <v>脳卒中予防</v>
      </c>
      <c r="M18" s="31">
        <f>IF(F5="","",IF(G5="","",1))</f>
        <v>1</v>
      </c>
      <c r="N18" s="12">
        <v>0.6</v>
      </c>
      <c r="O18" s="12"/>
      <c r="P18" s="12"/>
      <c r="Q18" s="12"/>
      <c r="R18" s="12"/>
      <c r="S18" s="12"/>
      <c r="T18" s="12"/>
      <c r="U18" s="12"/>
      <c r="V18" s="12"/>
    </row>
    <row r="19" spans="2:22" ht="18.600000000000001" thickBot="1">
      <c r="I19" s="24" t="s">
        <v>15</v>
      </c>
      <c r="J19" s="25"/>
      <c r="K19" s="26">
        <f>K17+1.96*AJ16</f>
        <v>0.13224523328621354</v>
      </c>
      <c r="L19" s="11" t="str">
        <f>IF(B6="","",B6)</f>
        <v>心不全予防</v>
      </c>
      <c r="M19" s="13"/>
      <c r="N19" s="31">
        <f>IF(F6="","",IF(G6="","",1))</f>
        <v>1</v>
      </c>
      <c r="O19" s="12"/>
      <c r="P19" s="12"/>
      <c r="Q19" s="12"/>
      <c r="R19" s="12"/>
      <c r="S19" s="12"/>
      <c r="T19" s="12"/>
      <c r="U19" s="12"/>
      <c r="V19" s="12"/>
    </row>
    <row r="20" spans="2:22">
      <c r="I20" s="27"/>
      <c r="J20" s="16"/>
      <c r="L20" s="11" t="str">
        <f>IF(B7="","",B7)</f>
        <v>めまい</v>
      </c>
      <c r="M20" s="13"/>
      <c r="N20" s="13"/>
      <c r="O20" s="31">
        <f>IF(F7="","",IF(G7="","",1))</f>
        <v>1</v>
      </c>
      <c r="P20" s="12"/>
      <c r="Q20" s="12">
        <v>0.4</v>
      </c>
      <c r="R20" s="12"/>
      <c r="S20" s="12"/>
      <c r="T20" s="12"/>
      <c r="U20" s="12"/>
      <c r="V20" s="12"/>
    </row>
    <row r="21" spans="2:22">
      <c r="I21" s="39" t="s">
        <v>66</v>
      </c>
      <c r="J21" s="40" t="s">
        <v>67</v>
      </c>
      <c r="K21" s="39" t="s">
        <v>68</v>
      </c>
      <c r="L21" s="11" t="str">
        <f>IF(B8="","",B8)</f>
        <v>頻尿</v>
      </c>
      <c r="M21" s="13"/>
      <c r="N21" s="13"/>
      <c r="O21" s="13"/>
      <c r="P21" s="31">
        <f>IF(F8="","",IF(G8="","",1))</f>
        <v>1</v>
      </c>
      <c r="Q21" s="12"/>
      <c r="R21" s="12"/>
      <c r="S21" s="12"/>
      <c r="T21" s="12"/>
      <c r="U21" s="12"/>
      <c r="V21" s="12"/>
    </row>
    <row r="22" spans="2:22">
      <c r="I22" s="12">
        <v>1000</v>
      </c>
      <c r="J22" s="10">
        <v>0</v>
      </c>
      <c r="K22" s="31">
        <f>1-_xlfn.NORM.DIST(0,$K$17,$AJ$16,TRUE)</f>
        <v>0.98098590692981413</v>
      </c>
      <c r="L22" s="11" t="str">
        <f t="shared" ref="L22:L27" si="16">IF(B9="","",B9)</f>
        <v>転倒</v>
      </c>
      <c r="M22" s="13"/>
      <c r="N22" s="13"/>
      <c r="O22" s="13"/>
      <c r="P22" s="13"/>
      <c r="Q22" s="31">
        <f>IF(F9="","",IF(G9="","",1))</f>
        <v>1</v>
      </c>
      <c r="R22" s="12"/>
      <c r="S22" s="12"/>
      <c r="T22" s="12"/>
      <c r="U22" s="12"/>
      <c r="V22" s="12"/>
    </row>
    <row r="23" spans="2:22">
      <c r="L23" s="11" t="str">
        <f t="shared" si="16"/>
        <v/>
      </c>
      <c r="M23" s="13"/>
      <c r="N23" s="13"/>
      <c r="O23" s="13"/>
      <c r="P23" s="13"/>
      <c r="Q23" s="13"/>
      <c r="R23" s="31" t="str">
        <f>IF(F10="","",IF(G10="","",1))</f>
        <v/>
      </c>
      <c r="S23" s="12"/>
      <c r="T23" s="12"/>
      <c r="U23" s="12"/>
      <c r="V23" s="12"/>
    </row>
    <row r="24" spans="2:22">
      <c r="I24" s="13" t="s">
        <v>71</v>
      </c>
      <c r="J24" s="13"/>
      <c r="K24" s="31">
        <f>ROUND($I$22*K17,0)</f>
        <v>68</v>
      </c>
      <c r="L24" s="43" t="s">
        <v>151</v>
      </c>
      <c r="M24" s="13"/>
      <c r="N24" s="13"/>
      <c r="O24" s="13"/>
      <c r="P24" s="13"/>
      <c r="Q24" s="13"/>
      <c r="R24" s="13"/>
      <c r="S24" s="31" t="str">
        <f>IF(F11="","",IF(G11="","",1))</f>
        <v/>
      </c>
      <c r="T24" s="12"/>
      <c r="U24" s="12"/>
      <c r="V24" s="12"/>
    </row>
    <row r="25" spans="2:22">
      <c r="I25" s="39" t="s">
        <v>14</v>
      </c>
      <c r="J25" s="41"/>
      <c r="K25" s="31">
        <f t="shared" ref="K25:K26" si="17">ROUND($I$22*K18,0)</f>
        <v>4</v>
      </c>
      <c r="L25" s="11" t="str">
        <f t="shared" si="16"/>
        <v/>
      </c>
      <c r="M25" s="13"/>
      <c r="N25" s="13"/>
      <c r="O25" s="13"/>
      <c r="P25" s="13"/>
      <c r="Q25" s="13"/>
      <c r="R25" s="13"/>
      <c r="S25" s="13"/>
      <c r="T25" s="31" t="str">
        <f>IF(F12="","",IF(G12="","",1))</f>
        <v/>
      </c>
      <c r="U25" s="12"/>
      <c r="V25" s="12"/>
    </row>
    <row r="26" spans="2:22">
      <c r="I26" s="39" t="s">
        <v>15</v>
      </c>
      <c r="J26" s="42"/>
      <c r="K26" s="31">
        <f t="shared" si="17"/>
        <v>132</v>
      </c>
      <c r="L26" s="11" t="str">
        <f t="shared" si="16"/>
        <v/>
      </c>
      <c r="M26" s="13"/>
      <c r="N26" s="13"/>
      <c r="O26" s="13"/>
      <c r="P26" s="13"/>
      <c r="Q26" s="13"/>
      <c r="R26" s="13"/>
      <c r="S26" s="13"/>
      <c r="T26" s="13"/>
      <c r="U26" s="31" t="str">
        <f>IF(F13="","",IF(G13="","",1))</f>
        <v/>
      </c>
      <c r="V26" s="12"/>
    </row>
    <row r="27" spans="2:22">
      <c r="K27" t="s">
        <v>152</v>
      </c>
      <c r="L27" s="11" t="str">
        <f t="shared" si="16"/>
        <v/>
      </c>
      <c r="M27" s="13"/>
      <c r="N27" s="13"/>
      <c r="O27" s="13"/>
      <c r="P27" s="13"/>
      <c r="Q27" s="13"/>
      <c r="R27" s="13"/>
      <c r="S27" s="13"/>
      <c r="T27" s="13"/>
      <c r="U27" s="13"/>
      <c r="V27" s="31" t="str">
        <f>IF(F14="","",IF(G14="","",1))</f>
        <v/>
      </c>
    </row>
    <row r="28" spans="2:22">
      <c r="L28" s="11"/>
      <c r="V28" s="17"/>
    </row>
    <row r="29" spans="2:22" ht="18.600000000000001" thickBot="1">
      <c r="B29" s="69"/>
      <c r="C29" s="69"/>
      <c r="D29" s="69"/>
      <c r="E29" s="69"/>
      <c r="F29" s="69"/>
      <c r="G29" s="69"/>
      <c r="H29" s="69"/>
      <c r="I29" s="69"/>
      <c r="J29" s="69"/>
      <c r="K29" s="69"/>
      <c r="L29" s="11"/>
      <c r="V29" s="17"/>
    </row>
    <row r="30" spans="2:22">
      <c r="B30" t="s">
        <v>88</v>
      </c>
      <c r="L30" s="11"/>
      <c r="V30" s="17"/>
    </row>
    <row r="31" spans="2:22">
      <c r="B31" t="s">
        <v>89</v>
      </c>
      <c r="L31" s="11"/>
      <c r="V31" s="17"/>
    </row>
    <row r="32" spans="2:22">
      <c r="L32" s="11"/>
      <c r="V32" s="17"/>
    </row>
    <row r="33" spans="1:13">
      <c r="B33" s="1" t="s">
        <v>149</v>
      </c>
    </row>
    <row r="34" spans="1:13">
      <c r="B34" s="46" t="s">
        <v>16</v>
      </c>
      <c r="C34" s="47" t="s">
        <v>87</v>
      </c>
      <c r="D34" s="47" t="s">
        <v>91</v>
      </c>
    </row>
    <row r="35" spans="1:13">
      <c r="A35">
        <v>1</v>
      </c>
      <c r="B35" s="13" t="str">
        <f>IF($B$5="","",$B$5)</f>
        <v>脳卒中予防</v>
      </c>
      <c r="C35" s="13">
        <f t="shared" ref="C35:C44" si="18">IF(F5="","",E5*F5)</f>
        <v>0.1</v>
      </c>
      <c r="D35" s="13">
        <f t="shared" ref="D35:D44" si="19">IF(F5="","",F5-G5)</f>
        <v>0.05</v>
      </c>
    </row>
    <row r="36" spans="1:13">
      <c r="A36">
        <v>2</v>
      </c>
      <c r="B36" s="13" t="str">
        <f>IF($B$6="","",$B$6)</f>
        <v>心不全予防</v>
      </c>
      <c r="C36" s="13">
        <f t="shared" si="18"/>
        <v>-0.1</v>
      </c>
      <c r="D36" s="13">
        <f t="shared" si="19"/>
        <v>0.06</v>
      </c>
    </row>
    <row r="37" spans="1:13">
      <c r="A37">
        <v>3</v>
      </c>
      <c r="B37" s="13" t="str">
        <f>IF($B$7="","",$B$7)</f>
        <v>めまい</v>
      </c>
      <c r="C37" s="13">
        <f t="shared" si="18"/>
        <v>-0.02</v>
      </c>
      <c r="D37" s="13">
        <f t="shared" si="19"/>
        <v>9.0000000000000011E-3</v>
      </c>
    </row>
    <row r="38" spans="1:13">
      <c r="A38">
        <v>4</v>
      </c>
      <c r="B38" s="13" t="str">
        <f>IF($B$8="","",$B$8)</f>
        <v>頻尿</v>
      </c>
      <c r="C38" s="13">
        <f t="shared" si="18"/>
        <v>0.01</v>
      </c>
      <c r="D38" s="13">
        <f t="shared" si="19"/>
        <v>1.9999999999999997E-2</v>
      </c>
    </row>
    <row r="39" spans="1:13">
      <c r="A39">
        <v>5</v>
      </c>
      <c r="B39" s="13" t="str">
        <f>IF($B$9="","",$B$9)</f>
        <v>転倒</v>
      </c>
      <c r="C39" s="13">
        <f t="shared" si="18"/>
        <v>0.02</v>
      </c>
      <c r="D39" s="13">
        <f t="shared" si="19"/>
        <v>3.9999999999999994E-2</v>
      </c>
    </row>
    <row r="40" spans="1:13">
      <c r="A40">
        <v>6</v>
      </c>
      <c r="B40" s="13"/>
      <c r="C40" s="13" t="str">
        <f t="shared" si="18"/>
        <v/>
      </c>
      <c r="D40" s="13" t="str">
        <f t="shared" si="19"/>
        <v/>
      </c>
      <c r="E40" t="str">
        <f>IF(F10="","",H10-F10)</f>
        <v/>
      </c>
    </row>
    <row r="41" spans="1:13">
      <c r="A41">
        <v>7</v>
      </c>
      <c r="B41" s="13"/>
      <c r="C41" s="13" t="str">
        <f t="shared" si="18"/>
        <v/>
      </c>
      <c r="D41" s="13" t="str">
        <f t="shared" si="19"/>
        <v/>
      </c>
      <c r="E41" t="str">
        <f>IF(F11="","",H11-F11)</f>
        <v/>
      </c>
    </row>
    <row r="42" spans="1:13">
      <c r="A42">
        <v>8</v>
      </c>
      <c r="B42" s="13"/>
      <c r="C42" s="13" t="str">
        <f t="shared" si="18"/>
        <v/>
      </c>
      <c r="D42" s="13" t="str">
        <f t="shared" si="19"/>
        <v/>
      </c>
      <c r="E42" t="str">
        <f>IF(F12="","",H12-F12)</f>
        <v/>
      </c>
    </row>
    <row r="43" spans="1:13">
      <c r="A43">
        <v>9</v>
      </c>
      <c r="B43" s="13"/>
      <c r="C43" s="13" t="str">
        <f t="shared" si="18"/>
        <v/>
      </c>
      <c r="D43" s="13" t="str">
        <f t="shared" si="19"/>
        <v/>
      </c>
      <c r="E43" t="str">
        <f>IF(F13="","",H13-F13)</f>
        <v/>
      </c>
    </row>
    <row r="44" spans="1:13">
      <c r="A44">
        <v>10</v>
      </c>
      <c r="B44" s="13"/>
      <c r="C44" s="13" t="str">
        <f t="shared" si="18"/>
        <v/>
      </c>
      <c r="D44" s="13" t="str">
        <f t="shared" si="19"/>
        <v/>
      </c>
      <c r="E44" t="str">
        <f>IF(F14="","",H14-F14)</f>
        <v/>
      </c>
    </row>
    <row r="47" spans="1:13" ht="18.600000000000001" thickBot="1">
      <c r="A47" s="72"/>
      <c r="B47" s="72"/>
      <c r="C47" s="72"/>
      <c r="D47" s="72"/>
      <c r="E47" s="72"/>
      <c r="F47" s="72"/>
      <c r="G47" s="72"/>
      <c r="H47" s="72"/>
      <c r="I47" s="72"/>
      <c r="J47" s="72"/>
      <c r="K47" s="72"/>
      <c r="L47" s="72"/>
      <c r="M47" s="72"/>
    </row>
    <row r="48" spans="1:13" ht="18.600000000000001" thickTop="1"/>
    <row r="49" spans="1:13">
      <c r="B49" s="1" t="s">
        <v>146</v>
      </c>
    </row>
    <row r="50" spans="1:13" ht="36">
      <c r="B50" t="s">
        <v>93</v>
      </c>
      <c r="C50" s="8" t="s">
        <v>90</v>
      </c>
      <c r="D50" t="s">
        <v>91</v>
      </c>
    </row>
    <row r="51" spans="1:13">
      <c r="A51">
        <v>1</v>
      </c>
      <c r="B51" s="13" t="str">
        <f>IF($B$5="","",$B$5)</f>
        <v>脳卒中予防</v>
      </c>
      <c r="C51" s="13">
        <f t="shared" ref="C51:C60" si="20">IF(C35="","",C35*J5)</f>
        <v>0.1</v>
      </c>
      <c r="D51" s="13">
        <f t="shared" ref="D51:D60" si="21">IF(D35="","",D35*J5)</f>
        <v>0.05</v>
      </c>
    </row>
    <row r="52" spans="1:13">
      <c r="A52">
        <v>2</v>
      </c>
      <c r="B52" s="13" t="str">
        <f>IF($B$6="","",$B$6)</f>
        <v>心不全予防</v>
      </c>
      <c r="C52" s="13">
        <f t="shared" si="20"/>
        <v>-0.03</v>
      </c>
      <c r="D52" s="13">
        <f t="shared" si="21"/>
        <v>1.7999999999999999E-2</v>
      </c>
    </row>
    <row r="53" spans="1:13">
      <c r="A53">
        <v>3</v>
      </c>
      <c r="B53" s="13" t="str">
        <f>IF($B$7="","",$B$7)</f>
        <v>めまい</v>
      </c>
      <c r="C53" s="13">
        <f t="shared" si="20"/>
        <v>-0.01</v>
      </c>
      <c r="D53" s="13">
        <f t="shared" si="21"/>
        <v>4.5000000000000005E-3</v>
      </c>
    </row>
    <row r="54" spans="1:13">
      <c r="A54">
        <v>4</v>
      </c>
      <c r="B54" s="13" t="str">
        <f>IF($B$8="","",$B$8)</f>
        <v>頻尿</v>
      </c>
      <c r="C54" s="13">
        <f t="shared" si="20"/>
        <v>2E-3</v>
      </c>
      <c r="D54" s="13">
        <f t="shared" si="21"/>
        <v>3.9999999999999992E-3</v>
      </c>
    </row>
    <row r="55" spans="1:13">
      <c r="A55">
        <v>5</v>
      </c>
      <c r="B55" s="13" t="str">
        <f>IF($B$9="","",$B$9)</f>
        <v>転倒</v>
      </c>
      <c r="C55" s="13">
        <f t="shared" si="20"/>
        <v>6.0000000000000001E-3</v>
      </c>
      <c r="D55" s="13">
        <f t="shared" si="21"/>
        <v>1.1999999999999999E-2</v>
      </c>
    </row>
    <row r="56" spans="1:13">
      <c r="A56">
        <v>6</v>
      </c>
      <c r="B56" s="13" t="str">
        <f>IF($B$10="","",$B$10)</f>
        <v/>
      </c>
      <c r="C56" s="13" t="str">
        <f t="shared" si="20"/>
        <v/>
      </c>
      <c r="D56" s="13" t="str">
        <f t="shared" si="21"/>
        <v/>
      </c>
    </row>
    <row r="57" spans="1:13">
      <c r="A57">
        <v>7</v>
      </c>
      <c r="B57" s="13" t="str">
        <f>IF($B$11="","",$B$11)</f>
        <v/>
      </c>
      <c r="C57" s="13" t="str">
        <f t="shared" si="20"/>
        <v/>
      </c>
      <c r="D57" s="13" t="str">
        <f t="shared" si="21"/>
        <v/>
      </c>
    </row>
    <row r="58" spans="1:13">
      <c r="A58">
        <v>8</v>
      </c>
      <c r="B58" s="13" t="str">
        <f>IF($B$12="","",$B$12)</f>
        <v/>
      </c>
      <c r="C58" s="13" t="str">
        <f t="shared" si="20"/>
        <v/>
      </c>
      <c r="D58" s="13" t="str">
        <f t="shared" si="21"/>
        <v/>
      </c>
    </row>
    <row r="59" spans="1:13">
      <c r="A59">
        <v>9</v>
      </c>
      <c r="B59" s="13" t="str">
        <f>IF($B$13="","",$B$13)</f>
        <v/>
      </c>
      <c r="C59" s="13" t="str">
        <f t="shared" si="20"/>
        <v/>
      </c>
      <c r="D59" s="13" t="str">
        <f t="shared" si="21"/>
        <v/>
      </c>
    </row>
    <row r="60" spans="1:13">
      <c r="A60">
        <v>10</v>
      </c>
      <c r="B60" s="13" t="str">
        <f>IF($B$14="","",$B$14)</f>
        <v/>
      </c>
      <c r="C60" s="13" t="str">
        <f t="shared" si="20"/>
        <v/>
      </c>
      <c r="D60" s="13" t="str">
        <f t="shared" si="21"/>
        <v/>
      </c>
    </row>
    <row r="61" spans="1:13">
      <c r="B61" t="s">
        <v>69</v>
      </c>
      <c r="C61">
        <f>K17</f>
        <v>6.8000000000000005E-2</v>
      </c>
      <c r="D61">
        <f>K17-K18</f>
        <v>6.4245233286213538E-2</v>
      </c>
    </row>
    <row r="63" spans="1:13" ht="18.600000000000001" thickBot="1">
      <c r="A63" s="72"/>
      <c r="B63" s="72"/>
      <c r="C63" s="72"/>
      <c r="D63" s="72"/>
      <c r="E63" s="72"/>
      <c r="F63" s="72"/>
      <c r="G63" s="72"/>
      <c r="H63" s="72"/>
      <c r="I63" s="72"/>
      <c r="J63" s="72"/>
      <c r="K63" s="72"/>
      <c r="L63" s="72"/>
      <c r="M63" s="72"/>
    </row>
    <row r="64" spans="1:13" ht="18.600000000000001" thickTop="1"/>
    <row r="65" spans="1:13">
      <c r="B65" s="1" t="s">
        <v>95</v>
      </c>
    </row>
    <row r="66" spans="1:13" ht="40.950000000000003" customHeight="1">
      <c r="B66" t="s">
        <v>93</v>
      </c>
      <c r="C66" s="48" t="s">
        <v>94</v>
      </c>
      <c r="D66" s="45" t="s">
        <v>84</v>
      </c>
      <c r="E66" s="45" t="s">
        <v>85</v>
      </c>
      <c r="F66" s="8" t="s">
        <v>122</v>
      </c>
    </row>
    <row r="67" spans="1:13">
      <c r="A67">
        <v>1</v>
      </c>
      <c r="B67" s="13" t="str">
        <f>IF($B$5="","",$B$5)</f>
        <v>脳卒中予防</v>
      </c>
      <c r="C67" s="13">
        <f t="shared" ref="C67:C76" si="22">IF($F5="","",$F5)</f>
        <v>0.1</v>
      </c>
      <c r="D67" s="13">
        <f t="shared" ref="D67:D76" si="23">IF($C67="","",$C67-$AM5)</f>
        <v>6.8000000000000005E-2</v>
      </c>
      <c r="E67" s="13">
        <f t="shared" ref="E67:E76" si="24">IF($C67="","",$AN5-$C67)</f>
        <v>0.9</v>
      </c>
      <c r="F67" t="str">
        <f t="shared" ref="F67:F76" si="25">$AP5</f>
        <v>certain</v>
      </c>
    </row>
    <row r="68" spans="1:13">
      <c r="A68">
        <v>2</v>
      </c>
      <c r="B68" s="13" t="str">
        <f>IF($B$6="","",$B$6)</f>
        <v>心不全予防</v>
      </c>
      <c r="C68" s="13">
        <f t="shared" si="22"/>
        <v>-0.1</v>
      </c>
      <c r="D68" s="13">
        <f t="shared" si="23"/>
        <v>0.22666666666666671</v>
      </c>
      <c r="E68" s="13">
        <f t="shared" si="24"/>
        <v>1.1000000000000001</v>
      </c>
      <c r="F68" t="str">
        <f t="shared" si="25"/>
        <v>certain</v>
      </c>
    </row>
    <row r="69" spans="1:13">
      <c r="A69">
        <v>3</v>
      </c>
      <c r="B69" s="13" t="str">
        <f>IF($B$7="","",$B$7)</f>
        <v>めまい</v>
      </c>
      <c r="C69" s="13">
        <f t="shared" si="22"/>
        <v>0.02</v>
      </c>
      <c r="D69" s="13">
        <f t="shared" si="23"/>
        <v>1.02</v>
      </c>
      <c r="E69" s="13">
        <f t="shared" si="24"/>
        <v>0.13600000000000001</v>
      </c>
      <c r="F69" t="str">
        <f t="shared" si="25"/>
        <v>certain</v>
      </c>
    </row>
    <row r="70" spans="1:13">
      <c r="A70">
        <v>4</v>
      </c>
      <c r="B70" s="13" t="str">
        <f>IF($B$8="","",$B$8)</f>
        <v>頻尿</v>
      </c>
      <c r="C70" s="13">
        <f t="shared" si="22"/>
        <v>-0.01</v>
      </c>
      <c r="D70" s="13">
        <f t="shared" si="23"/>
        <v>0.99</v>
      </c>
      <c r="E70" s="13">
        <f t="shared" si="24"/>
        <v>0.34</v>
      </c>
      <c r="F70" t="str">
        <f t="shared" si="25"/>
        <v>certain</v>
      </c>
    </row>
    <row r="71" spans="1:13">
      <c r="A71">
        <v>5</v>
      </c>
      <c r="B71" s="13" t="str">
        <f>IF($B$9="","",$B$9)</f>
        <v>転倒</v>
      </c>
      <c r="C71" s="13">
        <f t="shared" si="22"/>
        <v>-0.02</v>
      </c>
      <c r="D71" s="13">
        <f t="shared" si="23"/>
        <v>0.98</v>
      </c>
      <c r="E71" s="13">
        <f t="shared" si="24"/>
        <v>0.22666666666666668</v>
      </c>
      <c r="F71" t="str">
        <f t="shared" si="25"/>
        <v>certain</v>
      </c>
    </row>
    <row r="72" spans="1:13">
      <c r="A72">
        <v>6</v>
      </c>
      <c r="B72" s="13" t="str">
        <f>IF($B$10="","",$B$10)</f>
        <v/>
      </c>
      <c r="C72" s="13" t="str">
        <f t="shared" si="22"/>
        <v/>
      </c>
      <c r="D72" s="13" t="str">
        <f t="shared" si="23"/>
        <v/>
      </c>
      <c r="E72" s="13" t="str">
        <f t="shared" si="24"/>
        <v/>
      </c>
      <c r="F72" t="str">
        <f t="shared" si="25"/>
        <v/>
      </c>
    </row>
    <row r="73" spans="1:13">
      <c r="A73">
        <v>7</v>
      </c>
      <c r="B73" s="13" t="str">
        <f>IF($B$11="","",$B$11)</f>
        <v/>
      </c>
      <c r="C73" s="13" t="str">
        <f t="shared" si="22"/>
        <v/>
      </c>
      <c r="D73" s="13" t="str">
        <f t="shared" si="23"/>
        <v/>
      </c>
      <c r="E73" s="13" t="str">
        <f t="shared" si="24"/>
        <v/>
      </c>
      <c r="F73" t="str">
        <f t="shared" si="25"/>
        <v/>
      </c>
    </row>
    <row r="74" spans="1:13">
      <c r="A74">
        <v>8</v>
      </c>
      <c r="B74" s="13" t="str">
        <f>IF($B$12="","",$B$12)</f>
        <v/>
      </c>
      <c r="C74" s="13" t="str">
        <f t="shared" si="22"/>
        <v/>
      </c>
      <c r="D74" s="13" t="str">
        <f t="shared" si="23"/>
        <v/>
      </c>
      <c r="E74" s="13" t="str">
        <f t="shared" si="24"/>
        <v/>
      </c>
      <c r="F74" t="str">
        <f t="shared" si="25"/>
        <v/>
      </c>
    </row>
    <row r="75" spans="1:13">
      <c r="A75">
        <v>9</v>
      </c>
      <c r="B75" s="13" t="str">
        <f>IF($B$13="","",$B$13)</f>
        <v/>
      </c>
      <c r="C75" s="13" t="str">
        <f t="shared" si="22"/>
        <v/>
      </c>
      <c r="D75" s="13" t="str">
        <f t="shared" si="23"/>
        <v/>
      </c>
      <c r="E75" s="13" t="str">
        <f t="shared" si="24"/>
        <v/>
      </c>
      <c r="F75" t="str">
        <f t="shared" si="25"/>
        <v/>
      </c>
    </row>
    <row r="76" spans="1:13">
      <c r="A76">
        <v>10</v>
      </c>
      <c r="B76" s="13" t="str">
        <f>IF($B$14="","",$B$14)</f>
        <v/>
      </c>
      <c r="C76" s="13" t="str">
        <f t="shared" si="22"/>
        <v/>
      </c>
      <c r="D76" s="13" t="str">
        <f t="shared" si="23"/>
        <v/>
      </c>
      <c r="E76" s="13" t="str">
        <f t="shared" si="24"/>
        <v/>
      </c>
      <c r="F76" t="str">
        <f t="shared" si="25"/>
        <v/>
      </c>
    </row>
    <row r="78" spans="1:13" ht="18.600000000000001" thickBot="1">
      <c r="A78" s="72"/>
      <c r="B78" s="72"/>
      <c r="C78" s="72"/>
      <c r="D78" s="72"/>
      <c r="E78" s="72"/>
      <c r="F78" s="72"/>
      <c r="G78" s="72"/>
      <c r="H78" s="72"/>
      <c r="I78" s="72"/>
      <c r="J78" s="72"/>
      <c r="K78" s="72"/>
      <c r="L78" s="72"/>
      <c r="M78" s="72"/>
    </row>
    <row r="79" spans="1:13" ht="18.600000000000001" thickTop="1"/>
    <row r="80" spans="1:13">
      <c r="B80" s="1" t="s">
        <v>96</v>
      </c>
    </row>
    <row r="81" spans="1:13">
      <c r="B81" t="s">
        <v>93</v>
      </c>
      <c r="C81" s="48" t="s">
        <v>123</v>
      </c>
      <c r="D81" s="45" t="s">
        <v>84</v>
      </c>
      <c r="E81" s="45" t="s">
        <v>85</v>
      </c>
    </row>
    <row r="82" spans="1:13">
      <c r="A82">
        <v>1</v>
      </c>
      <c r="B82" s="13" t="str">
        <f>IF($B$5="","",$B$5)</f>
        <v>脳卒中予防</v>
      </c>
      <c r="C82" s="13">
        <f t="shared" ref="C82:C91" si="26">IF($I5="","",$I5)</f>
        <v>100</v>
      </c>
      <c r="D82" s="13">
        <f t="shared" ref="D82:D91" si="27">IF($C82="","",$C82-$AS5)</f>
        <v>68</v>
      </c>
      <c r="E82" s="13">
        <f t="shared" ref="E82:E91" si="28">IF($C82="","",$AT5-$C82)</f>
        <v>0</v>
      </c>
    </row>
    <row r="83" spans="1:13">
      <c r="A83">
        <v>2</v>
      </c>
      <c r="B83" s="13" t="str">
        <f>IF($B$6="","",$B$6)</f>
        <v>心不全予防</v>
      </c>
      <c r="C83" s="13">
        <f t="shared" si="26"/>
        <v>30</v>
      </c>
      <c r="D83" s="13">
        <f t="shared" si="27"/>
        <v>30</v>
      </c>
      <c r="E83" s="13">
        <f t="shared" si="28"/>
        <v>68</v>
      </c>
    </row>
    <row r="84" spans="1:13">
      <c r="A84">
        <v>3</v>
      </c>
      <c r="B84" s="13" t="str">
        <f>IF($B$7="","",$B$7)</f>
        <v>めまい</v>
      </c>
      <c r="C84" s="13">
        <f t="shared" si="26"/>
        <v>50</v>
      </c>
      <c r="D84" s="13">
        <f t="shared" si="27"/>
        <v>50</v>
      </c>
      <c r="E84" s="13">
        <f t="shared" si="28"/>
        <v>50</v>
      </c>
    </row>
    <row r="85" spans="1:13">
      <c r="A85">
        <v>4</v>
      </c>
      <c r="B85" s="13" t="str">
        <f>IF($B$8="","",$B$8)</f>
        <v>頻尿</v>
      </c>
      <c r="C85" s="13">
        <f t="shared" si="26"/>
        <v>20</v>
      </c>
      <c r="D85" s="13">
        <f t="shared" si="27"/>
        <v>20</v>
      </c>
      <c r="E85" s="13">
        <f t="shared" si="28"/>
        <v>80</v>
      </c>
    </row>
    <row r="86" spans="1:13">
      <c r="A86">
        <v>5</v>
      </c>
      <c r="B86" s="13" t="str">
        <f>IF($B$9="","",$B$9)</f>
        <v>転倒</v>
      </c>
      <c r="C86" s="13">
        <f t="shared" si="26"/>
        <v>30</v>
      </c>
      <c r="D86" s="13">
        <f t="shared" si="27"/>
        <v>30</v>
      </c>
      <c r="E86" s="13">
        <f t="shared" si="28"/>
        <v>70</v>
      </c>
    </row>
    <row r="87" spans="1:13">
      <c r="A87">
        <v>6</v>
      </c>
      <c r="B87" s="13" t="str">
        <f>IF($B$10="","",$B$10)</f>
        <v/>
      </c>
      <c r="C87" s="13" t="str">
        <f t="shared" si="26"/>
        <v/>
      </c>
      <c r="D87" s="13" t="str">
        <f t="shared" si="27"/>
        <v/>
      </c>
      <c r="E87" s="13" t="str">
        <f t="shared" si="28"/>
        <v/>
      </c>
    </row>
    <row r="88" spans="1:13">
      <c r="A88">
        <v>7</v>
      </c>
      <c r="B88" s="13" t="str">
        <f>IF($B$11="","",$B$11)</f>
        <v/>
      </c>
      <c r="C88" s="13" t="str">
        <f t="shared" si="26"/>
        <v/>
      </c>
      <c r="D88" s="13" t="str">
        <f t="shared" si="27"/>
        <v/>
      </c>
      <c r="E88" s="13" t="str">
        <f t="shared" si="28"/>
        <v/>
      </c>
    </row>
    <row r="89" spans="1:13">
      <c r="A89">
        <v>8</v>
      </c>
      <c r="B89" s="13" t="str">
        <f>IF($B$12="","",$B$12)</f>
        <v/>
      </c>
      <c r="C89" s="13" t="str">
        <f t="shared" si="26"/>
        <v/>
      </c>
      <c r="D89" s="13" t="str">
        <f t="shared" si="27"/>
        <v/>
      </c>
      <c r="E89" s="13" t="str">
        <f t="shared" si="28"/>
        <v/>
      </c>
    </row>
    <row r="90" spans="1:13">
      <c r="A90">
        <v>9</v>
      </c>
      <c r="B90" s="13" t="str">
        <f>IF($B$13="","",$B$13)</f>
        <v/>
      </c>
      <c r="C90" s="13" t="str">
        <f t="shared" si="26"/>
        <v/>
      </c>
      <c r="D90" s="13" t="str">
        <f t="shared" si="27"/>
        <v/>
      </c>
      <c r="E90" s="13" t="str">
        <f t="shared" si="28"/>
        <v/>
      </c>
    </row>
    <row r="91" spans="1:13">
      <c r="A91">
        <v>10</v>
      </c>
      <c r="B91" s="13" t="str">
        <f>IF($B$14="","",$B$14)</f>
        <v/>
      </c>
      <c r="C91" s="13" t="str">
        <f t="shared" si="26"/>
        <v/>
      </c>
      <c r="D91" s="13" t="str">
        <f t="shared" si="27"/>
        <v/>
      </c>
      <c r="E91" s="13" t="str">
        <f t="shared" si="28"/>
        <v/>
      </c>
    </row>
    <row r="94" spans="1:13" ht="18.600000000000001" thickBot="1">
      <c r="A94" s="72"/>
      <c r="B94" s="72"/>
      <c r="C94" s="72"/>
      <c r="D94" s="72"/>
      <c r="E94" s="72"/>
      <c r="F94" s="72"/>
      <c r="G94" s="72"/>
      <c r="H94" s="72"/>
      <c r="I94" s="72"/>
      <c r="J94" s="72"/>
      <c r="K94" s="72"/>
      <c r="L94" s="72"/>
      <c r="M94" s="72"/>
    </row>
    <row r="95" spans="1:13" ht="18.600000000000001" thickTop="1"/>
  </sheetData>
  <phoneticPr fontId="3"/>
  <dataValidations count="2">
    <dataValidation type="list" allowBlank="1" showInputMessage="1" showErrorMessage="1" sqref="D5:D14" xr:uid="{DF7F4F84-518A-404B-BD36-6838F0823273}">
      <formula1>"有益事象,有害事象"</formula1>
    </dataValidation>
    <dataValidation type="list" allowBlank="1" showInputMessage="1" showErrorMessage="1" sqref="C5:C14" xr:uid="{718F2A6B-E589-4BCB-AD3E-A9529C645CE6}">
      <formula1>"益,害,負担,費用"</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9ABE1-1EDA-4338-8043-E6AAC579B9D8}">
  <dimension ref="A1:AU97"/>
  <sheetViews>
    <sheetView zoomScaleNormal="100" workbookViewId="0">
      <selection activeCell="B3" sqref="B3"/>
    </sheetView>
  </sheetViews>
  <sheetFormatPr defaultRowHeight="18"/>
  <cols>
    <col min="1" max="1" width="5.59765625" customWidth="1"/>
    <col min="2" max="2" width="16.5" customWidth="1"/>
    <col min="3" max="3" width="10.19921875" customWidth="1"/>
    <col min="4" max="4" width="11" customWidth="1"/>
    <col min="5" max="5" width="9.69921875" customWidth="1"/>
    <col min="6" max="6" width="12.296875" customWidth="1"/>
    <col min="7" max="7" width="10.09765625" customWidth="1"/>
    <col min="8" max="8" width="11.09765625" customWidth="1"/>
    <col min="9" max="10" width="10.796875" customWidth="1"/>
    <col min="11" max="11" width="16.796875" customWidth="1"/>
    <col min="12" max="12" width="15.3984375" customWidth="1"/>
    <col min="13" max="13" width="11.3984375" customWidth="1"/>
    <col min="14" max="14" width="10.69921875" customWidth="1"/>
    <col min="15" max="15" width="10.5" customWidth="1"/>
    <col min="23" max="23" width="3.3984375" customWidth="1"/>
    <col min="24" max="24" width="10.796875" customWidth="1"/>
    <col min="25" max="25" width="12.69921875" customWidth="1"/>
    <col min="35" max="35" width="13.19921875" customWidth="1"/>
    <col min="36" max="36" width="11.3984375" customWidth="1"/>
    <col min="37" max="37" width="5.8984375" customWidth="1"/>
    <col min="38" max="38" width="12.8984375" bestFit="1" customWidth="1"/>
    <col min="41" max="41" width="8.19921875" customWidth="1"/>
    <col min="42" max="42" width="8" customWidth="1"/>
    <col min="43" max="43" width="4.19921875" customWidth="1"/>
    <col min="47" max="47" width="6" customWidth="1"/>
    <col min="48" max="48" width="7.19921875" customWidth="1"/>
  </cols>
  <sheetData>
    <row r="1" spans="1:47">
      <c r="A1" s="1" t="s">
        <v>56</v>
      </c>
      <c r="H1" t="s">
        <v>57</v>
      </c>
      <c r="J1" s="2"/>
    </row>
    <row r="2" spans="1:47" ht="19.8">
      <c r="H2" t="s">
        <v>58</v>
      </c>
      <c r="M2" t="s">
        <v>59</v>
      </c>
      <c r="Y2" t="s">
        <v>60</v>
      </c>
    </row>
    <row r="3" spans="1:47">
      <c r="B3" s="75" t="s">
        <v>155</v>
      </c>
      <c r="AL3" t="s">
        <v>82</v>
      </c>
      <c r="AR3" t="s">
        <v>80</v>
      </c>
    </row>
    <row r="4" spans="1:47" ht="74.400000000000006">
      <c r="A4" t="s">
        <v>6</v>
      </c>
      <c r="B4" s="3" t="s">
        <v>7</v>
      </c>
      <c r="C4" s="4" t="s">
        <v>8</v>
      </c>
      <c r="D4" s="4" t="s">
        <v>9</v>
      </c>
      <c r="E4" s="3" t="s">
        <v>13</v>
      </c>
      <c r="F4" s="4" t="s">
        <v>132</v>
      </c>
      <c r="G4" s="4" t="s">
        <v>14</v>
      </c>
      <c r="H4" s="76" t="s">
        <v>15</v>
      </c>
      <c r="I4" s="4" t="s">
        <v>127</v>
      </c>
      <c r="J4" s="4" t="s">
        <v>136</v>
      </c>
      <c r="K4" s="4" t="s">
        <v>134</v>
      </c>
      <c r="L4" s="77" t="s">
        <v>16</v>
      </c>
      <c r="M4" s="13" t="str">
        <f>IF($B5="","",$B5)</f>
        <v>脳卒中予防</v>
      </c>
      <c r="N4" s="13" t="str">
        <f>IF($B6="","",$B6)</f>
        <v>心不全予防</v>
      </c>
      <c r="O4" s="13" t="str">
        <f>IF($B7="","",$B7)</f>
        <v>めまい</v>
      </c>
      <c r="P4" s="13" t="str">
        <f>IF($B8="","",$B8)</f>
        <v>頻尿</v>
      </c>
      <c r="Q4" s="13" t="str">
        <f>IF($B9="","",$B9)</f>
        <v>転倒</v>
      </c>
      <c r="R4" s="13" t="str">
        <f>IF($B10="","",$B10)</f>
        <v/>
      </c>
      <c r="S4" s="13" t="str">
        <f>IF($B11="","",$B11)</f>
        <v/>
      </c>
      <c r="T4" s="13" t="str">
        <f>IF($B12="","",$B12)</f>
        <v/>
      </c>
      <c r="U4" s="13" t="str">
        <f>IF($B13="","",$B13)</f>
        <v/>
      </c>
      <c r="V4" s="13" t="str">
        <f>IF($B14="","",$B14)</f>
        <v/>
      </c>
      <c r="X4" s="8" t="s">
        <v>61</v>
      </c>
      <c r="AL4" t="s">
        <v>76</v>
      </c>
      <c r="AM4" s="8" t="s">
        <v>78</v>
      </c>
      <c r="AN4" s="8" t="s">
        <v>77</v>
      </c>
      <c r="AO4" t="s">
        <v>79</v>
      </c>
      <c r="AP4" s="8" t="s">
        <v>120</v>
      </c>
      <c r="AR4" t="s">
        <v>76</v>
      </c>
      <c r="AS4" s="8" t="s">
        <v>78</v>
      </c>
      <c r="AT4" s="8" t="s">
        <v>77</v>
      </c>
      <c r="AU4" t="s">
        <v>81</v>
      </c>
    </row>
    <row r="5" spans="1:47">
      <c r="A5">
        <v>1</v>
      </c>
      <c r="B5" s="28" t="s">
        <v>62</v>
      </c>
      <c r="C5" s="9" t="s">
        <v>20</v>
      </c>
      <c r="D5" s="9" t="s">
        <v>21</v>
      </c>
      <c r="E5" s="17">
        <f>IF(D5="","",IF(D5="有益事象",1,-1))</f>
        <v>1</v>
      </c>
      <c r="F5" s="28">
        <v>0.1</v>
      </c>
      <c r="G5" s="29">
        <v>0.05</v>
      </c>
      <c r="H5" s="29">
        <v>0.15</v>
      </c>
      <c r="I5" s="12">
        <v>100</v>
      </c>
      <c r="J5" s="31">
        <f>IF(I5&lt;&gt;"",I5/$I$15,"")</f>
        <v>0.43478260869565216</v>
      </c>
      <c r="K5" s="31">
        <f>IF(I5&lt;&gt;"",E5*J5*F5,"")</f>
        <v>4.3478260869565216E-2</v>
      </c>
      <c r="L5" s="11" t="str">
        <f>IF(B5="","",B5)</f>
        <v>脳卒中予防</v>
      </c>
      <c r="M5" s="31">
        <f>IF($F5="",0,IF($G5="",0,POWER(($F5-$G5)/1.96,2)))</f>
        <v>6.5077051228654734E-4</v>
      </c>
      <c r="N5" s="31">
        <f>IF(N18="",0,IF(F5=0,0,N18*(F5-G5)*(F6-G6)/1.96/1.96))</f>
        <v>4.6855476884631402E-4</v>
      </c>
      <c r="O5" s="31">
        <f>IF(O18="",0,IF(F5=0,0,O18*(F5-G5)*(F7-G7)/1.96/1.96))</f>
        <v>0</v>
      </c>
      <c r="P5" s="31">
        <f>IF(P18="",0,IF(F5=0,0,P18*(F5-G5)*(F7-G7)/1.96/1.96))</f>
        <v>0</v>
      </c>
      <c r="Q5" s="31">
        <f>IF(Q18="",0,IF(F5=0,0,Q18*(F5-G5)*(F8-G8)/1.96/1.96))</f>
        <v>0</v>
      </c>
      <c r="R5" s="31">
        <f>IF(R18="",0,IF(F5=0,0,R18*(F5-G5)*(F9-G9)/1.96/1.96))</f>
        <v>0</v>
      </c>
      <c r="S5" s="31">
        <f>IF(S18="",0,IF(F5=0,0,S18*(F5-G5)*(F10-G10)/1.96/1.96))</f>
        <v>0</v>
      </c>
      <c r="T5" s="31">
        <f>IF(T18="",0,IF(F5=0,0,T18*(F5-G5)*(F11-G11)/1.96/1.96))</f>
        <v>0</v>
      </c>
      <c r="U5" s="31">
        <f>IF(U18="",0,IF(F5=0,0,U18*(F5-G5)*(F12-G12)/1.96/1.96))</f>
        <v>0</v>
      </c>
      <c r="V5" s="31">
        <f>IF(V18="",0,IF(F5=0,0,V18*(F5-G5)*(F13-G13)/1.96/1.96))</f>
        <v>0</v>
      </c>
      <c r="X5" s="17">
        <f>IF($J5="",0,$J5)</f>
        <v>0.43478260869565216</v>
      </c>
      <c r="Y5" s="31">
        <f>M5*$X5</f>
        <v>2.8294370099415098E-4</v>
      </c>
      <c r="Z5" s="31">
        <f t="shared" ref="Z5:AH14" si="0">N5*$X5</f>
        <v>2.0371946471578871E-4</v>
      </c>
      <c r="AA5" s="31">
        <f t="shared" si="0"/>
        <v>0</v>
      </c>
      <c r="AB5" s="31">
        <f t="shared" si="0"/>
        <v>0</v>
      </c>
      <c r="AC5" s="31">
        <f t="shared" si="0"/>
        <v>0</v>
      </c>
      <c r="AD5" s="31">
        <f t="shared" si="0"/>
        <v>0</v>
      </c>
      <c r="AE5" s="31">
        <f t="shared" si="0"/>
        <v>0</v>
      </c>
      <c r="AF5" s="31">
        <f t="shared" si="0"/>
        <v>0</v>
      </c>
      <c r="AG5" s="31">
        <f t="shared" si="0"/>
        <v>0</v>
      </c>
      <c r="AH5" s="31">
        <f t="shared" si="0"/>
        <v>0</v>
      </c>
      <c r="AJ5" s="17" cm="1">
        <f t="array" ref="AJ5:AJ14">MMULT(Y5:AH14,X5:X14)</f>
        <v>1.4959110452560331E-4</v>
      </c>
      <c r="AL5" s="17">
        <f>IF(K5="","",-1*($K$15-K5)*E5/J5)</f>
        <v>3.2000000000000001E-2</v>
      </c>
      <c r="AM5" s="17">
        <f>IF(AL5="","",IF(K5&gt;AL5,AL5,-1))</f>
        <v>3.2000000000000001E-2</v>
      </c>
      <c r="AN5" s="17">
        <f>IF(AL5="","",IF(K5&gt;AL5,1,AL5))</f>
        <v>1</v>
      </c>
      <c r="AO5">
        <f>IF(F5="","",F5)</f>
        <v>0.1</v>
      </c>
      <c r="AP5" t="str">
        <f>IF(AM5="","",IF(AND(G5&gt;AM5,H5&lt;AN5),"certain","uncertain"))</f>
        <v>certain</v>
      </c>
      <c r="AR5" s="17">
        <f>IF(K5="","",-$I$15*($K$15-K5)*E5/F5)</f>
        <v>31.999999999999996</v>
      </c>
      <c r="AS5" s="17">
        <f>IF(AR5="","",IF(AR5&lt;I5,IF(AR5&lt;0,0,AR5),0))</f>
        <v>31.999999999999996</v>
      </c>
      <c r="AT5" s="17">
        <f>IF(AR5="","",IF(AR5&lt;I5,100,IF(AR5&gt;100,100,AR5)))</f>
        <v>100</v>
      </c>
      <c r="AU5">
        <f>IF(I5="","",I5)</f>
        <v>100</v>
      </c>
    </row>
    <row r="6" spans="1:47">
      <c r="A6">
        <v>2</v>
      </c>
      <c r="B6" s="12" t="s">
        <v>63</v>
      </c>
      <c r="C6" s="9" t="s">
        <v>20</v>
      </c>
      <c r="D6" s="14" t="s">
        <v>21</v>
      </c>
      <c r="E6" s="17">
        <f t="shared" ref="E6:E14" si="1">IF(D6="","",IF(D6="有益事象",1,-1))</f>
        <v>1</v>
      </c>
      <c r="F6" s="12">
        <v>-0.1</v>
      </c>
      <c r="G6" s="30">
        <v>-0.16</v>
      </c>
      <c r="H6" s="30">
        <v>-0.04</v>
      </c>
      <c r="I6" s="12">
        <v>30</v>
      </c>
      <c r="J6" s="31">
        <f t="shared" ref="J6:J14" si="2">IF(I6&lt;&gt;"",I6/$I$15,"")</f>
        <v>0.13043478260869565</v>
      </c>
      <c r="K6" s="31">
        <f t="shared" ref="K6:K14" si="3">IF(I6&lt;&gt;"",E6*J6*F6,"")</f>
        <v>-1.3043478260869566E-2</v>
      </c>
      <c r="L6" s="11" t="str">
        <f t="shared" ref="L6:L14" si="4">IF(B6="","",B6)</f>
        <v>心不全予防</v>
      </c>
      <c r="M6" s="31">
        <f>N$5</f>
        <v>4.6855476884631402E-4</v>
      </c>
      <c r="N6" s="31">
        <f>IF($F6="",0,IF($G6="",0,POWER(($F6-$G6)/1.96,2)))</f>
        <v>9.3710953769262804E-4</v>
      </c>
      <c r="O6" s="31">
        <f>IF(O19="",0,IF(F6=0,0,O19*(F6-G6)*(F7-G7)/1.96/1.96))</f>
        <v>0</v>
      </c>
      <c r="P6" s="31">
        <f>IF(P19="",0,IF(F6=0,0,P19*(F6-G6)*(F8-G8)/1.96/1.96))</f>
        <v>0</v>
      </c>
      <c r="Q6" s="31">
        <f>IF(Q19="",0,IF(F6=0,0,Q19*(F6-G6)*(F9-G9)/1.96/1.96))</f>
        <v>0</v>
      </c>
      <c r="R6" s="31">
        <f>IF(R19="",0,IF(F6=0,0,R19*(F6-G6)*(F10-G10)/1.96/1.96))</f>
        <v>0</v>
      </c>
      <c r="S6" s="31">
        <f>IF(S19="",0,IF(F6=0,0,S19*(F6-G6)*(F11-G11)/1.96/1.96))</f>
        <v>0</v>
      </c>
      <c r="T6" s="31">
        <f>IF(T19="",0,IF(F6=0,0,T19*(F6-G6)*(F12-G12)/1.96/1.96))</f>
        <v>0</v>
      </c>
      <c r="U6" s="31">
        <f>IF(U19="",0,IF(F6=0,0,U19*(F6-G6)*(F13-G13)/1.96/1.96))</f>
        <v>0</v>
      </c>
      <c r="V6" s="31">
        <f>IF(V19="",0,IF(F6=0,0,V19*(F6-G6)*(F14-G14)/1.96/1.96))</f>
        <v>0</v>
      </c>
      <c r="X6" s="17">
        <f t="shared" ref="X6:X14" si="5">IF($J6="",0,$J6)</f>
        <v>0.13043478260869565</v>
      </c>
      <c r="Y6" s="31">
        <f t="shared" ref="Y6:Y14" si="6">M6*$X6</f>
        <v>6.1115839414736613E-5</v>
      </c>
      <c r="Z6" s="31">
        <f t="shared" si="0"/>
        <v>1.2223167882947323E-4</v>
      </c>
      <c r="AA6" s="31">
        <f t="shared" si="0"/>
        <v>0</v>
      </c>
      <c r="AB6" s="31">
        <f t="shared" si="0"/>
        <v>0</v>
      </c>
      <c r="AC6" s="31">
        <f t="shared" si="0"/>
        <v>0</v>
      </c>
      <c r="AD6" s="31">
        <f t="shared" si="0"/>
        <v>0</v>
      </c>
      <c r="AE6" s="31">
        <f t="shared" si="0"/>
        <v>0</v>
      </c>
      <c r="AF6" s="31">
        <f t="shared" si="0"/>
        <v>0</v>
      </c>
      <c r="AG6" s="31">
        <f t="shared" si="0"/>
        <v>0</v>
      </c>
      <c r="AH6" s="31">
        <f t="shared" si="0"/>
        <v>0</v>
      </c>
      <c r="AJ6" s="17">
        <v>4.2515366549381988E-5</v>
      </c>
      <c r="AL6" s="17">
        <f t="shared" ref="AL6:AL14" si="7">IF(K6="","",-1*($K$15-K6)*E6/J6)</f>
        <v>-0.32666666666666666</v>
      </c>
      <c r="AM6" s="17">
        <f t="shared" ref="AM6:AM14" si="8">IF(AL6="","",IF(K6&gt;AL6,AL6,-1))</f>
        <v>-0.32666666666666666</v>
      </c>
      <c r="AN6" s="17">
        <f t="shared" ref="AN6:AN14" si="9">IF(AL6="","",IF(K6&gt;AL6,1,AL6))</f>
        <v>1</v>
      </c>
      <c r="AO6">
        <f t="shared" ref="AO6:AO14" si="10">IF(F6="","",F6)</f>
        <v>-0.1</v>
      </c>
      <c r="AP6" t="str">
        <f t="shared" ref="AP6:AP14" si="11">IF(AM6="","",IF(AND(G6&gt;AM6,H6&lt;AN6),"certain","uncertain"))</f>
        <v>certain</v>
      </c>
      <c r="AR6" s="17">
        <f t="shared" ref="AR6:AR14" si="12">IF(K6="","",-$I$15*($K$15-K6)*E6/F6)</f>
        <v>98</v>
      </c>
      <c r="AS6" s="17">
        <f t="shared" ref="AS6:AS14" si="13">IF(AR6="","",IF(AR6&lt;I6,IF(AR6&lt;0,0,AR6),0))</f>
        <v>0</v>
      </c>
      <c r="AT6" s="17">
        <f t="shared" ref="AT6:AT14" si="14">IF(AR6="","",IF(AR6&lt;I6,100,IF(AR6&gt;100,100,AR6)))</f>
        <v>98</v>
      </c>
      <c r="AU6">
        <f t="shared" ref="AU6:AU14" si="15">IF(I6="","",I6)</f>
        <v>30</v>
      </c>
    </row>
    <row r="7" spans="1:47">
      <c r="A7">
        <v>3</v>
      </c>
      <c r="B7" s="12" t="s">
        <v>64</v>
      </c>
      <c r="C7" s="9" t="s">
        <v>24</v>
      </c>
      <c r="D7" s="14" t="s">
        <v>25</v>
      </c>
      <c r="E7" s="17">
        <f t="shared" si="1"/>
        <v>-1</v>
      </c>
      <c r="F7" s="12">
        <v>0.02</v>
      </c>
      <c r="G7" s="30">
        <v>1.0999999999999999E-2</v>
      </c>
      <c r="H7" s="30">
        <v>2.9000000000000001E-2</v>
      </c>
      <c r="I7" s="12">
        <v>50</v>
      </c>
      <c r="J7" s="31">
        <f t="shared" si="2"/>
        <v>0.21739130434782608</v>
      </c>
      <c r="K7" s="31">
        <f t="shared" si="3"/>
        <v>-4.3478260869565218E-3</v>
      </c>
      <c r="L7" s="11" t="str">
        <f t="shared" si="4"/>
        <v>めまい</v>
      </c>
      <c r="M7" s="31">
        <f>O$5</f>
        <v>0</v>
      </c>
      <c r="N7" s="31">
        <f>O$6</f>
        <v>0</v>
      </c>
      <c r="O7" s="31">
        <f>IF($F7="",0,IF($G7="",0,POWER(($F7-$G7)/1.96,2)))</f>
        <v>2.1084964598084137E-5</v>
      </c>
      <c r="P7" s="31">
        <f>IF(P20="",0,IF(F7=0,0,P20*(F7-G7)*(F8-G8)/1.96/1.96))</f>
        <v>0</v>
      </c>
      <c r="Q7" s="31">
        <f>IF(Q20="",0,IF(F7=0,0,Q20*(F7-G7)*(F9-G9)/1.96/1.96))</f>
        <v>3.7484381507705122E-5</v>
      </c>
      <c r="R7" s="31">
        <f>IF(R20="",0,IF(F7=0,0,R20*(F7-G7)*(F10-G10)/1.96/1.96))</f>
        <v>0</v>
      </c>
      <c r="S7" s="31">
        <f>IF(S20="",0,IF(F7=0,0,S20*(F7-G7)*(F11-G11)/1.96/1.96))</f>
        <v>0</v>
      </c>
      <c r="T7" s="31">
        <f>IF(T20="",0,IF(F7=0,0,T20*(F7-G7)*(F12-G12)/1.96/1.96))</f>
        <v>0</v>
      </c>
      <c r="U7" s="31">
        <f>IF(U20="",0,IF(F7=0,0,U20*(F7-G7)*(F13-G13)/1.96/1.96))</f>
        <v>0</v>
      </c>
      <c r="V7" s="31">
        <f>IF(V20="",0,IF(F7=0,0,V20*(F7-G7)*(F14-G14)/1.96/1.96))</f>
        <v>0</v>
      </c>
      <c r="X7" s="17">
        <f t="shared" si="5"/>
        <v>0.21739130434782608</v>
      </c>
      <c r="Y7" s="31">
        <f t="shared" si="6"/>
        <v>0</v>
      </c>
      <c r="Z7" s="31">
        <f t="shared" si="0"/>
        <v>0</v>
      </c>
      <c r="AA7" s="31">
        <f t="shared" si="0"/>
        <v>4.583687956105247E-6</v>
      </c>
      <c r="AB7" s="31">
        <f t="shared" si="0"/>
        <v>0</v>
      </c>
      <c r="AC7" s="31">
        <f t="shared" si="0"/>
        <v>8.1487785886315474E-6</v>
      </c>
      <c r="AD7" s="31">
        <f t="shared" si="0"/>
        <v>0</v>
      </c>
      <c r="AE7" s="31">
        <f t="shared" si="0"/>
        <v>0</v>
      </c>
      <c r="AF7" s="31">
        <f t="shared" si="0"/>
        <v>0</v>
      </c>
      <c r="AG7" s="31">
        <f t="shared" si="0"/>
        <v>0</v>
      </c>
      <c r="AH7" s="31">
        <f t="shared" si="0"/>
        <v>0</v>
      </c>
      <c r="AJ7" s="17">
        <v>2.0593380672356904E-6</v>
      </c>
      <c r="AL7" s="17">
        <f t="shared" si="7"/>
        <v>0.15600000000000003</v>
      </c>
      <c r="AM7" s="17">
        <f t="shared" si="8"/>
        <v>-1</v>
      </c>
      <c r="AN7" s="17">
        <f t="shared" si="9"/>
        <v>0.15600000000000003</v>
      </c>
      <c r="AO7">
        <f t="shared" si="10"/>
        <v>0.02</v>
      </c>
      <c r="AP7" t="str">
        <f t="shared" si="11"/>
        <v>certain</v>
      </c>
      <c r="AR7" s="17">
        <f t="shared" si="12"/>
        <v>390</v>
      </c>
      <c r="AS7" s="17">
        <f t="shared" si="13"/>
        <v>0</v>
      </c>
      <c r="AT7" s="17">
        <f t="shared" si="14"/>
        <v>100</v>
      </c>
      <c r="AU7">
        <f t="shared" si="15"/>
        <v>50</v>
      </c>
    </row>
    <row r="8" spans="1:47">
      <c r="A8">
        <v>4</v>
      </c>
      <c r="B8" s="12" t="s">
        <v>65</v>
      </c>
      <c r="C8" s="9" t="s">
        <v>24</v>
      </c>
      <c r="D8" s="14" t="s">
        <v>25</v>
      </c>
      <c r="E8" s="17">
        <f t="shared" si="1"/>
        <v>-1</v>
      </c>
      <c r="F8" s="12">
        <v>-0.01</v>
      </c>
      <c r="G8" s="30">
        <v>-0.03</v>
      </c>
      <c r="H8" s="30">
        <v>0.01</v>
      </c>
      <c r="I8" s="12">
        <v>20</v>
      </c>
      <c r="J8" s="31">
        <f t="shared" si="2"/>
        <v>8.6956521739130432E-2</v>
      </c>
      <c r="K8" s="31">
        <f t="shared" si="3"/>
        <v>8.6956521739130438E-4</v>
      </c>
      <c r="L8" s="11" t="str">
        <f t="shared" si="4"/>
        <v>頻尿</v>
      </c>
      <c r="M8" s="31">
        <f>P$5</f>
        <v>0</v>
      </c>
      <c r="N8" s="31">
        <f>P$6</f>
        <v>0</v>
      </c>
      <c r="O8" s="31">
        <f>P$7</f>
        <v>0</v>
      </c>
      <c r="P8" s="31">
        <f>IF($F8="",0,IF($G8="",0,POWER(($F8-$G8)/1.96,2)))</f>
        <v>1.0412328196584754E-4</v>
      </c>
      <c r="Q8" s="31">
        <f>IF(Q21="",0,IF(F8=0,0,Q21*(F8-G8)*(F9-G9)/1.96/1.96))</f>
        <v>0</v>
      </c>
      <c r="R8" s="31">
        <f>IF(R21="",0,IF(F8=0,0,R21*(F8-G8)*(F10-G10)/1.96/1.96))</f>
        <v>0</v>
      </c>
      <c r="S8" s="31">
        <f>IF(S21="",0,IF(F8=0,0,S21*(F8-G8)*(F11-G11)/1.96/1.96))</f>
        <v>0</v>
      </c>
      <c r="T8" s="31">
        <f>IF(T21="",0,IF(F8=0,0,T21*(F8-G8)*(F12-G12)/1.96/1.96))</f>
        <v>0</v>
      </c>
      <c r="U8" s="31">
        <f>IF(U21="",0,IF(F8=0,0,U21*(F8-G8)*(F13-G13)/1.96/1.96))</f>
        <v>0</v>
      </c>
      <c r="V8" s="31">
        <f>IF(V21="",0,IF(F8=0,0,V21*(F8-G8)*(F14-G14)/1.96/1.96))</f>
        <v>0</v>
      </c>
      <c r="X8" s="17">
        <f t="shared" si="5"/>
        <v>8.6956521739130432E-2</v>
      </c>
      <c r="Y8" s="31">
        <f t="shared" si="6"/>
        <v>0</v>
      </c>
      <c r="Z8" s="31">
        <f t="shared" si="0"/>
        <v>0</v>
      </c>
      <c r="AA8" s="31">
        <f t="shared" si="0"/>
        <v>0</v>
      </c>
      <c r="AB8" s="31">
        <f t="shared" si="0"/>
        <v>9.0541984318128293E-6</v>
      </c>
      <c r="AC8" s="31">
        <f t="shared" si="0"/>
        <v>0</v>
      </c>
      <c r="AD8" s="31">
        <f t="shared" si="0"/>
        <v>0</v>
      </c>
      <c r="AE8" s="31">
        <f t="shared" si="0"/>
        <v>0</v>
      </c>
      <c r="AF8" s="31">
        <f t="shared" si="0"/>
        <v>0</v>
      </c>
      <c r="AG8" s="31">
        <f t="shared" si="0"/>
        <v>0</v>
      </c>
      <c r="AH8" s="31">
        <f t="shared" si="0"/>
        <v>0</v>
      </c>
      <c r="AJ8" s="17">
        <v>7.8732160276633292E-7</v>
      </c>
      <c r="AL8" s="17">
        <f t="shared" si="7"/>
        <v>0.33</v>
      </c>
      <c r="AM8" s="17">
        <f t="shared" si="8"/>
        <v>-1</v>
      </c>
      <c r="AN8" s="17">
        <f t="shared" si="9"/>
        <v>0.33</v>
      </c>
      <c r="AO8">
        <f t="shared" si="10"/>
        <v>-0.01</v>
      </c>
      <c r="AP8" t="str">
        <f t="shared" si="11"/>
        <v>certain</v>
      </c>
      <c r="AR8" s="17">
        <f t="shared" si="12"/>
        <v>-660</v>
      </c>
      <c r="AS8" s="17">
        <f t="shared" si="13"/>
        <v>0</v>
      </c>
      <c r="AT8" s="17">
        <f t="shared" si="14"/>
        <v>100</v>
      </c>
      <c r="AU8">
        <f t="shared" si="15"/>
        <v>20</v>
      </c>
    </row>
    <row r="9" spans="1:47">
      <c r="A9">
        <v>5</v>
      </c>
      <c r="B9" s="12" t="s">
        <v>92</v>
      </c>
      <c r="C9" s="9" t="s">
        <v>24</v>
      </c>
      <c r="D9" s="14" t="s">
        <v>25</v>
      </c>
      <c r="E9" s="17">
        <f t="shared" si="1"/>
        <v>-1</v>
      </c>
      <c r="F9" s="12">
        <v>-0.02</v>
      </c>
      <c r="G9" s="30">
        <v>-0.06</v>
      </c>
      <c r="H9" s="30">
        <v>0.02</v>
      </c>
      <c r="I9" s="12">
        <v>30</v>
      </c>
      <c r="J9" s="31">
        <f t="shared" si="2"/>
        <v>0.13043478260869565</v>
      </c>
      <c r="K9" s="31">
        <f t="shared" si="3"/>
        <v>2.6086956521739128E-3</v>
      </c>
      <c r="L9" s="11" t="str">
        <f t="shared" si="4"/>
        <v>転倒</v>
      </c>
      <c r="M9" s="31">
        <f>Q$5</f>
        <v>0</v>
      </c>
      <c r="N9" s="31">
        <f>Q$6</f>
        <v>0</v>
      </c>
      <c r="O9" s="31">
        <f>Q$7</f>
        <v>3.7484381507705122E-5</v>
      </c>
      <c r="P9" s="31">
        <f>Q$8</f>
        <v>0</v>
      </c>
      <c r="Q9" s="31">
        <f>IF($F9="",0,IF($G9="",0,POWER(($F9-$G9)/1.96,2)))</f>
        <v>4.1649312786339016E-4</v>
      </c>
      <c r="R9" s="31">
        <f>IF(R22="",0,IF(F9=0,0,R22*(F9-G9)*(F10-G10)/1.96/1.96))</f>
        <v>0</v>
      </c>
      <c r="S9" s="31">
        <f>IF(S22="",0,IF(F9=0,0,S22*(F9-G9)*(F11-G11)/1.96/1.96))</f>
        <v>0</v>
      </c>
      <c r="T9" s="31">
        <f>IF(T22="",0,IF(F9=0,0,T22*(F9-G9)*(F12-G12)/1.96/1.96))</f>
        <v>0</v>
      </c>
      <c r="U9" s="31">
        <f>IF(U22="",0,IF(F9=0,0,U22*(F9-G9)*(F13-G13)/1.96/1.96))</f>
        <v>0</v>
      </c>
      <c r="V9" s="31">
        <f>IF(V22="",0,IF(F9=0,0,V22*(F9-G9)*(F14-G14)/1.96/1.96))</f>
        <v>0</v>
      </c>
      <c r="X9" s="17">
        <f t="shared" si="5"/>
        <v>0.13043478260869565</v>
      </c>
      <c r="Y9" s="31">
        <f t="shared" si="6"/>
        <v>0</v>
      </c>
      <c r="Z9" s="31">
        <f t="shared" si="0"/>
        <v>0</v>
      </c>
      <c r="AA9" s="31">
        <f t="shared" si="0"/>
        <v>4.8892671531789286E-6</v>
      </c>
      <c r="AB9" s="31">
        <f t="shared" si="0"/>
        <v>0</v>
      </c>
      <c r="AC9" s="31">
        <f t="shared" si="0"/>
        <v>5.4325190590876976E-5</v>
      </c>
      <c r="AD9" s="31">
        <f t="shared" si="0"/>
        <v>0</v>
      </c>
      <c r="AE9" s="31">
        <f t="shared" si="0"/>
        <v>0</v>
      </c>
      <c r="AF9" s="31">
        <f t="shared" si="0"/>
        <v>0</v>
      </c>
      <c r="AG9" s="31">
        <f t="shared" si="0"/>
        <v>0</v>
      </c>
      <c r="AH9" s="31">
        <f t="shared" si="0"/>
        <v>0</v>
      </c>
      <c r="AJ9" s="17">
        <v>8.1487785886315457E-6</v>
      </c>
      <c r="AL9" s="17">
        <f t="shared" si="7"/>
        <v>0.20666666666666667</v>
      </c>
      <c r="AM9" s="17">
        <f t="shared" si="8"/>
        <v>-1</v>
      </c>
      <c r="AN9" s="17">
        <f t="shared" si="9"/>
        <v>0.20666666666666667</v>
      </c>
      <c r="AO9">
        <f t="shared" si="10"/>
        <v>-0.02</v>
      </c>
      <c r="AP9" t="str">
        <f t="shared" si="11"/>
        <v>certain</v>
      </c>
      <c r="AR9" s="17">
        <f t="shared" si="12"/>
        <v>-310</v>
      </c>
      <c r="AS9" s="17">
        <f t="shared" si="13"/>
        <v>0</v>
      </c>
      <c r="AT9" s="17">
        <f t="shared" si="14"/>
        <v>100</v>
      </c>
      <c r="AU9">
        <f t="shared" si="15"/>
        <v>30</v>
      </c>
    </row>
    <row r="10" spans="1:47">
      <c r="A10">
        <v>6</v>
      </c>
      <c r="B10" s="12"/>
      <c r="C10" s="9"/>
      <c r="D10" s="14"/>
      <c r="E10" s="17" t="str">
        <f t="shared" si="1"/>
        <v/>
      </c>
      <c r="F10" s="12"/>
      <c r="G10" s="30"/>
      <c r="H10" s="30"/>
      <c r="I10" s="12"/>
      <c r="J10" s="31" t="str">
        <f t="shared" si="2"/>
        <v/>
      </c>
      <c r="K10" s="31" t="str">
        <f t="shared" si="3"/>
        <v/>
      </c>
      <c r="L10" s="11" t="str">
        <f t="shared" si="4"/>
        <v/>
      </c>
      <c r="M10" s="31">
        <f>R$5</f>
        <v>0</v>
      </c>
      <c r="N10" s="31">
        <f>R$6</f>
        <v>0</v>
      </c>
      <c r="O10" s="31">
        <f>R$7</f>
        <v>0</v>
      </c>
      <c r="P10" s="31">
        <f>R$8</f>
        <v>0</v>
      </c>
      <c r="Q10" s="31">
        <f>R$9</f>
        <v>0</v>
      </c>
      <c r="R10" s="31">
        <f>IF($F10="",0,IF($G10="",0,POWER(($F10-$G10)/1.96,2)))</f>
        <v>0</v>
      </c>
      <c r="S10" s="31">
        <f>IF(S23="",0,IF(F10=0,0,S23*(F10-G10)*(F11-G11)/1.96/1.96))</f>
        <v>0</v>
      </c>
      <c r="T10" s="31">
        <f>IF(T23="",0,IF(F10=0,0,T23*(F10-G10)*(F12-G12)/1.96/1.96))</f>
        <v>0</v>
      </c>
      <c r="U10" s="31">
        <f>IF(U23="",0,IF(F10=0,0,U23*(F10-G10)*(F13-G13)/1.96/1.96))</f>
        <v>0</v>
      </c>
      <c r="V10" s="31">
        <f>IF(V23="",0,IF(F10=0,0,V23*(F10-G10)*(F14-G14)/1.96/1.96))</f>
        <v>0</v>
      </c>
      <c r="X10" s="17">
        <f t="shared" si="5"/>
        <v>0</v>
      </c>
      <c r="Y10" s="31">
        <f t="shared" si="6"/>
        <v>0</v>
      </c>
      <c r="Z10" s="31">
        <f t="shared" si="0"/>
        <v>0</v>
      </c>
      <c r="AA10" s="31">
        <f t="shared" si="0"/>
        <v>0</v>
      </c>
      <c r="AB10" s="31">
        <f t="shared" si="0"/>
        <v>0</v>
      </c>
      <c r="AC10" s="31">
        <f t="shared" si="0"/>
        <v>0</v>
      </c>
      <c r="AD10" s="31">
        <f t="shared" si="0"/>
        <v>0</v>
      </c>
      <c r="AE10" s="31">
        <f t="shared" si="0"/>
        <v>0</v>
      </c>
      <c r="AF10" s="31">
        <f t="shared" si="0"/>
        <v>0</v>
      </c>
      <c r="AG10" s="31">
        <f t="shared" si="0"/>
        <v>0</v>
      </c>
      <c r="AH10" s="31">
        <f t="shared" si="0"/>
        <v>0</v>
      </c>
      <c r="AJ10" s="17">
        <v>0</v>
      </c>
      <c r="AL10" s="17" t="str">
        <f t="shared" si="7"/>
        <v/>
      </c>
      <c r="AM10" s="17" t="str">
        <f t="shared" si="8"/>
        <v/>
      </c>
      <c r="AN10" s="17" t="str">
        <f t="shared" si="9"/>
        <v/>
      </c>
      <c r="AO10" t="str">
        <f t="shared" si="10"/>
        <v/>
      </c>
      <c r="AP10" t="str">
        <f t="shared" si="11"/>
        <v/>
      </c>
      <c r="AR10" s="17" t="str">
        <f t="shared" si="12"/>
        <v/>
      </c>
      <c r="AS10" s="17" t="str">
        <f t="shared" si="13"/>
        <v/>
      </c>
      <c r="AT10" s="17" t="str">
        <f t="shared" si="14"/>
        <v/>
      </c>
      <c r="AU10" t="str">
        <f t="shared" si="15"/>
        <v/>
      </c>
    </row>
    <row r="11" spans="1:47">
      <c r="A11">
        <v>7</v>
      </c>
      <c r="B11" s="12"/>
      <c r="C11" s="9"/>
      <c r="D11" s="14"/>
      <c r="E11" s="17" t="str">
        <f t="shared" si="1"/>
        <v/>
      </c>
      <c r="F11" s="12"/>
      <c r="G11" s="30"/>
      <c r="H11" s="30"/>
      <c r="I11" s="12"/>
      <c r="J11" s="31" t="str">
        <f t="shared" si="2"/>
        <v/>
      </c>
      <c r="K11" s="31" t="str">
        <f t="shared" si="3"/>
        <v/>
      </c>
      <c r="L11" s="11" t="str">
        <f t="shared" si="4"/>
        <v/>
      </c>
      <c r="M11" s="31">
        <f>S$5</f>
        <v>0</v>
      </c>
      <c r="N11" s="31">
        <f>S$6</f>
        <v>0</v>
      </c>
      <c r="O11" s="31">
        <f>S$7</f>
        <v>0</v>
      </c>
      <c r="P11" s="31">
        <f>S$8</f>
        <v>0</v>
      </c>
      <c r="Q11" s="31">
        <f>S$9</f>
        <v>0</v>
      </c>
      <c r="R11" s="31">
        <f>S$10</f>
        <v>0</v>
      </c>
      <c r="S11" s="31">
        <f>IF($F11="",0,IF($G11="",0,POWER(($F11-$G11)/1.96,2)))</f>
        <v>0</v>
      </c>
      <c r="T11" s="31">
        <f>IF(T24="",0,IF(F11=0,0,T24*(F11-G11)*(F12-G12)/1.96/1.96))</f>
        <v>0</v>
      </c>
      <c r="U11" s="31">
        <f>IF(U24="",0,IF(F11=0,0,U24*(F11-G11)*(F13-G13)/1.96/1.96))</f>
        <v>0</v>
      </c>
      <c r="V11" s="31">
        <f>IF(V24="",0,IF(F11=0,0,V24*(F11-G11)*(F14-G14)/1.96/1.96))</f>
        <v>0</v>
      </c>
      <c r="X11" s="17">
        <f t="shared" si="5"/>
        <v>0</v>
      </c>
      <c r="Y11" s="31">
        <f t="shared" si="6"/>
        <v>0</v>
      </c>
      <c r="Z11" s="31">
        <f t="shared" si="0"/>
        <v>0</v>
      </c>
      <c r="AA11" s="31">
        <f t="shared" si="0"/>
        <v>0</v>
      </c>
      <c r="AB11" s="31">
        <f t="shared" si="0"/>
        <v>0</v>
      </c>
      <c r="AC11" s="31">
        <f t="shared" si="0"/>
        <v>0</v>
      </c>
      <c r="AD11" s="31">
        <f t="shared" si="0"/>
        <v>0</v>
      </c>
      <c r="AE11" s="31">
        <f t="shared" si="0"/>
        <v>0</v>
      </c>
      <c r="AF11" s="31">
        <f t="shared" si="0"/>
        <v>0</v>
      </c>
      <c r="AG11" s="31">
        <f t="shared" si="0"/>
        <v>0</v>
      </c>
      <c r="AH11" s="31">
        <f t="shared" si="0"/>
        <v>0</v>
      </c>
      <c r="AJ11" s="17">
        <v>0</v>
      </c>
      <c r="AL11" s="17" t="str">
        <f t="shared" si="7"/>
        <v/>
      </c>
      <c r="AM11" s="17" t="str">
        <f t="shared" si="8"/>
        <v/>
      </c>
      <c r="AN11" s="17" t="str">
        <f t="shared" si="9"/>
        <v/>
      </c>
      <c r="AO11" t="str">
        <f t="shared" si="10"/>
        <v/>
      </c>
      <c r="AP11" t="str">
        <f t="shared" si="11"/>
        <v/>
      </c>
      <c r="AR11" s="17" t="str">
        <f t="shared" si="12"/>
        <v/>
      </c>
      <c r="AS11" s="17" t="str">
        <f t="shared" si="13"/>
        <v/>
      </c>
      <c r="AT11" s="17" t="str">
        <f t="shared" si="14"/>
        <v/>
      </c>
      <c r="AU11" t="str">
        <f t="shared" si="15"/>
        <v/>
      </c>
    </row>
    <row r="12" spans="1:47">
      <c r="A12">
        <v>8</v>
      </c>
      <c r="B12" s="12"/>
      <c r="C12" s="9"/>
      <c r="D12" s="14"/>
      <c r="E12" s="17" t="str">
        <f t="shared" si="1"/>
        <v/>
      </c>
      <c r="F12" s="12"/>
      <c r="G12" s="30"/>
      <c r="H12" s="30"/>
      <c r="I12" s="12"/>
      <c r="J12" s="31" t="str">
        <f t="shared" si="2"/>
        <v/>
      </c>
      <c r="K12" s="31" t="str">
        <f t="shared" si="3"/>
        <v/>
      </c>
      <c r="L12" s="11" t="str">
        <f t="shared" si="4"/>
        <v/>
      </c>
      <c r="M12" s="31">
        <f>T$5</f>
        <v>0</v>
      </c>
      <c r="N12" s="31">
        <f>T$6</f>
        <v>0</v>
      </c>
      <c r="O12" s="31">
        <f>T$7</f>
        <v>0</v>
      </c>
      <c r="P12" s="31">
        <f>T$8</f>
        <v>0</v>
      </c>
      <c r="Q12" s="31">
        <f>T$9</f>
        <v>0</v>
      </c>
      <c r="R12" s="31">
        <f>T$10</f>
        <v>0</v>
      </c>
      <c r="S12" s="31">
        <f>T$11</f>
        <v>0</v>
      </c>
      <c r="T12" s="31">
        <f>IF($F12="",0,IF($G12="",0,POWER(($F12-$G12)/1.96,2)))</f>
        <v>0</v>
      </c>
      <c r="U12" s="31">
        <f>IF(U25="",0,IF(F12=0,0,U25*(F12-G12)*(F13-G13)/1.96/1.96))</f>
        <v>0</v>
      </c>
      <c r="V12" s="31">
        <f>IF(V25="",0,IF(F12=0,0,V25*(F12-G12)*(F14-G14)/1.96/1.96))</f>
        <v>0</v>
      </c>
      <c r="X12" s="17">
        <f t="shared" si="5"/>
        <v>0</v>
      </c>
      <c r="Y12" s="31">
        <f t="shared" si="6"/>
        <v>0</v>
      </c>
      <c r="Z12" s="31">
        <f t="shared" si="0"/>
        <v>0</v>
      </c>
      <c r="AA12" s="31">
        <f t="shared" si="0"/>
        <v>0</v>
      </c>
      <c r="AB12" s="31">
        <f t="shared" si="0"/>
        <v>0</v>
      </c>
      <c r="AC12" s="31">
        <f t="shared" si="0"/>
        <v>0</v>
      </c>
      <c r="AD12" s="31">
        <f t="shared" si="0"/>
        <v>0</v>
      </c>
      <c r="AE12" s="31">
        <f t="shared" si="0"/>
        <v>0</v>
      </c>
      <c r="AF12" s="31">
        <f t="shared" si="0"/>
        <v>0</v>
      </c>
      <c r="AG12" s="31">
        <f t="shared" si="0"/>
        <v>0</v>
      </c>
      <c r="AH12" s="31">
        <f t="shared" si="0"/>
        <v>0</v>
      </c>
      <c r="AJ12" s="17">
        <v>0</v>
      </c>
      <c r="AL12" s="17" t="str">
        <f t="shared" si="7"/>
        <v/>
      </c>
      <c r="AM12" s="17" t="str">
        <f t="shared" si="8"/>
        <v/>
      </c>
      <c r="AN12" s="17" t="str">
        <f t="shared" si="9"/>
        <v/>
      </c>
      <c r="AO12" t="str">
        <f t="shared" si="10"/>
        <v/>
      </c>
      <c r="AP12" t="str">
        <f t="shared" si="11"/>
        <v/>
      </c>
      <c r="AR12" s="17" t="str">
        <f t="shared" si="12"/>
        <v/>
      </c>
      <c r="AS12" s="17" t="str">
        <f t="shared" si="13"/>
        <v/>
      </c>
      <c r="AT12" s="17" t="str">
        <f t="shared" si="14"/>
        <v/>
      </c>
      <c r="AU12" t="str">
        <f t="shared" si="15"/>
        <v/>
      </c>
    </row>
    <row r="13" spans="1:47">
      <c r="A13">
        <v>9</v>
      </c>
      <c r="B13" s="12"/>
      <c r="C13" s="9"/>
      <c r="D13" s="14"/>
      <c r="E13" s="17" t="str">
        <f t="shared" si="1"/>
        <v/>
      </c>
      <c r="F13" s="12"/>
      <c r="G13" s="30"/>
      <c r="H13" s="30"/>
      <c r="I13" s="12"/>
      <c r="J13" s="31" t="str">
        <f t="shared" si="2"/>
        <v/>
      </c>
      <c r="K13" s="31" t="str">
        <f t="shared" si="3"/>
        <v/>
      </c>
      <c r="L13" s="11" t="str">
        <f t="shared" si="4"/>
        <v/>
      </c>
      <c r="M13" s="31">
        <f>U$5</f>
        <v>0</v>
      </c>
      <c r="N13" s="31">
        <f>U$6</f>
        <v>0</v>
      </c>
      <c r="O13" s="31">
        <f>U$7</f>
        <v>0</v>
      </c>
      <c r="P13" s="31">
        <f>U$8</f>
        <v>0</v>
      </c>
      <c r="Q13" s="31">
        <f>U$9</f>
        <v>0</v>
      </c>
      <c r="R13" s="31">
        <f>U$10</f>
        <v>0</v>
      </c>
      <c r="S13" s="31">
        <f>U$11</f>
        <v>0</v>
      </c>
      <c r="T13" s="31">
        <f>U$12</f>
        <v>0</v>
      </c>
      <c r="U13" s="31">
        <f>IF($F13="",0,IF($G13="",0,POWER(($F13-$G13)/1.96,2)))</f>
        <v>0</v>
      </c>
      <c r="V13" s="31">
        <f>IF(V26="",0,IF(F13=0,0,V26*(F13-G13)*(F14-G14)/1.96/1.96))</f>
        <v>0</v>
      </c>
      <c r="X13" s="17">
        <f t="shared" si="5"/>
        <v>0</v>
      </c>
      <c r="Y13" s="31">
        <f t="shared" si="6"/>
        <v>0</v>
      </c>
      <c r="Z13" s="31">
        <f t="shared" si="0"/>
        <v>0</v>
      </c>
      <c r="AA13" s="31">
        <f t="shared" si="0"/>
        <v>0</v>
      </c>
      <c r="AB13" s="31">
        <f t="shared" si="0"/>
        <v>0</v>
      </c>
      <c r="AC13" s="31">
        <f t="shared" si="0"/>
        <v>0</v>
      </c>
      <c r="AD13" s="31">
        <f t="shared" si="0"/>
        <v>0</v>
      </c>
      <c r="AE13" s="31">
        <f t="shared" si="0"/>
        <v>0</v>
      </c>
      <c r="AF13" s="31">
        <f t="shared" si="0"/>
        <v>0</v>
      </c>
      <c r="AG13" s="31">
        <f t="shared" si="0"/>
        <v>0</v>
      </c>
      <c r="AH13" s="31">
        <f t="shared" si="0"/>
        <v>0</v>
      </c>
      <c r="AJ13" s="17">
        <v>0</v>
      </c>
      <c r="AL13" s="17" t="str">
        <f t="shared" si="7"/>
        <v/>
      </c>
      <c r="AM13" s="17" t="str">
        <f t="shared" si="8"/>
        <v/>
      </c>
      <c r="AN13" s="17" t="str">
        <f t="shared" si="9"/>
        <v/>
      </c>
      <c r="AO13" t="str">
        <f t="shared" si="10"/>
        <v/>
      </c>
      <c r="AP13" t="str">
        <f t="shared" si="11"/>
        <v/>
      </c>
      <c r="AR13" s="17" t="str">
        <f t="shared" si="12"/>
        <v/>
      </c>
      <c r="AS13" s="17" t="str">
        <f t="shared" si="13"/>
        <v/>
      </c>
      <c r="AT13" s="17" t="str">
        <f t="shared" si="14"/>
        <v/>
      </c>
      <c r="AU13" t="str">
        <f t="shared" si="15"/>
        <v/>
      </c>
    </row>
    <row r="14" spans="1:47">
      <c r="A14">
        <v>10</v>
      </c>
      <c r="B14" s="12"/>
      <c r="C14" s="9"/>
      <c r="D14" s="14"/>
      <c r="E14" s="32" t="str">
        <f t="shared" si="1"/>
        <v/>
      </c>
      <c r="F14" s="12"/>
      <c r="G14" s="30"/>
      <c r="H14" s="30"/>
      <c r="I14" s="12"/>
      <c r="J14" s="31" t="str">
        <f t="shared" si="2"/>
        <v/>
      </c>
      <c r="K14" s="31" t="str">
        <f t="shared" si="3"/>
        <v/>
      </c>
      <c r="L14" s="11" t="str">
        <f t="shared" si="4"/>
        <v/>
      </c>
      <c r="M14" s="31">
        <f>V$5</f>
        <v>0</v>
      </c>
      <c r="N14" s="31">
        <f>V$6</f>
        <v>0</v>
      </c>
      <c r="O14" s="31">
        <f>V$7</f>
        <v>0</v>
      </c>
      <c r="P14" s="31">
        <f>V$8</f>
        <v>0</v>
      </c>
      <c r="Q14" s="31">
        <f>V$9</f>
        <v>0</v>
      </c>
      <c r="R14" s="31">
        <f>V$10</f>
        <v>0</v>
      </c>
      <c r="S14" s="31">
        <f>V$11</f>
        <v>0</v>
      </c>
      <c r="T14" s="31">
        <f>V$12</f>
        <v>0</v>
      </c>
      <c r="U14" s="31">
        <f>V$13</f>
        <v>0</v>
      </c>
      <c r="V14" s="31">
        <f>IF($F14="",0,IF($G14="",0,POWER(($F14-$G14)/1.96,2)))</f>
        <v>0</v>
      </c>
      <c r="X14" s="17">
        <f t="shared" si="5"/>
        <v>0</v>
      </c>
      <c r="Y14" s="31">
        <f t="shared" si="6"/>
        <v>0</v>
      </c>
      <c r="Z14" s="31">
        <f t="shared" si="0"/>
        <v>0</v>
      </c>
      <c r="AA14" s="31">
        <f t="shared" si="0"/>
        <v>0</v>
      </c>
      <c r="AB14" s="31">
        <f t="shared" si="0"/>
        <v>0</v>
      </c>
      <c r="AC14" s="31">
        <f t="shared" si="0"/>
        <v>0</v>
      </c>
      <c r="AD14" s="31">
        <f t="shared" si="0"/>
        <v>0</v>
      </c>
      <c r="AE14" s="31">
        <f t="shared" si="0"/>
        <v>0</v>
      </c>
      <c r="AF14" s="31">
        <f t="shared" si="0"/>
        <v>0</v>
      </c>
      <c r="AG14" s="31">
        <f t="shared" si="0"/>
        <v>0</v>
      </c>
      <c r="AH14" s="31">
        <f t="shared" si="0"/>
        <v>0</v>
      </c>
      <c r="AJ14" s="17">
        <v>0</v>
      </c>
      <c r="AL14" s="17" t="str">
        <f t="shared" si="7"/>
        <v/>
      </c>
      <c r="AM14" s="17" t="str">
        <f t="shared" si="8"/>
        <v/>
      </c>
      <c r="AN14" s="17" t="str">
        <f t="shared" si="9"/>
        <v/>
      </c>
      <c r="AO14" t="str">
        <f t="shared" si="10"/>
        <v/>
      </c>
      <c r="AP14" t="str">
        <f t="shared" si="11"/>
        <v/>
      </c>
      <c r="AR14" s="17" t="str">
        <f t="shared" si="12"/>
        <v/>
      </c>
      <c r="AS14" s="17" t="str">
        <f t="shared" si="13"/>
        <v/>
      </c>
      <c r="AT14" s="17" t="str">
        <f t="shared" si="14"/>
        <v/>
      </c>
      <c r="AU14" t="str">
        <f t="shared" si="15"/>
        <v/>
      </c>
    </row>
    <row r="15" spans="1:47">
      <c r="I15" s="31">
        <f>SUM(I5:I14)</f>
        <v>230</v>
      </c>
      <c r="J15" s="31">
        <f>SUM(J5:J14)</f>
        <v>0.99999999999999989</v>
      </c>
      <c r="K15" s="31">
        <f>SUM(K5:K14)</f>
        <v>2.9565217391304348E-2</v>
      </c>
      <c r="M15" t="s">
        <v>70</v>
      </c>
      <c r="AH15" t="s">
        <v>34</v>
      </c>
      <c r="AJ15" s="17">
        <f>SUM(AJ5:AJ14)</f>
        <v>2.0310190933361889E-4</v>
      </c>
    </row>
    <row r="16" spans="1:47" ht="18.600000000000001" thickBot="1">
      <c r="D16" s="15"/>
      <c r="E16" s="16"/>
      <c r="M16" t="s">
        <v>35</v>
      </c>
      <c r="AH16" t="s">
        <v>36</v>
      </c>
      <c r="AJ16" s="17">
        <f>SQRT(AJ15)</f>
        <v>1.4251382716551363E-2</v>
      </c>
    </row>
    <row r="17" spans="2:22">
      <c r="H17" t="s">
        <v>69</v>
      </c>
      <c r="I17" s="18" t="s">
        <v>37</v>
      </c>
      <c r="J17" s="19"/>
      <c r="K17" s="20">
        <f>K15</f>
        <v>2.9565217391304348E-2</v>
      </c>
      <c r="M17" s="7" t="str">
        <f>IF($B5="","",$B5)</f>
        <v>脳卒中予防</v>
      </c>
      <c r="N17" s="7" t="str">
        <f>IF($B6="","",$B6)</f>
        <v>心不全予防</v>
      </c>
      <c r="O17" s="7" t="str">
        <f>IF($B7="","",$B7)</f>
        <v>めまい</v>
      </c>
      <c r="P17" s="7" t="str">
        <f>IF($B8="","",$B8)</f>
        <v>頻尿</v>
      </c>
      <c r="Q17" s="7" t="str">
        <f>IF($B9="","",$B9)</f>
        <v>転倒</v>
      </c>
      <c r="R17" s="7" t="str">
        <f>IF($B10="","",$B10)</f>
        <v/>
      </c>
      <c r="S17" s="7" t="str">
        <f>IF($B11="","",$B11)</f>
        <v/>
      </c>
      <c r="T17" s="7" t="str">
        <f>IF($B12="","",$B12)</f>
        <v/>
      </c>
      <c r="U17" s="7" t="str">
        <f>IF($B13="","",$B13)</f>
        <v/>
      </c>
      <c r="V17" s="7" t="str">
        <f>IF($B14="","",$B14)</f>
        <v/>
      </c>
    </row>
    <row r="18" spans="2:22">
      <c r="F18" s="15"/>
      <c r="G18" s="15"/>
      <c r="H18" s="15"/>
      <c r="I18" s="21" t="s">
        <v>14</v>
      </c>
      <c r="J18" s="22"/>
      <c r="K18" s="23">
        <f>K17-1.96*AJ16</f>
        <v>1.6325072668636753E-3</v>
      </c>
      <c r="L18" s="11" t="str">
        <f>IF(B5="","",B5)</f>
        <v>脳卒中予防</v>
      </c>
      <c r="M18" s="31">
        <f>IF(F5="","",IF(G5="","",1))</f>
        <v>1</v>
      </c>
      <c r="N18" s="12">
        <v>0.6</v>
      </c>
      <c r="O18" s="12"/>
      <c r="P18" s="12"/>
      <c r="Q18" s="12"/>
      <c r="R18" s="12"/>
      <c r="S18" s="12"/>
      <c r="T18" s="12"/>
      <c r="U18" s="12"/>
      <c r="V18" s="12"/>
    </row>
    <row r="19" spans="2:22" ht="18.600000000000001" thickBot="1">
      <c r="I19" s="24" t="s">
        <v>15</v>
      </c>
      <c r="J19" s="25"/>
      <c r="K19" s="26">
        <f>K17+1.96*AJ16</f>
        <v>5.749792751574502E-2</v>
      </c>
      <c r="L19" s="11" t="str">
        <f>IF(B6="","",B6)</f>
        <v>心不全予防</v>
      </c>
      <c r="M19" s="13"/>
      <c r="N19" s="31">
        <f>IF(F6="","",IF(G6="","",1))</f>
        <v>1</v>
      </c>
      <c r="O19" s="12"/>
      <c r="P19" s="12"/>
      <c r="Q19" s="12"/>
      <c r="R19" s="12"/>
      <c r="S19" s="12"/>
      <c r="T19" s="12"/>
      <c r="U19" s="12"/>
      <c r="V19" s="12"/>
    </row>
    <row r="20" spans="2:22">
      <c r="I20" s="27"/>
      <c r="J20" s="16"/>
      <c r="L20" s="11" t="str">
        <f>IF(B7="","",B7)</f>
        <v>めまい</v>
      </c>
      <c r="M20" s="13"/>
      <c r="N20" s="13"/>
      <c r="O20" s="31">
        <f>IF(F7="","",IF(G7="","",1))</f>
        <v>1</v>
      </c>
      <c r="P20" s="12"/>
      <c r="Q20" s="12">
        <v>0.4</v>
      </c>
      <c r="R20" s="12"/>
      <c r="S20" s="12"/>
      <c r="T20" s="12"/>
      <c r="U20" s="12"/>
      <c r="V20" s="12"/>
    </row>
    <row r="21" spans="2:22">
      <c r="I21" s="39" t="s">
        <v>66</v>
      </c>
      <c r="J21" s="40" t="s">
        <v>67</v>
      </c>
      <c r="K21" s="39" t="s">
        <v>68</v>
      </c>
      <c r="L21" s="11" t="str">
        <f>IF(B8="","",B8)</f>
        <v>頻尿</v>
      </c>
      <c r="M21" s="13"/>
      <c r="N21" s="13"/>
      <c r="O21" s="13"/>
      <c r="P21" s="31">
        <f>IF(F8="","",IF(G8="","",1))</f>
        <v>1</v>
      </c>
      <c r="Q21" s="12"/>
      <c r="R21" s="12"/>
      <c r="S21" s="12"/>
      <c r="T21" s="12"/>
      <c r="U21" s="12"/>
      <c r="V21" s="12"/>
    </row>
    <row r="22" spans="2:22">
      <c r="I22" s="12">
        <v>1000</v>
      </c>
      <c r="J22" s="10">
        <v>0</v>
      </c>
      <c r="K22" s="31">
        <f>1-_xlfn.NORM.DIST(0,$K$17,$AJ$16,TRUE)</f>
        <v>0.98098590692981413</v>
      </c>
      <c r="L22" s="11" t="str">
        <f t="shared" ref="L22:L27" si="16">IF(B9="","",B9)</f>
        <v>転倒</v>
      </c>
      <c r="M22" s="13"/>
      <c r="N22" s="13"/>
      <c r="O22" s="13"/>
      <c r="P22" s="13"/>
      <c r="Q22" s="31">
        <f>IF(F9="","",IF(G9="","",1))</f>
        <v>1</v>
      </c>
      <c r="R22" s="12"/>
      <c r="S22" s="12"/>
      <c r="T22" s="12"/>
      <c r="U22" s="12"/>
      <c r="V22" s="12"/>
    </row>
    <row r="23" spans="2:22">
      <c r="L23" s="11" t="str">
        <f t="shared" si="16"/>
        <v/>
      </c>
      <c r="M23" s="13"/>
      <c r="N23" s="13"/>
      <c r="O23" s="13"/>
      <c r="P23" s="13"/>
      <c r="Q23" s="13"/>
      <c r="R23" s="31" t="str">
        <f>IF(F10="","",IF(G10="","",1))</f>
        <v/>
      </c>
      <c r="S23" s="12"/>
      <c r="T23" s="12"/>
      <c r="U23" s="12"/>
      <c r="V23" s="12"/>
    </row>
    <row r="24" spans="2:22">
      <c r="I24" s="13" t="s">
        <v>71</v>
      </c>
      <c r="J24" s="13"/>
      <c r="K24" s="31">
        <f>ROUND($I$22*K17,0)</f>
        <v>30</v>
      </c>
      <c r="L24" s="43" t="s">
        <v>73</v>
      </c>
      <c r="M24" s="13"/>
      <c r="N24" s="13"/>
      <c r="O24" s="13"/>
      <c r="P24" s="13"/>
      <c r="Q24" s="13"/>
      <c r="R24" s="13"/>
      <c r="S24" s="31" t="str">
        <f>IF(F11="","",IF(G11="","",1))</f>
        <v/>
      </c>
      <c r="T24" s="12"/>
      <c r="U24" s="12"/>
      <c r="V24" s="12"/>
    </row>
    <row r="25" spans="2:22">
      <c r="I25" s="39" t="s">
        <v>14</v>
      </c>
      <c r="J25" s="41"/>
      <c r="K25" s="31">
        <f t="shared" ref="K25:K26" si="17">ROUND($I$22*K18,0)</f>
        <v>2</v>
      </c>
      <c r="L25" s="11" t="str">
        <f t="shared" si="16"/>
        <v/>
      </c>
      <c r="M25" s="13"/>
      <c r="N25" s="13"/>
      <c r="O25" s="13"/>
      <c r="P25" s="13"/>
      <c r="Q25" s="13"/>
      <c r="R25" s="13"/>
      <c r="S25" s="13"/>
      <c r="T25" s="31" t="str">
        <f>IF(F12="","",IF(G12="","",1))</f>
        <v/>
      </c>
      <c r="U25" s="12"/>
      <c r="V25" s="12"/>
    </row>
    <row r="26" spans="2:22">
      <c r="I26" s="39" t="s">
        <v>15</v>
      </c>
      <c r="J26" s="42"/>
      <c r="K26" s="31">
        <f t="shared" si="17"/>
        <v>57</v>
      </c>
      <c r="L26" s="11" t="str">
        <f t="shared" si="16"/>
        <v/>
      </c>
      <c r="M26" s="13"/>
      <c r="N26" s="13"/>
      <c r="O26" s="13"/>
      <c r="P26" s="13"/>
      <c r="Q26" s="13"/>
      <c r="R26" s="13"/>
      <c r="S26" s="13"/>
      <c r="T26" s="13"/>
      <c r="U26" s="31" t="str">
        <f>IF(F13="","",IF(G13="","",1))</f>
        <v/>
      </c>
      <c r="V26" s="12"/>
    </row>
    <row r="27" spans="2:22">
      <c r="K27" t="s">
        <v>72</v>
      </c>
      <c r="L27" s="11" t="str">
        <f t="shared" si="16"/>
        <v/>
      </c>
      <c r="M27" s="13"/>
      <c r="N27" s="13"/>
      <c r="O27" s="13"/>
      <c r="P27" s="13"/>
      <c r="Q27" s="13"/>
      <c r="R27" s="13"/>
      <c r="S27" s="13"/>
      <c r="T27" s="13"/>
      <c r="U27" s="13"/>
      <c r="V27" s="31" t="str">
        <f>IF(F14="","",IF(G14="","",1))</f>
        <v/>
      </c>
    </row>
    <row r="28" spans="2:22">
      <c r="L28" s="11"/>
      <c r="V28" s="17"/>
    </row>
    <row r="29" spans="2:22" ht="18.600000000000001" thickBot="1">
      <c r="B29" s="69"/>
      <c r="C29" s="69"/>
      <c r="D29" s="69"/>
      <c r="E29" s="69"/>
      <c r="F29" s="69"/>
      <c r="G29" s="69"/>
      <c r="H29" s="69"/>
      <c r="I29" s="69"/>
      <c r="J29" s="69"/>
      <c r="K29" s="69"/>
      <c r="L29" s="11"/>
      <c r="V29" s="17"/>
    </row>
    <row r="30" spans="2:22">
      <c r="B30" t="s">
        <v>88</v>
      </c>
      <c r="L30" s="11"/>
      <c r="V30" s="17"/>
    </row>
    <row r="31" spans="2:22">
      <c r="B31" t="s">
        <v>89</v>
      </c>
      <c r="L31" s="11"/>
      <c r="V31" s="17"/>
    </row>
    <row r="32" spans="2:22">
      <c r="L32" s="11"/>
      <c r="V32" s="17"/>
    </row>
    <row r="33" spans="1:13">
      <c r="B33" s="1" t="s">
        <v>145</v>
      </c>
    </row>
    <row r="34" spans="1:13">
      <c r="B34" s="46" t="s">
        <v>16</v>
      </c>
      <c r="C34" s="47" t="s">
        <v>87</v>
      </c>
      <c r="D34" s="47" t="s">
        <v>91</v>
      </c>
    </row>
    <row r="35" spans="1:13">
      <c r="A35">
        <v>1</v>
      </c>
      <c r="B35" s="13" t="str">
        <f t="shared" ref="B35:B44" si="18">IF(B5="","",B5)</f>
        <v>脳卒中予防</v>
      </c>
      <c r="C35" s="13">
        <f t="shared" ref="C35:C44" si="19">IF(F5="","",E5*F5)</f>
        <v>0.1</v>
      </c>
      <c r="D35" s="13">
        <f t="shared" ref="D35:D44" si="20">IF(F5="","",F5-G5)</f>
        <v>0.05</v>
      </c>
    </row>
    <row r="36" spans="1:13">
      <c r="A36">
        <v>2</v>
      </c>
      <c r="B36" s="13" t="str">
        <f t="shared" si="18"/>
        <v>心不全予防</v>
      </c>
      <c r="C36" s="13">
        <f t="shared" si="19"/>
        <v>-0.1</v>
      </c>
      <c r="D36" s="13">
        <f t="shared" si="20"/>
        <v>0.06</v>
      </c>
    </row>
    <row r="37" spans="1:13">
      <c r="A37">
        <v>3</v>
      </c>
      <c r="B37" s="13" t="str">
        <f t="shared" si="18"/>
        <v>めまい</v>
      </c>
      <c r="C37" s="13">
        <f t="shared" si="19"/>
        <v>-0.02</v>
      </c>
      <c r="D37" s="13">
        <f t="shared" si="20"/>
        <v>9.0000000000000011E-3</v>
      </c>
    </row>
    <row r="38" spans="1:13">
      <c r="A38">
        <v>4</v>
      </c>
      <c r="B38" s="13" t="str">
        <f t="shared" si="18"/>
        <v>頻尿</v>
      </c>
      <c r="C38" s="13">
        <f t="shared" si="19"/>
        <v>0.01</v>
      </c>
      <c r="D38" s="13">
        <f t="shared" si="20"/>
        <v>1.9999999999999997E-2</v>
      </c>
    </row>
    <row r="39" spans="1:13">
      <c r="A39">
        <v>5</v>
      </c>
      <c r="B39" s="13" t="str">
        <f t="shared" si="18"/>
        <v>転倒</v>
      </c>
      <c r="C39" s="13">
        <f t="shared" si="19"/>
        <v>0.02</v>
      </c>
      <c r="D39" s="13">
        <f t="shared" si="20"/>
        <v>3.9999999999999994E-2</v>
      </c>
    </row>
    <row r="40" spans="1:13">
      <c r="A40">
        <v>6</v>
      </c>
      <c r="B40" s="13" t="str">
        <f t="shared" si="18"/>
        <v/>
      </c>
      <c r="C40" s="13" t="str">
        <f t="shared" si="19"/>
        <v/>
      </c>
      <c r="D40" s="13" t="str">
        <f t="shared" si="20"/>
        <v/>
      </c>
    </row>
    <row r="41" spans="1:13">
      <c r="A41">
        <v>7</v>
      </c>
      <c r="B41" s="13" t="str">
        <f t="shared" si="18"/>
        <v/>
      </c>
      <c r="C41" s="13" t="str">
        <f t="shared" si="19"/>
        <v/>
      </c>
      <c r="D41" s="13" t="str">
        <f t="shared" si="20"/>
        <v/>
      </c>
    </row>
    <row r="42" spans="1:13">
      <c r="A42">
        <v>8</v>
      </c>
      <c r="B42" s="13" t="str">
        <f t="shared" si="18"/>
        <v/>
      </c>
      <c r="C42" s="13" t="str">
        <f t="shared" si="19"/>
        <v/>
      </c>
      <c r="D42" s="13" t="str">
        <f t="shared" si="20"/>
        <v/>
      </c>
    </row>
    <row r="43" spans="1:13">
      <c r="A43">
        <v>9</v>
      </c>
      <c r="B43" s="13" t="str">
        <f t="shared" si="18"/>
        <v/>
      </c>
      <c r="C43" s="13" t="str">
        <f t="shared" si="19"/>
        <v/>
      </c>
      <c r="D43" s="13" t="str">
        <f t="shared" si="20"/>
        <v/>
      </c>
    </row>
    <row r="44" spans="1:13">
      <c r="A44">
        <v>10</v>
      </c>
      <c r="B44" s="13" t="str">
        <f t="shared" si="18"/>
        <v/>
      </c>
      <c r="C44" s="13" t="str">
        <f t="shared" si="19"/>
        <v/>
      </c>
      <c r="D44" s="13" t="str">
        <f t="shared" si="20"/>
        <v/>
      </c>
    </row>
    <row r="47" spans="1:13" ht="18.600000000000001" thickBot="1">
      <c r="A47" s="72"/>
      <c r="B47" s="72"/>
      <c r="C47" s="72"/>
      <c r="D47" s="72"/>
      <c r="E47" s="72"/>
      <c r="F47" s="72"/>
      <c r="G47" s="72"/>
      <c r="H47" s="72"/>
      <c r="I47" s="72"/>
      <c r="J47" s="72"/>
      <c r="K47" s="72"/>
      <c r="L47" s="72"/>
      <c r="M47" s="72"/>
    </row>
    <row r="48" spans="1:13" ht="18.600000000000001" thickTop="1"/>
    <row r="49" spans="1:13">
      <c r="B49" s="1" t="s">
        <v>146</v>
      </c>
    </row>
    <row r="50" spans="1:13" ht="36">
      <c r="C50" s="8" t="s">
        <v>90</v>
      </c>
      <c r="D50" t="s">
        <v>91</v>
      </c>
    </row>
    <row r="51" spans="1:13">
      <c r="A51">
        <v>1</v>
      </c>
      <c r="B51" s="13" t="str">
        <f t="shared" ref="B51:B60" si="21">IF(B5="","",B5)</f>
        <v>脳卒中予防</v>
      </c>
      <c r="C51" s="13">
        <f t="shared" ref="C51:C60" si="22">IF(C35="","",C35*J5)</f>
        <v>4.3478260869565216E-2</v>
      </c>
      <c r="D51" s="13">
        <f t="shared" ref="D51:D60" si="23">IF(D35="","",D35*J5)</f>
        <v>2.1739130434782608E-2</v>
      </c>
    </row>
    <row r="52" spans="1:13">
      <c r="A52">
        <v>2</v>
      </c>
      <c r="B52" s="13" t="str">
        <f t="shared" si="21"/>
        <v>心不全予防</v>
      </c>
      <c r="C52" s="13">
        <f t="shared" si="22"/>
        <v>-1.3043478260869566E-2</v>
      </c>
      <c r="D52" s="13">
        <f t="shared" si="23"/>
        <v>7.826086956521738E-3</v>
      </c>
    </row>
    <row r="53" spans="1:13">
      <c r="A53">
        <v>3</v>
      </c>
      <c r="B53" s="13" t="str">
        <f t="shared" si="21"/>
        <v>めまい</v>
      </c>
      <c r="C53" s="13">
        <f t="shared" si="22"/>
        <v>-4.3478260869565218E-3</v>
      </c>
      <c r="D53" s="13">
        <f t="shared" si="23"/>
        <v>1.9565217391304349E-3</v>
      </c>
    </row>
    <row r="54" spans="1:13">
      <c r="A54">
        <v>4</v>
      </c>
      <c r="B54" s="13" t="str">
        <f t="shared" si="21"/>
        <v>頻尿</v>
      </c>
      <c r="C54" s="13">
        <f t="shared" si="22"/>
        <v>8.6956521739130438E-4</v>
      </c>
      <c r="D54" s="13">
        <f t="shared" si="23"/>
        <v>1.7391304347826083E-3</v>
      </c>
    </row>
    <row r="55" spans="1:13">
      <c r="A55">
        <v>5</v>
      </c>
      <c r="B55" s="13" t="str">
        <f t="shared" si="21"/>
        <v>転倒</v>
      </c>
      <c r="C55" s="13">
        <f t="shared" si="22"/>
        <v>2.6086956521739128E-3</v>
      </c>
      <c r="D55" s="13">
        <f t="shared" si="23"/>
        <v>5.2173913043478248E-3</v>
      </c>
    </row>
    <row r="56" spans="1:13">
      <c r="A56">
        <v>6</v>
      </c>
      <c r="B56" s="13" t="str">
        <f t="shared" si="21"/>
        <v/>
      </c>
      <c r="C56" s="13" t="str">
        <f t="shared" si="22"/>
        <v/>
      </c>
      <c r="D56" s="13" t="str">
        <f t="shared" si="23"/>
        <v/>
      </c>
    </row>
    <row r="57" spans="1:13">
      <c r="A57">
        <v>7</v>
      </c>
      <c r="B57" s="13" t="str">
        <f t="shared" si="21"/>
        <v/>
      </c>
      <c r="C57" s="13" t="str">
        <f t="shared" si="22"/>
        <v/>
      </c>
      <c r="D57" s="13" t="str">
        <f t="shared" si="23"/>
        <v/>
      </c>
    </row>
    <row r="58" spans="1:13">
      <c r="A58">
        <v>8</v>
      </c>
      <c r="B58" s="13" t="str">
        <f t="shared" si="21"/>
        <v/>
      </c>
      <c r="C58" s="13" t="str">
        <f t="shared" si="22"/>
        <v/>
      </c>
      <c r="D58" s="13" t="str">
        <f t="shared" si="23"/>
        <v/>
      </c>
    </row>
    <row r="59" spans="1:13">
      <c r="A59">
        <v>9</v>
      </c>
      <c r="B59" s="13" t="str">
        <f t="shared" si="21"/>
        <v/>
      </c>
      <c r="C59" s="13" t="str">
        <f t="shared" si="22"/>
        <v/>
      </c>
      <c r="D59" s="13" t="str">
        <f t="shared" si="23"/>
        <v/>
      </c>
    </row>
    <row r="60" spans="1:13">
      <c r="A60">
        <v>10</v>
      </c>
      <c r="B60" s="13" t="str">
        <f t="shared" si="21"/>
        <v/>
      </c>
      <c r="C60" s="13" t="str">
        <f t="shared" si="22"/>
        <v/>
      </c>
      <c r="D60" s="13" t="str">
        <f t="shared" si="23"/>
        <v/>
      </c>
    </row>
    <row r="61" spans="1:13">
      <c r="B61" t="s">
        <v>69</v>
      </c>
      <c r="C61">
        <f>K17</f>
        <v>2.9565217391304348E-2</v>
      </c>
      <c r="D61">
        <f>K17-K18</f>
        <v>2.7932710124440673E-2</v>
      </c>
    </row>
    <row r="63" spans="1:13" ht="18.600000000000001" thickBot="1">
      <c r="A63" s="72"/>
      <c r="B63" s="72"/>
      <c r="C63" s="72"/>
      <c r="D63" s="72"/>
      <c r="E63" s="72"/>
      <c r="F63" s="72"/>
      <c r="G63" s="72"/>
      <c r="H63" s="72"/>
      <c r="I63" s="72"/>
      <c r="J63" s="72"/>
      <c r="K63" s="72"/>
      <c r="L63" s="72"/>
      <c r="M63" s="72"/>
    </row>
    <row r="64" spans="1:13" ht="18.600000000000001" thickTop="1"/>
    <row r="65" spans="1:13">
      <c r="B65" s="1" t="s">
        <v>95</v>
      </c>
    </row>
    <row r="66" spans="1:13" ht="37.200000000000003">
      <c r="B66" t="s">
        <v>93</v>
      </c>
      <c r="C66" s="48" t="s">
        <v>94</v>
      </c>
      <c r="D66" s="45" t="s">
        <v>84</v>
      </c>
      <c r="E66" s="45" t="s">
        <v>85</v>
      </c>
      <c r="F66" s="8" t="s">
        <v>122</v>
      </c>
    </row>
    <row r="67" spans="1:13">
      <c r="A67">
        <v>1</v>
      </c>
      <c r="B67" s="13" t="str">
        <f>IF($B$5="","",$B$5)</f>
        <v>脳卒中予防</v>
      </c>
      <c r="C67" s="13">
        <f t="shared" ref="C67:C76" si="24">IF($F5="","",$F5)</f>
        <v>0.1</v>
      </c>
      <c r="D67" s="13">
        <f t="shared" ref="D67:D76" si="25">IF($C67="","",$C67-$AM5)</f>
        <v>6.8000000000000005E-2</v>
      </c>
      <c r="E67" s="13">
        <f t="shared" ref="E67:E76" si="26">IF($C67="","",$AN5-$C67)</f>
        <v>0.9</v>
      </c>
      <c r="F67" t="str">
        <f t="shared" ref="F67:F76" si="27">$AP5</f>
        <v>certain</v>
      </c>
    </row>
    <row r="68" spans="1:13">
      <c r="A68">
        <v>2</v>
      </c>
      <c r="B68" s="13" t="str">
        <f>IF($B$6="","",$B$6)</f>
        <v>心不全予防</v>
      </c>
      <c r="C68" s="13">
        <f t="shared" si="24"/>
        <v>-0.1</v>
      </c>
      <c r="D68" s="13">
        <f t="shared" si="25"/>
        <v>0.22666666666666666</v>
      </c>
      <c r="E68" s="13">
        <f t="shared" si="26"/>
        <v>1.1000000000000001</v>
      </c>
      <c r="F68" t="str">
        <f t="shared" si="27"/>
        <v>certain</v>
      </c>
    </row>
    <row r="69" spans="1:13">
      <c r="A69">
        <v>3</v>
      </c>
      <c r="B69" s="13" t="str">
        <f>IF($B$7="","",$B$7)</f>
        <v>めまい</v>
      </c>
      <c r="C69" s="13">
        <f t="shared" si="24"/>
        <v>0.02</v>
      </c>
      <c r="D69" s="13">
        <f t="shared" si="25"/>
        <v>1.02</v>
      </c>
      <c r="E69" s="13">
        <f t="shared" si="26"/>
        <v>0.13600000000000004</v>
      </c>
      <c r="F69" t="str">
        <f t="shared" si="27"/>
        <v>certain</v>
      </c>
    </row>
    <row r="70" spans="1:13">
      <c r="A70">
        <v>4</v>
      </c>
      <c r="B70" s="13" t="str">
        <f>IF($B$8="","",$B$8)</f>
        <v>頻尿</v>
      </c>
      <c r="C70" s="13">
        <f t="shared" si="24"/>
        <v>-0.01</v>
      </c>
      <c r="D70" s="13">
        <f t="shared" si="25"/>
        <v>0.99</v>
      </c>
      <c r="E70" s="13">
        <f t="shared" si="26"/>
        <v>0.34</v>
      </c>
      <c r="F70" t="str">
        <f t="shared" si="27"/>
        <v>certain</v>
      </c>
    </row>
    <row r="71" spans="1:13">
      <c r="A71">
        <v>5</v>
      </c>
      <c r="B71" s="13" t="str">
        <f>IF($B$9="","",$B$9)</f>
        <v>転倒</v>
      </c>
      <c r="C71" s="13">
        <f t="shared" si="24"/>
        <v>-0.02</v>
      </c>
      <c r="D71" s="13">
        <f t="shared" si="25"/>
        <v>0.98</v>
      </c>
      <c r="E71" s="13">
        <f t="shared" si="26"/>
        <v>0.22666666666666666</v>
      </c>
      <c r="F71" t="str">
        <f t="shared" si="27"/>
        <v>certain</v>
      </c>
    </row>
    <row r="72" spans="1:13">
      <c r="A72">
        <v>6</v>
      </c>
      <c r="B72" s="13" t="str">
        <f>IF($B$10="","",$B$10)</f>
        <v/>
      </c>
      <c r="C72" s="13" t="str">
        <f t="shared" si="24"/>
        <v/>
      </c>
      <c r="D72" s="13" t="str">
        <f t="shared" si="25"/>
        <v/>
      </c>
      <c r="E72" s="13" t="str">
        <f t="shared" si="26"/>
        <v/>
      </c>
      <c r="F72" t="str">
        <f t="shared" si="27"/>
        <v/>
      </c>
    </row>
    <row r="73" spans="1:13">
      <c r="A73">
        <v>7</v>
      </c>
      <c r="B73" s="13" t="str">
        <f>IF($B$11="","",$B$11)</f>
        <v/>
      </c>
      <c r="C73" s="13" t="str">
        <f t="shared" si="24"/>
        <v/>
      </c>
      <c r="D73" s="13" t="str">
        <f t="shared" si="25"/>
        <v/>
      </c>
      <c r="E73" s="13" t="str">
        <f t="shared" si="26"/>
        <v/>
      </c>
      <c r="F73" t="str">
        <f t="shared" si="27"/>
        <v/>
      </c>
    </row>
    <row r="74" spans="1:13">
      <c r="A74">
        <v>8</v>
      </c>
      <c r="B74" s="13" t="str">
        <f>IF($B$12="","",$B$12)</f>
        <v/>
      </c>
      <c r="C74" s="13" t="str">
        <f t="shared" si="24"/>
        <v/>
      </c>
      <c r="D74" s="13" t="str">
        <f t="shared" si="25"/>
        <v/>
      </c>
      <c r="E74" s="13" t="str">
        <f t="shared" si="26"/>
        <v/>
      </c>
      <c r="F74" t="str">
        <f t="shared" si="27"/>
        <v/>
      </c>
    </row>
    <row r="75" spans="1:13">
      <c r="A75">
        <v>9</v>
      </c>
      <c r="B75" s="13" t="str">
        <f>IF($B$13="","",$B$13)</f>
        <v/>
      </c>
      <c r="C75" s="13" t="str">
        <f t="shared" si="24"/>
        <v/>
      </c>
      <c r="D75" s="13" t="str">
        <f t="shared" si="25"/>
        <v/>
      </c>
      <c r="E75" s="13" t="str">
        <f t="shared" si="26"/>
        <v/>
      </c>
      <c r="F75" t="str">
        <f t="shared" si="27"/>
        <v/>
      </c>
    </row>
    <row r="76" spans="1:13">
      <c r="A76">
        <v>10</v>
      </c>
      <c r="B76" s="13" t="str">
        <f>IF($B$14="","",$B$14)</f>
        <v/>
      </c>
      <c r="C76" s="13" t="str">
        <f t="shared" si="24"/>
        <v/>
      </c>
      <c r="D76" s="13" t="str">
        <f t="shared" si="25"/>
        <v/>
      </c>
      <c r="E76" s="13" t="str">
        <f t="shared" si="26"/>
        <v/>
      </c>
      <c r="F76" t="str">
        <f t="shared" si="27"/>
        <v/>
      </c>
    </row>
    <row r="80" spans="1:13" ht="18.600000000000001" thickBot="1">
      <c r="A80" s="72"/>
      <c r="B80" s="72"/>
      <c r="C80" s="72"/>
      <c r="D80" s="72"/>
      <c r="E80" s="72"/>
      <c r="F80" s="72"/>
      <c r="G80" s="72"/>
      <c r="H80" s="72"/>
      <c r="I80" s="72"/>
      <c r="J80" s="72"/>
      <c r="K80" s="72"/>
      <c r="L80" s="72"/>
      <c r="M80" s="72"/>
    </row>
    <row r="81" spans="1:13" ht="18.600000000000001" thickTop="1"/>
    <row r="82" spans="1:13">
      <c r="B82" s="1" t="s">
        <v>96</v>
      </c>
    </row>
    <row r="83" spans="1:13">
      <c r="B83" t="s">
        <v>93</v>
      </c>
      <c r="C83" s="48" t="s">
        <v>123</v>
      </c>
      <c r="D83" s="45" t="s">
        <v>84</v>
      </c>
      <c r="E83" s="45" t="s">
        <v>85</v>
      </c>
    </row>
    <row r="84" spans="1:13">
      <c r="A84">
        <v>1</v>
      </c>
      <c r="B84" s="13" t="str">
        <f>IF($B$5="","",$B$5)</f>
        <v>脳卒中予防</v>
      </c>
      <c r="C84" s="13">
        <f t="shared" ref="C84:C93" si="28">IF($I5="","",$I5)</f>
        <v>100</v>
      </c>
      <c r="D84" s="13">
        <f t="shared" ref="D84:D93" si="29">IF($C84="","",$C84-$AS5)</f>
        <v>68</v>
      </c>
      <c r="E84" s="13">
        <f>IF($C84="","",$AT5-$C84)</f>
        <v>0</v>
      </c>
    </row>
    <row r="85" spans="1:13">
      <c r="A85">
        <v>2</v>
      </c>
      <c r="B85" s="13" t="str">
        <f>IF($B$6="","",$B$6)</f>
        <v>心不全予防</v>
      </c>
      <c r="C85" s="13">
        <f t="shared" si="28"/>
        <v>30</v>
      </c>
      <c r="D85" s="13">
        <f t="shared" si="29"/>
        <v>30</v>
      </c>
      <c r="E85" s="13">
        <f>IF($C85="","",$AT6-$C85)</f>
        <v>68</v>
      </c>
    </row>
    <row r="86" spans="1:13">
      <c r="A86">
        <v>3</v>
      </c>
      <c r="B86" s="13" t="str">
        <f>IF($B$7="","",$B$7)</f>
        <v>めまい</v>
      </c>
      <c r="C86" s="13">
        <f t="shared" si="28"/>
        <v>50</v>
      </c>
      <c r="D86" s="13">
        <f t="shared" si="29"/>
        <v>50</v>
      </c>
      <c r="E86" s="13">
        <f>IF($C86="","",$AT7-$C86)</f>
        <v>50</v>
      </c>
    </row>
    <row r="87" spans="1:13">
      <c r="A87">
        <v>4</v>
      </c>
      <c r="B87" s="13" t="str">
        <f>IF($B$8="","",$B$8)</f>
        <v>頻尿</v>
      </c>
      <c r="C87" s="13">
        <f t="shared" si="28"/>
        <v>20</v>
      </c>
      <c r="D87" s="13">
        <f t="shared" si="29"/>
        <v>20</v>
      </c>
      <c r="E87" s="13">
        <f>IF($C87="","",$AT8-$C87)</f>
        <v>80</v>
      </c>
    </row>
    <row r="88" spans="1:13">
      <c r="A88">
        <v>5</v>
      </c>
      <c r="B88" s="13" t="str">
        <f>IF($B$9="","",$B$9)</f>
        <v>転倒</v>
      </c>
      <c r="C88" s="13">
        <f t="shared" si="28"/>
        <v>30</v>
      </c>
      <c r="D88" s="13">
        <f t="shared" si="29"/>
        <v>30</v>
      </c>
      <c r="E88" s="13">
        <v>70</v>
      </c>
    </row>
    <row r="89" spans="1:13">
      <c r="A89">
        <v>6</v>
      </c>
      <c r="B89" s="13" t="str">
        <f>IF($B$10="","",$B$10)</f>
        <v/>
      </c>
      <c r="C89" s="13" t="str">
        <f t="shared" si="28"/>
        <v/>
      </c>
      <c r="D89" s="13" t="str">
        <f t="shared" si="29"/>
        <v/>
      </c>
      <c r="E89" s="13" t="str">
        <f>IF($C89="","",$AT10-$C89)</f>
        <v/>
      </c>
    </row>
    <row r="90" spans="1:13">
      <c r="A90">
        <v>7</v>
      </c>
      <c r="B90" s="13" t="str">
        <f>IF($B$11="","",$B$11)</f>
        <v/>
      </c>
      <c r="C90" s="13" t="str">
        <f t="shared" si="28"/>
        <v/>
      </c>
      <c r="D90" s="13" t="str">
        <f t="shared" si="29"/>
        <v/>
      </c>
      <c r="E90" s="13" t="str">
        <f>IF($C90="","",$AT11-$C90)</f>
        <v/>
      </c>
    </row>
    <row r="91" spans="1:13">
      <c r="A91">
        <v>8</v>
      </c>
      <c r="B91" s="13" t="str">
        <f>IF($B$12="","",$B$12)</f>
        <v/>
      </c>
      <c r="C91" s="13" t="str">
        <f t="shared" si="28"/>
        <v/>
      </c>
      <c r="D91" s="13" t="str">
        <f t="shared" si="29"/>
        <v/>
      </c>
      <c r="E91" s="13" t="str">
        <f>IF($C91="","",$AT12-$C91)</f>
        <v/>
      </c>
    </row>
    <row r="92" spans="1:13">
      <c r="A92">
        <v>9</v>
      </c>
      <c r="B92" s="13" t="str">
        <f>IF($B$13="","",$B$13)</f>
        <v/>
      </c>
      <c r="C92" s="13" t="str">
        <f t="shared" si="28"/>
        <v/>
      </c>
      <c r="D92" s="13" t="str">
        <f t="shared" si="29"/>
        <v/>
      </c>
      <c r="E92" s="13" t="str">
        <f>IF($C92="","",$AT13-$C92)</f>
        <v/>
      </c>
    </row>
    <row r="93" spans="1:13">
      <c r="A93">
        <v>10</v>
      </c>
      <c r="B93" s="13" t="str">
        <f>IF($B$14="","",$B$14)</f>
        <v/>
      </c>
      <c r="C93" s="13" t="str">
        <f t="shared" si="28"/>
        <v/>
      </c>
      <c r="D93" s="13" t="str">
        <f t="shared" si="29"/>
        <v/>
      </c>
      <c r="E93" s="13" t="str">
        <f>IF($C93="","",$AT14-$C93)</f>
        <v/>
      </c>
    </row>
    <row r="96" spans="1:13" ht="18.600000000000001" thickBot="1">
      <c r="A96" s="72"/>
      <c r="B96" s="72"/>
      <c r="C96" s="72"/>
      <c r="D96" s="72"/>
      <c r="E96" s="72"/>
      <c r="F96" s="72"/>
      <c r="G96" s="72"/>
      <c r="H96" s="72"/>
      <c r="I96" s="72"/>
      <c r="J96" s="72"/>
      <c r="K96" s="72"/>
      <c r="L96" s="72"/>
      <c r="M96" s="72"/>
    </row>
    <row r="97" ht="18.600000000000001" thickTop="1"/>
  </sheetData>
  <phoneticPr fontId="3"/>
  <dataValidations count="2">
    <dataValidation type="list" allowBlank="1" showInputMessage="1" showErrorMessage="1" sqref="C5:C14" xr:uid="{1B473EB9-27A3-46E5-BE60-1FF526E57978}">
      <formula1>"益,害,負担,費用"</formula1>
    </dataValidation>
    <dataValidation type="list" allowBlank="1" showInputMessage="1" showErrorMessage="1" sqref="D5:D14" xr:uid="{7E34CE78-3D49-4FB5-8E63-1D1AD29CCF00}">
      <formula1>"有益事象,有害事象"</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B627B-A2AC-4303-A102-0667F31B6FCB}">
  <dimension ref="A1:AY160"/>
  <sheetViews>
    <sheetView zoomScaleNormal="100" workbookViewId="0">
      <selection activeCell="G3" sqref="G3"/>
    </sheetView>
  </sheetViews>
  <sheetFormatPr defaultRowHeight="18"/>
  <cols>
    <col min="1" max="1" width="6.69921875" customWidth="1"/>
    <col min="2" max="2" width="25.3984375" customWidth="1"/>
    <col min="3" max="3" width="14.296875" customWidth="1"/>
    <col min="4" max="4" width="12.69921875" customWidth="1"/>
    <col min="6" max="6" width="10.59765625" customWidth="1"/>
    <col min="8" max="8" width="4.796875" customWidth="1"/>
    <col min="9" max="9" width="11.8984375" customWidth="1"/>
    <col min="10" max="10" width="7.796875" customWidth="1"/>
    <col min="11" max="11" width="8.69921875" customWidth="1"/>
    <col min="12" max="12" width="11.8984375" customWidth="1"/>
    <col min="13" max="14" width="10.796875" customWidth="1"/>
    <col min="15" max="15" width="17.296875" customWidth="1"/>
    <col min="16" max="16" width="27.5" customWidth="1"/>
    <col min="27" max="27" width="10.796875" customWidth="1"/>
    <col min="28" max="28" width="3.09765625" customWidth="1"/>
    <col min="39" max="39" width="4.8984375" customWidth="1"/>
    <col min="40" max="40" width="12.19921875" customWidth="1"/>
    <col min="42" max="42" width="9.796875" customWidth="1"/>
    <col min="43" max="43" width="10.19921875" customWidth="1"/>
    <col min="44" max="44" width="10.3984375" customWidth="1"/>
    <col min="45" max="45" width="9.69921875" customWidth="1"/>
    <col min="48" max="48" width="9.69921875" customWidth="1"/>
    <col min="49" max="49" width="10.69921875" customWidth="1"/>
    <col min="50" max="50" width="10.3984375" customWidth="1"/>
    <col min="51" max="51" width="11.59765625" customWidth="1"/>
  </cols>
  <sheetData>
    <row r="1" spans="1:51">
      <c r="A1" s="1" t="s">
        <v>0</v>
      </c>
      <c r="J1" s="1" t="s">
        <v>1</v>
      </c>
    </row>
    <row r="2" spans="1:51">
      <c r="A2" s="1"/>
      <c r="B2" t="s">
        <v>2</v>
      </c>
    </row>
    <row r="3" spans="1:51">
      <c r="B3" t="s">
        <v>39</v>
      </c>
      <c r="G3" s="75" t="s">
        <v>155</v>
      </c>
      <c r="Q3" t="s">
        <v>3</v>
      </c>
      <c r="AA3" t="s">
        <v>4</v>
      </c>
      <c r="AC3" t="s">
        <v>5</v>
      </c>
      <c r="AP3" t="s">
        <v>82</v>
      </c>
      <c r="AV3" t="s">
        <v>80</v>
      </c>
    </row>
    <row r="4" spans="1:51" ht="108">
      <c r="A4" t="s">
        <v>6</v>
      </c>
      <c r="B4" s="3" t="s">
        <v>7</v>
      </c>
      <c r="C4" s="4" t="s">
        <v>8</v>
      </c>
      <c r="D4" s="4" t="s">
        <v>9</v>
      </c>
      <c r="E4" s="4" t="s">
        <v>10</v>
      </c>
      <c r="F4" s="4" t="s">
        <v>11</v>
      </c>
      <c r="G4" s="4" t="s">
        <v>12</v>
      </c>
      <c r="H4" s="3" t="s">
        <v>13</v>
      </c>
      <c r="I4" s="4" t="s">
        <v>129</v>
      </c>
      <c r="J4" s="4" t="s">
        <v>14</v>
      </c>
      <c r="K4" s="4" t="s">
        <v>15</v>
      </c>
      <c r="L4" s="76" t="s">
        <v>130</v>
      </c>
      <c r="M4" s="4" t="s">
        <v>127</v>
      </c>
      <c r="N4" s="4" t="s">
        <v>128</v>
      </c>
      <c r="O4" s="4" t="s">
        <v>131</v>
      </c>
      <c r="P4" s="77" t="s">
        <v>16</v>
      </c>
      <c r="Q4" s="7" t="str">
        <f>IF($B5="","",$B5)</f>
        <v>1ヶ月以降1年以内の再発無し</v>
      </c>
      <c r="R4" s="7" t="str">
        <f>IF($B6="","",$B6)</f>
        <v>虫垂切除（1ヶ月以内）</v>
      </c>
      <c r="S4" s="7" t="str">
        <f>IF($B7="","",$B7)</f>
        <v>主要な合併症</v>
      </c>
      <c r="T4" s="7" t="str">
        <f>IF($B8="","",$B8)</f>
        <v>その他の合併症</v>
      </c>
      <c r="U4" s="7" t="str">
        <f>IF($B9="","",$B9)</f>
        <v>入院期間</v>
      </c>
      <c r="V4" s="7" t="str">
        <f>IF($B10="","",$B10)</f>
        <v>病休期間</v>
      </c>
      <c r="W4" s="7" t="str">
        <f>IF($B11="","",$B11)</f>
        <v>費用</v>
      </c>
      <c r="X4" s="7" t="str">
        <f>IF($B12="","",$B12)</f>
        <v/>
      </c>
      <c r="Y4" s="7" t="str">
        <f>IF($B13="","",$B13)</f>
        <v/>
      </c>
      <c r="Z4" s="7" t="str">
        <f>IF($B14="","",$B14)</f>
        <v/>
      </c>
      <c r="AA4" s="8" t="s">
        <v>17</v>
      </c>
      <c r="AN4" s="8" t="s">
        <v>18</v>
      </c>
      <c r="AP4" t="s">
        <v>76</v>
      </c>
      <c r="AQ4" s="8" t="s">
        <v>137</v>
      </c>
      <c r="AR4" s="8" t="s">
        <v>138</v>
      </c>
      <c r="AS4" t="s">
        <v>79</v>
      </c>
      <c r="AT4" s="8" t="s">
        <v>142</v>
      </c>
      <c r="AV4" t="s">
        <v>76</v>
      </c>
      <c r="AW4" s="8" t="s">
        <v>137</v>
      </c>
      <c r="AX4" s="8" t="s">
        <v>138</v>
      </c>
      <c r="AY4" t="s">
        <v>81</v>
      </c>
    </row>
    <row r="5" spans="1:51">
      <c r="A5">
        <v>1</v>
      </c>
      <c r="B5" s="28" t="s">
        <v>19</v>
      </c>
      <c r="C5" s="9" t="s">
        <v>20</v>
      </c>
      <c r="D5" s="9" t="s">
        <v>21</v>
      </c>
      <c r="E5" s="9" t="s">
        <v>22</v>
      </c>
      <c r="F5" s="12">
        <v>1</v>
      </c>
      <c r="G5" s="12">
        <v>0.68991599999999997</v>
      </c>
      <c r="H5" s="17">
        <f>IF(F5="","",IF(G5="","",IF(F5&gt;G5,1,-1)))</f>
        <v>1</v>
      </c>
      <c r="I5" s="28">
        <v>-0.221</v>
      </c>
      <c r="J5" s="29">
        <v>-0.30299999999999999</v>
      </c>
      <c r="K5" s="29">
        <v>-0.14000000000000001</v>
      </c>
      <c r="L5" s="33">
        <f>IF(I5="","",100*I5/(F5-G5))</f>
        <v>-71.271010435881891</v>
      </c>
      <c r="M5" s="12">
        <v>100</v>
      </c>
      <c r="N5" s="31">
        <f>IF(M5&lt;&gt;"",M5/$M$15,"")</f>
        <v>0.52631578947368418</v>
      </c>
      <c r="O5" s="31">
        <f>IF(M5&lt;&gt;"",L5*N5,"")</f>
        <v>-37.511058124148363</v>
      </c>
      <c r="P5" s="35" t="str">
        <f>IF(B5="","",B5)</f>
        <v>1ヶ月以降1年以内の再発無し</v>
      </c>
      <c r="Q5" s="31">
        <f>IF($I5="",0,IF($J5="",0,POWER(($I5-$J5)/1.96,2)))</f>
        <v>1.7503123698458971E-3</v>
      </c>
      <c r="R5" s="31">
        <f>IF(R18="",0,IF(R18=0,0,R18*(I5-J5)*(I6-J6)/1.96/1.96))</f>
        <v>-6.8304872969595872E-4</v>
      </c>
      <c r="S5" s="31">
        <f>IF(S18="",0,IF(S18=0,0,S18*(I5-J5)*(I7-J7)/1.96/1.96))</f>
        <v>0</v>
      </c>
      <c r="T5" s="31">
        <f>IF(T18="",0,IF(T18=0,0,T18*(I5-J5)*(I8-J8)/1.96/1.96))</f>
        <v>0</v>
      </c>
      <c r="U5" s="31">
        <f>IF(U18="",0,IF(U18=0,0,U18*(I5-J5)*(I9-J9)/1.96/1.96))</f>
        <v>0</v>
      </c>
      <c r="V5" s="31">
        <f>IF(V18="",0,IF(V18=0,0,V18*(I5-J5)*(I10-J10)/1.96/1.96))</f>
        <v>0</v>
      </c>
      <c r="W5" s="31">
        <f>IF(W18="",0,IF(W18=0,0,W18*(I5-J5)*(I11-J11)/1.96/1.96))</f>
        <v>0</v>
      </c>
      <c r="X5" s="31">
        <f>IF(X18="",0,IF(X18=0,0,X18*(I5-J5)*(I12-J12)/1.96/1.96))</f>
        <v>0</v>
      </c>
      <c r="Y5" s="31">
        <f>IF(Y18="",0,IF(Y18=0,0,Y18*(I5-J5)*(I13-J13)/1.96/1.96))</f>
        <v>0</v>
      </c>
      <c r="Z5" s="31">
        <f>IF(Z18="",0,IF(Z18=0,0,Z18*(I5-J5)*(I14-J14)/1.96/1.96))</f>
        <v>0</v>
      </c>
      <c r="AA5" s="17">
        <f>IF(N5="",0,N5*100/(F5-G5))</f>
        <v>169.73329467940434</v>
      </c>
      <c r="AC5" s="31">
        <f t="shared" ref="AC5:AL14" si="0">Q5*$AA5</f>
        <v>0.29708628525206021</v>
      </c>
      <c r="AD5" s="31">
        <f t="shared" si="0"/>
        <v>-0.11593611131787697</v>
      </c>
      <c r="AE5" s="31">
        <f t="shared" si="0"/>
        <v>0</v>
      </c>
      <c r="AF5" s="31">
        <f t="shared" si="0"/>
        <v>0</v>
      </c>
      <c r="AG5" s="31">
        <f t="shared" si="0"/>
        <v>0</v>
      </c>
      <c r="AH5" s="31">
        <f t="shared" si="0"/>
        <v>0</v>
      </c>
      <c r="AI5" s="31">
        <f t="shared" si="0"/>
        <v>0</v>
      </c>
      <c r="AJ5" s="31">
        <f t="shared" si="0"/>
        <v>0</v>
      </c>
      <c r="AK5" s="31">
        <f t="shared" si="0"/>
        <v>0</v>
      </c>
      <c r="AL5" s="31">
        <f t="shared" si="0"/>
        <v>0</v>
      </c>
      <c r="AN5" s="31" cm="1">
        <f t="array" ref="AN5:AN14">MMULT(AC5:AL14,AA5:AA14)</f>
        <v>51.707550597437823</v>
      </c>
      <c r="AP5" s="31">
        <f>IF(O5="","",-1*($O$15-O5)*(F5-G5)/N5/100)</f>
        <v>-0.11057248370511007</v>
      </c>
      <c r="AQ5" s="31">
        <f>IF(AP5="","",IF(E5="二値変数",IF(I5&gt;AP5,IF(AP5&lt;-1,-1,AP5),IF(E5="二値変数",-1,"-∞")),AP5))</f>
        <v>-1</v>
      </c>
      <c r="AR5" s="65">
        <f>IF(AP5="","",IF(I5&lt;AP5,AP5,IF(E5="二値変数",1,"+∞")))</f>
        <v>-0.11057248370511007</v>
      </c>
      <c r="AS5" s="31">
        <f t="shared" ref="AS5:AS14" si="1">IF(I5="","",I5)</f>
        <v>-0.221</v>
      </c>
      <c r="AT5" s="31" t="str">
        <f>IF(AQ5="","",IF(AND(J5&gt;AQ18,K5&lt;AR18),"certain","uncertain"))</f>
        <v>certain</v>
      </c>
      <c r="AV5" s="31">
        <f>IF(O5="","",-$M$15*($O$15-O5)*(F5-G5)/I5/100)</f>
        <v>50.032798056610893</v>
      </c>
      <c r="AW5" s="31">
        <f t="shared" ref="AW5:AW14" si="2">IF(AV5="","",IF(AV5&lt;M5,IF(AV5&lt;0,0,AV5),0))</f>
        <v>50.032798056610893</v>
      </c>
      <c r="AX5" s="31">
        <f t="shared" ref="AX5:AX14" si="3">IF(AV5="","",IF(AV5&lt;M5,100,IF(AV5&gt;100,100,AV5)))</f>
        <v>100</v>
      </c>
      <c r="AY5" s="31">
        <f t="shared" ref="AY5:AY14" si="4">IF(M5="","",M5)</f>
        <v>100</v>
      </c>
    </row>
    <row r="6" spans="1:51">
      <c r="A6">
        <v>2</v>
      </c>
      <c r="B6" s="12" t="s">
        <v>23</v>
      </c>
      <c r="C6" s="9" t="s">
        <v>24</v>
      </c>
      <c r="D6" s="14" t="s">
        <v>25</v>
      </c>
      <c r="E6" s="9" t="s">
        <v>22</v>
      </c>
      <c r="F6" s="12">
        <v>4.8152E-2</v>
      </c>
      <c r="G6" s="12">
        <v>1</v>
      </c>
      <c r="H6" s="17">
        <f t="shared" ref="H6:H14" si="5">IF(F6="","",IF(G6="","",IF(F6&gt;G6,1,-1)))</f>
        <v>-1</v>
      </c>
      <c r="I6" s="12">
        <v>-0.90400000000000003</v>
      </c>
      <c r="J6" s="29">
        <v>-0.94399999999999995</v>
      </c>
      <c r="K6" s="29">
        <v>-0.86299999999999999</v>
      </c>
      <c r="L6" s="33">
        <f t="shared" ref="L6:L14" si="6">IF(I6="","",100*I6/(F6-G6))</f>
        <v>94.973146973046113</v>
      </c>
      <c r="M6" s="12">
        <v>20</v>
      </c>
      <c r="N6" s="31">
        <f t="shared" ref="N6:N14" si="7">IF(M6&lt;&gt;"",M6/$M$15,"")</f>
        <v>0.10526315789473684</v>
      </c>
      <c r="O6" s="31">
        <f t="shared" ref="O6:O14" si="8">IF(M6&lt;&gt;"",L6*N6,"")</f>
        <v>9.9971733655838015</v>
      </c>
      <c r="P6" s="35" t="str">
        <f t="shared" ref="P6:P14" si="9">IF(B6="","",B6)</f>
        <v>虫垂切除（1ヶ月以内）</v>
      </c>
      <c r="Q6" s="31">
        <f>R$5</f>
        <v>-6.8304872969595872E-4</v>
      </c>
      <c r="R6" s="31">
        <f>IF($I6="",0,IF($J6="",0,POWER(($I6-$J6)/1.96,2)))</f>
        <v>4.1649312786338864E-4</v>
      </c>
      <c r="S6" s="31">
        <f>IF(S19="",0,IF(S19=0,0,S19*(I6-J6)*(I7-J7)/1.96/1.96))</f>
        <v>0</v>
      </c>
      <c r="T6" s="31">
        <f>IF(T19="",0,IF(T19=0,0,T19*(I6-J6)*(I8-J8)/1.96/1.96))</f>
        <v>0</v>
      </c>
      <c r="U6" s="31">
        <f>IF(U19="",0,IF(U19=0,0,U19*(I6-J6)*(I9-J9)/1.96/1.96))</f>
        <v>0</v>
      </c>
      <c r="V6" s="31">
        <f>IF(V19="",0,IF(V19=0,0,V19*(I6-J6)*(I10-J10)/1.96/1.96))</f>
        <v>0</v>
      </c>
      <c r="W6" s="31">
        <f>IF(W19="",0,IF(W19=0,0,W19*(I6-J6)*(I11-J11)/1.96/1.96))</f>
        <v>0</v>
      </c>
      <c r="X6" s="31">
        <f>IF(X19="",0,IF(X19=0,0,X19*(I6-J6)*(I12-J12)/1.96/1.96))</f>
        <v>0</v>
      </c>
      <c r="Y6" s="31">
        <f>IF(Y19="",0,IF(Y19=0,0,Y19*(I6-J6)*(I13-J13)/1.96/1.96))</f>
        <v>0</v>
      </c>
      <c r="Z6" s="31">
        <f>IF(Z19="",0,IF(Z19=0,0,Z19*(I6-J6)*(I14-J14)/1.96/1.96))</f>
        <v>0</v>
      </c>
      <c r="AA6" s="17">
        <f t="shared" ref="AA6:AA14" si="10">IF(N6="",0,N6*100/(F6-G6))</f>
        <v>-11.058820094672345</v>
      </c>
      <c r="AC6" s="31">
        <f t="shared" si="0"/>
        <v>7.5537130176020874E-3</v>
      </c>
      <c r="AD6" s="31">
        <f t="shared" si="0"/>
        <v>-4.6059225717085808E-3</v>
      </c>
      <c r="AE6" s="31">
        <f t="shared" si="0"/>
        <v>0</v>
      </c>
      <c r="AF6" s="31">
        <f t="shared" si="0"/>
        <v>0</v>
      </c>
      <c r="AG6" s="31">
        <f t="shared" si="0"/>
        <v>0</v>
      </c>
      <c r="AH6" s="31">
        <f t="shared" si="0"/>
        <v>0</v>
      </c>
      <c r="AI6" s="31">
        <f t="shared" si="0"/>
        <v>0</v>
      </c>
      <c r="AJ6" s="31">
        <f t="shared" si="0"/>
        <v>0</v>
      </c>
      <c r="AK6" s="31">
        <f t="shared" si="0"/>
        <v>0</v>
      </c>
      <c r="AL6" s="31">
        <f t="shared" si="0"/>
        <v>0</v>
      </c>
      <c r="AN6" s="31">
        <v>1.3330526666308236</v>
      </c>
      <c r="AP6" s="31">
        <f t="shared" ref="AP6:AP14" si="11">IF(O6="","",-1*($O$15-O6)*(F6-G6)/N6/100)</f>
        <v>-2.5988667220859254</v>
      </c>
      <c r="AQ6" s="31">
        <f t="shared" ref="AQ6:AQ14" si="12">IF(AP6="","",IF(E6="二値変数",IF(I6&gt;AP6,IF(AP6&lt;-1,-1,AP6),IF(E6="二値変数",-1,"-∞")),AP6))</f>
        <v>-1</v>
      </c>
      <c r="AR6" s="65">
        <f t="shared" ref="AR6:AR14" si="13">IF(AP6="","",IF(I6&lt;AP6,AP6,IF(E6="二値変数",1,"+∞")))</f>
        <v>1</v>
      </c>
      <c r="AS6" s="31">
        <f t="shared" si="1"/>
        <v>-0.90400000000000003</v>
      </c>
      <c r="AT6" s="31" t="str">
        <f t="shared" ref="AT6:AT14" si="14">IF(AQ6="","",IF(AND(J6&gt;AQ19,K6&lt;AR19),"certain","uncertain"))</f>
        <v>certain</v>
      </c>
      <c r="AV6" s="31">
        <f t="shared" ref="AV6:AV14" si="15">IF(O6="","",-$M$15*($O$15-O6)*(F6-G6)/I6/100)</f>
        <v>57.497051373582416</v>
      </c>
      <c r="AW6" s="31">
        <f t="shared" si="2"/>
        <v>0</v>
      </c>
      <c r="AX6" s="31">
        <f t="shared" si="3"/>
        <v>57.497051373582416</v>
      </c>
      <c r="AY6" s="31">
        <f t="shared" si="4"/>
        <v>20</v>
      </c>
    </row>
    <row r="7" spans="1:51">
      <c r="A7">
        <v>3</v>
      </c>
      <c r="B7" s="12" t="s">
        <v>26</v>
      </c>
      <c r="C7" s="9" t="s">
        <v>24</v>
      </c>
      <c r="D7" s="14" t="s">
        <v>25</v>
      </c>
      <c r="E7" s="9" t="s">
        <v>22</v>
      </c>
      <c r="F7" s="12">
        <v>1.4028000000000001E-2</v>
      </c>
      <c r="G7" s="12">
        <v>0.153972</v>
      </c>
      <c r="H7" s="17">
        <f t="shared" si="5"/>
        <v>-1</v>
      </c>
      <c r="I7" s="12">
        <v>-2.5000000000000001E-2</v>
      </c>
      <c r="J7" s="29">
        <v>-6.3E-2</v>
      </c>
      <c r="K7" s="29">
        <v>1.2E-2</v>
      </c>
      <c r="L7" s="33">
        <f t="shared" si="6"/>
        <v>17.864288572571887</v>
      </c>
      <c r="M7" s="12">
        <v>20</v>
      </c>
      <c r="N7" s="31">
        <f t="shared" si="7"/>
        <v>0.10526315789473684</v>
      </c>
      <c r="O7" s="31">
        <f t="shared" si="8"/>
        <v>1.8804514286917775</v>
      </c>
      <c r="P7" s="35" t="str">
        <f t="shared" si="9"/>
        <v>主要な合併症</v>
      </c>
      <c r="Q7" s="31">
        <f>S$5</f>
        <v>0</v>
      </c>
      <c r="R7" s="31">
        <f>S$6</f>
        <v>0</v>
      </c>
      <c r="S7" s="31">
        <f>IF($I7="",0,IF($J7="",0,POWER(($I7-$J7)/1.96,2)))</f>
        <v>3.7588504789670972E-4</v>
      </c>
      <c r="T7" s="31">
        <f>IF(T20="",0,IF(T20=0,0,T20*(I7-J7)*(I8-J8)/1.96/1.96))</f>
        <v>0</v>
      </c>
      <c r="U7" s="31">
        <f>IF(U20="",0,IF(U20=0,0,U20*(I7-J7)*(I9-J9)/1.96/1.96))</f>
        <v>0</v>
      </c>
      <c r="V7" s="31">
        <f>IF(V20="",0,IF(V20=0,0,V20*(I7-J7)*(I10-J10)/1.96/1.96))</f>
        <v>0</v>
      </c>
      <c r="W7" s="31">
        <f>IF(W20="",0,IF(W20=0,0,W20*(I7-J7)*(I11-J11)/1.96/1.96))</f>
        <v>0</v>
      </c>
      <c r="X7" s="31">
        <f>IF(X20="",0,IF(X20=0,0,X20*(I7-J7)*(I12-J12)/1.96/1.96))</f>
        <v>0</v>
      </c>
      <c r="Y7" s="31">
        <f>IF(Y20="",0,IF(Y20=0,0,Y20*(I7-J7)*(I13-J13)/1.96/1.96))</f>
        <v>0</v>
      </c>
      <c r="Z7" s="31">
        <f>IF(Z20="",0,IF(Z20=0,0,Z20*(I7-J7)*(I14-J14)/1.96/1.96))</f>
        <v>0</v>
      </c>
      <c r="AA7" s="17">
        <f t="shared" si="10"/>
        <v>-75.218057147671104</v>
      </c>
      <c r="AC7" s="31">
        <f t="shared" si="0"/>
        <v>0</v>
      </c>
      <c r="AD7" s="31">
        <f t="shared" si="0"/>
        <v>0</v>
      </c>
      <c r="AE7" s="31">
        <f t="shared" si="0"/>
        <v>-2.8273343013649803E-2</v>
      </c>
      <c r="AF7" s="31">
        <f t="shared" si="0"/>
        <v>0</v>
      </c>
      <c r="AG7" s="31">
        <f t="shared" si="0"/>
        <v>0</v>
      </c>
      <c r="AH7" s="31">
        <f t="shared" si="0"/>
        <v>0</v>
      </c>
      <c r="AI7" s="31">
        <f t="shared" si="0"/>
        <v>0</v>
      </c>
      <c r="AJ7" s="31">
        <f t="shared" si="0"/>
        <v>0</v>
      </c>
      <c r="AK7" s="31">
        <f t="shared" si="0"/>
        <v>0</v>
      </c>
      <c r="AL7" s="31">
        <f t="shared" si="0"/>
        <v>0</v>
      </c>
      <c r="AN7" s="31">
        <v>2.1266659305564186</v>
      </c>
      <c r="AP7" s="31">
        <f t="shared" si="11"/>
        <v>-0.27418519401794478</v>
      </c>
      <c r="AQ7" s="31">
        <f t="shared" si="12"/>
        <v>-0.27418519401794478</v>
      </c>
      <c r="AR7" s="65">
        <f t="shared" si="13"/>
        <v>1</v>
      </c>
      <c r="AS7" s="31">
        <f t="shared" si="1"/>
        <v>-2.5000000000000001E-2</v>
      </c>
      <c r="AT7" s="31" t="str">
        <f t="shared" si="14"/>
        <v>certain</v>
      </c>
      <c r="AV7" s="31">
        <f t="shared" si="15"/>
        <v>219.34815521435578</v>
      </c>
      <c r="AW7" s="31">
        <f t="shared" si="2"/>
        <v>0</v>
      </c>
      <c r="AX7" s="31">
        <f t="shared" si="3"/>
        <v>100</v>
      </c>
      <c r="AY7" s="31">
        <f t="shared" si="4"/>
        <v>20</v>
      </c>
    </row>
    <row r="8" spans="1:51">
      <c r="A8">
        <v>4</v>
      </c>
      <c r="B8" s="12" t="s">
        <v>27</v>
      </c>
      <c r="C8" s="9" t="s">
        <v>24</v>
      </c>
      <c r="D8" s="14" t="s">
        <v>25</v>
      </c>
      <c r="E8" s="9" t="s">
        <v>22</v>
      </c>
      <c r="F8" s="12">
        <v>9.7699999999999992E-3</v>
      </c>
      <c r="G8" s="12">
        <v>0.19206400000000001</v>
      </c>
      <c r="H8" s="17">
        <f t="shared" si="5"/>
        <v>-1</v>
      </c>
      <c r="I8" s="12">
        <v>-0.09</v>
      </c>
      <c r="J8" s="29">
        <v>-0.17199999999999999</v>
      </c>
      <c r="K8" s="29">
        <v>-2E-3</v>
      </c>
      <c r="L8" s="33">
        <f t="shared" si="6"/>
        <v>49.370796625231762</v>
      </c>
      <c r="M8" s="12">
        <v>15</v>
      </c>
      <c r="N8" s="31">
        <f t="shared" si="7"/>
        <v>7.8947368421052627E-2</v>
      </c>
      <c r="O8" s="31">
        <f t="shared" si="8"/>
        <v>3.8976944704130334</v>
      </c>
      <c r="P8" s="35" t="str">
        <f t="shared" si="9"/>
        <v>その他の合併症</v>
      </c>
      <c r="Q8" s="31">
        <f>T$5</f>
        <v>0</v>
      </c>
      <c r="R8" s="31">
        <f>T$6</f>
        <v>0</v>
      </c>
      <c r="S8" s="31">
        <f>T$7</f>
        <v>0</v>
      </c>
      <c r="T8" s="31">
        <f>IF($I8="",0,IF($J8="",0,POWER(($I8-$J8)/1.96,2)))</f>
        <v>1.7503123698458971E-3</v>
      </c>
      <c r="U8" s="31">
        <f>IF(U21="",0,IF(U21=0,0,U21*(I8-J8)*(I9-J9)/1.96/1.96))</f>
        <v>0</v>
      </c>
      <c r="V8" s="31">
        <f>IF(V21="",0,IF(V21=0,0,V21*(I8-J8)*(I10-J10)/1.96/1.96))</f>
        <v>0</v>
      </c>
      <c r="W8" s="31">
        <f>IF(W21="",0,IF(W21=0,0,W21*(I8-J8)*(I11-J11)/1.96/1.96))</f>
        <v>0</v>
      </c>
      <c r="X8" s="31">
        <f>IF(X21="",0,IF(X21=0,0,X21*(I8-J8)*(I12-J12)/1.96/1.96))</f>
        <v>0</v>
      </c>
      <c r="Y8" s="31">
        <f>IF(Y21="",0,IF(Y21=0,0,Y21*(I8-J8)*(I13-J13)/1.96/1.96))</f>
        <v>0</v>
      </c>
      <c r="Z8" s="31">
        <f>IF(Z21="",0,IF(Z21=0,0,Z21*(I8-J8)*(I14-J14)/1.96/1.96))</f>
        <v>0</v>
      </c>
      <c r="AA8" s="17">
        <f t="shared" si="10"/>
        <v>-43.307716337922599</v>
      </c>
      <c r="AC8" s="31">
        <f t="shared" si="0"/>
        <v>0</v>
      </c>
      <c r="AD8" s="31">
        <f t="shared" si="0"/>
        <v>0</v>
      </c>
      <c r="AE8" s="31">
        <f t="shared" si="0"/>
        <v>0</v>
      </c>
      <c r="AF8" s="31">
        <f t="shared" si="0"/>
        <v>-7.5802031616043181E-2</v>
      </c>
      <c r="AG8" s="31">
        <f t="shared" si="0"/>
        <v>0</v>
      </c>
      <c r="AH8" s="31">
        <f t="shared" si="0"/>
        <v>0</v>
      </c>
      <c r="AI8" s="31">
        <f t="shared" si="0"/>
        <v>0</v>
      </c>
      <c r="AJ8" s="31">
        <f t="shared" si="0"/>
        <v>0</v>
      </c>
      <c r="AK8" s="31">
        <f t="shared" si="0"/>
        <v>0</v>
      </c>
      <c r="AL8" s="31">
        <f t="shared" si="0"/>
        <v>0</v>
      </c>
      <c r="AN8" s="31">
        <v>3.2828128830658385</v>
      </c>
      <c r="AP8" s="31">
        <f t="shared" si="11"/>
        <v>-0.52279183824298514</v>
      </c>
      <c r="AQ8" s="31">
        <f t="shared" si="12"/>
        <v>-0.52279183824298514</v>
      </c>
      <c r="AR8" s="65">
        <f t="shared" si="13"/>
        <v>1</v>
      </c>
      <c r="AS8" s="31">
        <f t="shared" si="1"/>
        <v>-0.09</v>
      </c>
      <c r="AT8" s="31" t="str">
        <f t="shared" si="14"/>
        <v>certain</v>
      </c>
      <c r="AV8" s="31">
        <f t="shared" si="15"/>
        <v>87.131973040497499</v>
      </c>
      <c r="AW8" s="31">
        <f t="shared" si="2"/>
        <v>0</v>
      </c>
      <c r="AX8" s="31">
        <f t="shared" si="3"/>
        <v>87.131973040497499</v>
      </c>
      <c r="AY8" s="31">
        <f t="shared" si="4"/>
        <v>15</v>
      </c>
    </row>
    <row r="9" spans="1:51">
      <c r="A9">
        <v>5</v>
      </c>
      <c r="B9" s="12" t="s">
        <v>28</v>
      </c>
      <c r="C9" s="9" t="s">
        <v>29</v>
      </c>
      <c r="D9" s="14" t="s">
        <v>25</v>
      </c>
      <c r="E9" s="9" t="s">
        <v>30</v>
      </c>
      <c r="F9" s="12">
        <v>1.6055999999999999</v>
      </c>
      <c r="G9" s="12">
        <v>4.1143999999999998</v>
      </c>
      <c r="H9" s="17">
        <f t="shared" si="5"/>
        <v>-1</v>
      </c>
      <c r="I9" s="12">
        <v>0.39</v>
      </c>
      <c r="J9" s="29">
        <v>0.251</v>
      </c>
      <c r="K9" s="29">
        <v>0.59</v>
      </c>
      <c r="L9" s="33">
        <f t="shared" si="6"/>
        <v>-15.545280612244898</v>
      </c>
      <c r="M9" s="12">
        <v>10</v>
      </c>
      <c r="N9" s="31">
        <f t="shared" si="7"/>
        <v>5.2631578947368418E-2</v>
      </c>
      <c r="O9" s="31">
        <f t="shared" si="8"/>
        <v>-0.81817266380236298</v>
      </c>
      <c r="P9" s="35" t="str">
        <f t="shared" si="9"/>
        <v>入院期間</v>
      </c>
      <c r="Q9" s="31">
        <f>U$5</f>
        <v>0</v>
      </c>
      <c r="R9" s="31">
        <f>U$6</f>
        <v>0</v>
      </c>
      <c r="S9" s="31">
        <f>U$7</f>
        <v>0</v>
      </c>
      <c r="T9" s="31">
        <f>U$8</f>
        <v>0</v>
      </c>
      <c r="U9" s="31">
        <f>IF($I9="",0,IF($J9="",0,POWER(($I9-$J9)/1.96,2)))</f>
        <v>5.0294148271553523E-3</v>
      </c>
      <c r="V9" s="31">
        <f>IF(V22="",0,IF(V22=0,0,V22*(I9-J9)*(I10-J10)/1.96/1.96))</f>
        <v>0</v>
      </c>
      <c r="W9" s="31">
        <f>IF(W22="",0,IF(W22=0,0,W22*(I9-J9)*(I11-J11)/1.96/1.96))</f>
        <v>0</v>
      </c>
      <c r="X9" s="31">
        <f>IF(X22="",0,IF(X22=0,0,X22*(I9-J9)*(I12-J12)/1.96/1.96))</f>
        <v>0</v>
      </c>
      <c r="Y9" s="31">
        <f>IF(Y22="",0,IF(Y22=0,0,Y22*(I9-J9)*(I13-J13)/1.96/1.96))</f>
        <v>0</v>
      </c>
      <c r="Z9" s="31">
        <f>IF(Z22="",0,IF(Z22=0,0,Z22*(I9-J9)*(I14-J14)/1.96/1.96))</f>
        <v>0</v>
      </c>
      <c r="AA9" s="17">
        <f t="shared" si="10"/>
        <v>-2.097878625134264</v>
      </c>
      <c r="AC9" s="31">
        <f t="shared" si="0"/>
        <v>0</v>
      </c>
      <c r="AD9" s="31">
        <f t="shared" si="0"/>
        <v>0</v>
      </c>
      <c r="AE9" s="31">
        <f t="shared" si="0"/>
        <v>0</v>
      </c>
      <c r="AF9" s="31">
        <f t="shared" si="0"/>
        <v>0</v>
      </c>
      <c r="AG9" s="31">
        <f t="shared" si="0"/>
        <v>-1.0551101862822553E-2</v>
      </c>
      <c r="AH9" s="31">
        <f t="shared" si="0"/>
        <v>0</v>
      </c>
      <c r="AI9" s="31">
        <f t="shared" si="0"/>
        <v>0</v>
      </c>
      <c r="AJ9" s="31">
        <f t="shared" si="0"/>
        <v>0</v>
      </c>
      <c r="AK9" s="31">
        <f t="shared" si="0"/>
        <v>0</v>
      </c>
      <c r="AL9" s="31">
        <f t="shared" si="0"/>
        <v>0</v>
      </c>
      <c r="AN9" s="31">
        <v>2.213493106962975E-2</v>
      </c>
      <c r="AP9" s="31">
        <f t="shared" si="11"/>
        <v>-8.544371102043959</v>
      </c>
      <c r="AQ9" s="31">
        <f t="shared" si="12"/>
        <v>-8.544371102043959</v>
      </c>
      <c r="AR9" s="65" t="str">
        <f t="shared" si="13"/>
        <v>+∞</v>
      </c>
      <c r="AS9" s="31">
        <f t="shared" si="1"/>
        <v>0.39</v>
      </c>
      <c r="AT9" s="31" t="str">
        <f t="shared" si="14"/>
        <v>certain</v>
      </c>
      <c r="AV9" s="31">
        <f t="shared" si="15"/>
        <v>-219.08643851394763</v>
      </c>
      <c r="AW9" s="31">
        <f t="shared" si="2"/>
        <v>0</v>
      </c>
      <c r="AX9" s="31">
        <f t="shared" si="3"/>
        <v>100</v>
      </c>
      <c r="AY9" s="31">
        <f t="shared" si="4"/>
        <v>10</v>
      </c>
    </row>
    <row r="10" spans="1:51">
      <c r="A10">
        <v>6</v>
      </c>
      <c r="B10" s="12" t="s">
        <v>31</v>
      </c>
      <c r="C10" s="9" t="s">
        <v>29</v>
      </c>
      <c r="D10" s="14" t="s">
        <v>25</v>
      </c>
      <c r="E10" s="9" t="s">
        <v>30</v>
      </c>
      <c r="F10" s="12">
        <v>0</v>
      </c>
      <c r="G10" s="12">
        <v>21.434799999999999</v>
      </c>
      <c r="H10" s="17">
        <f t="shared" si="5"/>
        <v>-1</v>
      </c>
      <c r="I10" s="12">
        <v>-3.6</v>
      </c>
      <c r="J10" s="29">
        <v>-7.93</v>
      </c>
      <c r="K10" s="29">
        <v>0.74</v>
      </c>
      <c r="L10" s="33">
        <f t="shared" si="6"/>
        <v>16.79511821897102</v>
      </c>
      <c r="M10" s="12">
        <v>20</v>
      </c>
      <c r="N10" s="31">
        <f t="shared" si="7"/>
        <v>0.10526315789473684</v>
      </c>
      <c r="O10" s="31">
        <f t="shared" si="8"/>
        <v>1.7679071809443176</v>
      </c>
      <c r="P10" s="35" t="str">
        <f t="shared" si="9"/>
        <v>病休期間</v>
      </c>
      <c r="Q10" s="31">
        <f>V$5</f>
        <v>0</v>
      </c>
      <c r="R10" s="31">
        <f>V$6</f>
        <v>0</v>
      </c>
      <c r="S10" s="31">
        <f>V$7</f>
        <v>0</v>
      </c>
      <c r="T10" s="31">
        <f>V$8</f>
        <v>0</v>
      </c>
      <c r="U10" s="31">
        <f>V$9</f>
        <v>0</v>
      </c>
      <c r="V10" s="31">
        <f>IF($I10="",0,IF($J10="",0,POWER(($I10-$J10)/1.96,2)))</f>
        <v>4.8804925031236985</v>
      </c>
      <c r="W10" s="31">
        <f>IF(W23="",0,IF(W23=0,0,W23*(I10-J10)*(I11-J11)/1.96/1.96))</f>
        <v>0</v>
      </c>
      <c r="X10" s="31">
        <f>IF(X23="",0,IF(X23=0,0,X23*(I10-J10)*(I12-J12)/1.96/1.96))</f>
        <v>0</v>
      </c>
      <c r="Y10" s="31">
        <f>IF(Y23="",0,IF(Y23=0,0,Y23*(I10-J10)*(I13-J13)/1.96/1.96))</f>
        <v>0</v>
      </c>
      <c r="Z10" s="31">
        <f>IF(Z23="",0,IF(Z23=0,0,Z23*(I10-J10)*(I14-J14)/1.96/1.96))</f>
        <v>0</v>
      </c>
      <c r="AA10" s="17">
        <f t="shared" si="10"/>
        <v>-0.49108532804008825</v>
      </c>
      <c r="AC10" s="31">
        <f t="shared" si="0"/>
        <v>0</v>
      </c>
      <c r="AD10" s="31">
        <f t="shared" si="0"/>
        <v>0</v>
      </c>
      <c r="AE10" s="31">
        <f t="shared" si="0"/>
        <v>0</v>
      </c>
      <c r="AF10" s="31">
        <f t="shared" si="0"/>
        <v>0</v>
      </c>
      <c r="AG10" s="31">
        <f t="shared" si="0"/>
        <v>0</v>
      </c>
      <c r="AH10" s="31">
        <f t="shared" si="0"/>
        <v>-2.396738261893693</v>
      </c>
      <c r="AI10" s="31">
        <f t="shared" si="0"/>
        <v>0</v>
      </c>
      <c r="AJ10" s="31">
        <f t="shared" si="0"/>
        <v>0</v>
      </c>
      <c r="AK10" s="31">
        <f t="shared" si="0"/>
        <v>0</v>
      </c>
      <c r="AL10" s="31">
        <f t="shared" si="0"/>
        <v>0</v>
      </c>
      <c r="AN10" s="31">
        <v>1.1770029955682952</v>
      </c>
      <c r="AP10" s="31">
        <f t="shared" si="11"/>
        <v>-41.766943897100575</v>
      </c>
      <c r="AQ10" s="31">
        <f t="shared" si="12"/>
        <v>-41.766943897100575</v>
      </c>
      <c r="AR10" s="65" t="str">
        <f t="shared" si="13"/>
        <v>+∞</v>
      </c>
      <c r="AS10" s="31">
        <f t="shared" si="1"/>
        <v>-3.6</v>
      </c>
      <c r="AT10" s="31" t="str">
        <f t="shared" si="14"/>
        <v>certain</v>
      </c>
      <c r="AV10" s="31">
        <f t="shared" si="15"/>
        <v>232.03857720611427</v>
      </c>
      <c r="AW10" s="31">
        <f t="shared" si="2"/>
        <v>0</v>
      </c>
      <c r="AX10" s="31">
        <f t="shared" si="3"/>
        <v>100</v>
      </c>
      <c r="AY10" s="31">
        <f t="shared" si="4"/>
        <v>20</v>
      </c>
    </row>
    <row r="11" spans="1:51">
      <c r="A11">
        <v>7</v>
      </c>
      <c r="B11" s="12" t="s">
        <v>32</v>
      </c>
      <c r="C11" s="9" t="s">
        <v>33</v>
      </c>
      <c r="D11" s="14" t="s">
        <v>25</v>
      </c>
      <c r="E11" s="9" t="s">
        <v>30</v>
      </c>
      <c r="F11" s="12">
        <v>18.079999999999998</v>
      </c>
      <c r="G11" s="12">
        <v>61.88</v>
      </c>
      <c r="H11" s="17">
        <f t="shared" si="5"/>
        <v>-1</v>
      </c>
      <c r="I11" s="12">
        <v>-34</v>
      </c>
      <c r="J11" s="29">
        <v>-41</v>
      </c>
      <c r="K11" s="29">
        <v>-27</v>
      </c>
      <c r="L11" s="33">
        <f t="shared" si="6"/>
        <v>77.625570776255699</v>
      </c>
      <c r="M11" s="12">
        <v>5</v>
      </c>
      <c r="N11" s="31">
        <f t="shared" si="7"/>
        <v>2.6315789473684209E-2</v>
      </c>
      <c r="O11" s="31">
        <f t="shared" si="8"/>
        <v>2.0427781783225183</v>
      </c>
      <c r="P11" s="35" t="str">
        <f t="shared" si="9"/>
        <v>費用</v>
      </c>
      <c r="Q11" s="31">
        <f>W$5</f>
        <v>0</v>
      </c>
      <c r="R11" s="31">
        <f>W$6</f>
        <v>0</v>
      </c>
      <c r="S11" s="31">
        <f>W$7</f>
        <v>0</v>
      </c>
      <c r="T11" s="31">
        <f>W$8</f>
        <v>0</v>
      </c>
      <c r="U11" s="31">
        <f>W$9</f>
        <v>0</v>
      </c>
      <c r="V11" s="31">
        <f>W$10</f>
        <v>0</v>
      </c>
      <c r="W11" s="31">
        <f>IF($I11="",0,IF($J11="",0,POWER(($I11-$J11)/1.96,2)))</f>
        <v>12.755102040816327</v>
      </c>
      <c r="X11" s="31">
        <f>IF(X24="",0,IF(X24=0,0,X24*(I11-J11)*(I12-J12)/1.96/1.96))</f>
        <v>0</v>
      </c>
      <c r="Y11" s="31">
        <f>IF(Y24="",0,IF(Y24=0,0,Y24*(I11-J11)*(I13-J13)/1.96/1.96))</f>
        <v>0</v>
      </c>
      <c r="Z11" s="31">
        <f>IF(Z24="",0,IF(Z24=0,0,Z24*(I11-J11)*(I14-J14)/1.96/1.96))</f>
        <v>0</v>
      </c>
      <c r="AA11" s="17">
        <f t="shared" si="10"/>
        <v>-6.008171112713289E-2</v>
      </c>
      <c r="AC11" s="31">
        <f t="shared" si="0"/>
        <v>0</v>
      </c>
      <c r="AD11" s="31">
        <f t="shared" si="0"/>
        <v>0</v>
      </c>
      <c r="AE11" s="31">
        <f t="shared" si="0"/>
        <v>0</v>
      </c>
      <c r="AF11" s="31">
        <f t="shared" si="0"/>
        <v>0</v>
      </c>
      <c r="AG11" s="31">
        <f t="shared" si="0"/>
        <v>0</v>
      </c>
      <c r="AH11" s="31">
        <f t="shared" si="0"/>
        <v>0</v>
      </c>
      <c r="AI11" s="31">
        <f t="shared" si="0"/>
        <v>-0.76634835621342978</v>
      </c>
      <c r="AJ11" s="31">
        <f t="shared" si="0"/>
        <v>0</v>
      </c>
      <c r="AK11" s="31">
        <f t="shared" si="0"/>
        <v>0</v>
      </c>
      <c r="AL11" s="31">
        <f t="shared" si="0"/>
        <v>0</v>
      </c>
      <c r="AN11" s="31">
        <v>4.6043520560768422E-2</v>
      </c>
      <c r="AP11" s="31">
        <f t="shared" si="11"/>
        <v>-345.96225627353749</v>
      </c>
      <c r="AQ11" s="31">
        <f t="shared" si="12"/>
        <v>-345.96225627353749</v>
      </c>
      <c r="AR11" s="65" t="str">
        <f t="shared" si="13"/>
        <v>+∞</v>
      </c>
      <c r="AS11" s="31">
        <f t="shared" si="1"/>
        <v>-34</v>
      </c>
      <c r="AT11" s="31" t="str">
        <f t="shared" si="14"/>
        <v>certain</v>
      </c>
      <c r="AV11" s="31">
        <f t="shared" si="15"/>
        <v>50.876802393167274</v>
      </c>
      <c r="AW11" s="31">
        <f t="shared" si="2"/>
        <v>0</v>
      </c>
      <c r="AX11" s="31">
        <f t="shared" si="3"/>
        <v>50.876802393167274</v>
      </c>
      <c r="AY11" s="31">
        <f t="shared" si="4"/>
        <v>5</v>
      </c>
    </row>
    <row r="12" spans="1:51">
      <c r="A12">
        <v>8</v>
      </c>
      <c r="B12" s="12"/>
      <c r="C12" s="9"/>
      <c r="D12" s="14"/>
      <c r="E12" s="9"/>
      <c r="F12" s="12"/>
      <c r="G12" s="12"/>
      <c r="H12" s="17" t="str">
        <f t="shared" si="5"/>
        <v/>
      </c>
      <c r="I12" s="12"/>
      <c r="J12" s="29"/>
      <c r="K12" s="29"/>
      <c r="L12" s="33" t="str">
        <f t="shared" si="6"/>
        <v/>
      </c>
      <c r="M12" s="12"/>
      <c r="N12" s="31" t="str">
        <f t="shared" si="7"/>
        <v/>
      </c>
      <c r="O12" s="31" t="str">
        <f t="shared" si="8"/>
        <v/>
      </c>
      <c r="P12" s="35" t="str">
        <f t="shared" si="9"/>
        <v/>
      </c>
      <c r="Q12" s="31">
        <f>X$5</f>
        <v>0</v>
      </c>
      <c r="R12" s="31">
        <f>X$6</f>
        <v>0</v>
      </c>
      <c r="S12" s="31">
        <f>X$7</f>
        <v>0</v>
      </c>
      <c r="T12" s="31">
        <f>X$8</f>
        <v>0</v>
      </c>
      <c r="U12" s="31">
        <f>X$9</f>
        <v>0</v>
      </c>
      <c r="V12" s="31">
        <f>X$10</f>
        <v>0</v>
      </c>
      <c r="W12" s="31">
        <f>X$11</f>
        <v>0</v>
      </c>
      <c r="X12" s="31">
        <f>IF($I12="",0,IF($J12="",0,POWER(($I12-$J12)/1.96,2)))</f>
        <v>0</v>
      </c>
      <c r="Y12" s="31">
        <f>IF(Y25="",0,IF(Y25=0,0,Y25*(I12-J12)*(I13-J13)/1.96/1.96))</f>
        <v>0</v>
      </c>
      <c r="Z12" s="31">
        <f>IF(Z25="",0,IF(Z25=0,0,Z25*(I12-J12)*(I14-J14)/1.96/1.96))</f>
        <v>0</v>
      </c>
      <c r="AA12" s="17">
        <f t="shared" si="10"/>
        <v>0</v>
      </c>
      <c r="AC12" s="31">
        <f t="shared" si="0"/>
        <v>0</v>
      </c>
      <c r="AD12" s="31">
        <f t="shared" si="0"/>
        <v>0</v>
      </c>
      <c r="AE12" s="31">
        <f t="shared" si="0"/>
        <v>0</v>
      </c>
      <c r="AF12" s="31">
        <f t="shared" si="0"/>
        <v>0</v>
      </c>
      <c r="AG12" s="31">
        <f t="shared" si="0"/>
        <v>0</v>
      </c>
      <c r="AH12" s="31">
        <f t="shared" si="0"/>
        <v>0</v>
      </c>
      <c r="AI12" s="31">
        <f t="shared" si="0"/>
        <v>0</v>
      </c>
      <c r="AJ12" s="31">
        <f t="shared" si="0"/>
        <v>0</v>
      </c>
      <c r="AK12" s="31">
        <f t="shared" si="0"/>
        <v>0</v>
      </c>
      <c r="AL12" s="31">
        <f t="shared" si="0"/>
        <v>0</v>
      </c>
      <c r="AN12" s="31">
        <v>0</v>
      </c>
      <c r="AP12" s="31" t="str">
        <f t="shared" si="11"/>
        <v/>
      </c>
      <c r="AQ12" s="31" t="str">
        <f t="shared" si="12"/>
        <v/>
      </c>
      <c r="AR12" s="65" t="str">
        <f t="shared" si="13"/>
        <v/>
      </c>
      <c r="AS12" s="31" t="str">
        <f t="shared" si="1"/>
        <v/>
      </c>
      <c r="AT12" s="31" t="str">
        <f t="shared" si="14"/>
        <v/>
      </c>
      <c r="AV12" s="31" t="str">
        <f t="shared" si="15"/>
        <v/>
      </c>
      <c r="AW12" s="31" t="str">
        <f t="shared" si="2"/>
        <v/>
      </c>
      <c r="AX12" s="31" t="str">
        <f t="shared" si="3"/>
        <v/>
      </c>
      <c r="AY12" s="31" t="str">
        <f t="shared" si="4"/>
        <v/>
      </c>
    </row>
    <row r="13" spans="1:51">
      <c r="A13">
        <v>9</v>
      </c>
      <c r="B13" s="12"/>
      <c r="C13" s="9"/>
      <c r="D13" s="14"/>
      <c r="E13" s="9"/>
      <c r="F13" s="12"/>
      <c r="G13" s="12"/>
      <c r="H13" s="17" t="str">
        <f t="shared" si="5"/>
        <v/>
      </c>
      <c r="I13" s="12"/>
      <c r="J13" s="29"/>
      <c r="K13" s="29"/>
      <c r="L13" s="33" t="str">
        <f t="shared" si="6"/>
        <v/>
      </c>
      <c r="M13" s="12"/>
      <c r="N13" s="31" t="str">
        <f t="shared" si="7"/>
        <v/>
      </c>
      <c r="O13" s="31" t="str">
        <f t="shared" si="8"/>
        <v/>
      </c>
      <c r="P13" s="35" t="str">
        <f t="shared" si="9"/>
        <v/>
      </c>
      <c r="Q13" s="31">
        <f>Y$5</f>
        <v>0</v>
      </c>
      <c r="R13" s="31">
        <f>Y$6</f>
        <v>0</v>
      </c>
      <c r="S13" s="31">
        <f>Y$7</f>
        <v>0</v>
      </c>
      <c r="T13" s="31">
        <f>Y$8</f>
        <v>0</v>
      </c>
      <c r="U13" s="31">
        <f>Y$9</f>
        <v>0</v>
      </c>
      <c r="V13" s="31">
        <f>Y$10</f>
        <v>0</v>
      </c>
      <c r="W13" s="31">
        <f>Y$11</f>
        <v>0</v>
      </c>
      <c r="X13" s="31">
        <f>Y$12</f>
        <v>0</v>
      </c>
      <c r="Y13" s="31">
        <f>IF($I13="",0,IF($J13="",0,POWER(($I13-$J13)/1.96,2)))</f>
        <v>0</v>
      </c>
      <c r="Z13" s="31">
        <f>IF(Z26="",0,IF(Z26=0,0,Z26*(I13-J13)*(I14-J14)/1.96/1.96))</f>
        <v>0</v>
      </c>
      <c r="AA13" s="17">
        <f t="shared" si="10"/>
        <v>0</v>
      </c>
      <c r="AC13" s="31">
        <f t="shared" si="0"/>
        <v>0</v>
      </c>
      <c r="AD13" s="31">
        <f t="shared" si="0"/>
        <v>0</v>
      </c>
      <c r="AE13" s="31">
        <f t="shared" si="0"/>
        <v>0</v>
      </c>
      <c r="AF13" s="31">
        <f t="shared" si="0"/>
        <v>0</v>
      </c>
      <c r="AG13" s="31">
        <f t="shared" si="0"/>
        <v>0</v>
      </c>
      <c r="AH13" s="31">
        <f t="shared" si="0"/>
        <v>0</v>
      </c>
      <c r="AI13" s="31">
        <f t="shared" si="0"/>
        <v>0</v>
      </c>
      <c r="AJ13" s="31">
        <f t="shared" si="0"/>
        <v>0</v>
      </c>
      <c r="AK13" s="31">
        <f t="shared" si="0"/>
        <v>0</v>
      </c>
      <c r="AL13" s="31">
        <f t="shared" si="0"/>
        <v>0</v>
      </c>
      <c r="AN13" s="31">
        <v>0</v>
      </c>
      <c r="AP13" s="31" t="str">
        <f t="shared" si="11"/>
        <v/>
      </c>
      <c r="AQ13" s="31" t="str">
        <f t="shared" si="12"/>
        <v/>
      </c>
      <c r="AR13" s="65" t="str">
        <f t="shared" si="13"/>
        <v/>
      </c>
      <c r="AS13" s="31" t="str">
        <f t="shared" si="1"/>
        <v/>
      </c>
      <c r="AT13" s="31" t="str">
        <f t="shared" si="14"/>
        <v/>
      </c>
      <c r="AV13" s="31" t="str">
        <f t="shared" si="15"/>
        <v/>
      </c>
      <c r="AW13" s="31" t="str">
        <f t="shared" si="2"/>
        <v/>
      </c>
      <c r="AX13" s="31" t="str">
        <f t="shared" si="3"/>
        <v/>
      </c>
      <c r="AY13" s="31" t="str">
        <f t="shared" si="4"/>
        <v/>
      </c>
    </row>
    <row r="14" spans="1:51">
      <c r="A14">
        <v>10</v>
      </c>
      <c r="B14" s="12"/>
      <c r="C14" s="9"/>
      <c r="D14" s="14"/>
      <c r="E14" s="9"/>
      <c r="F14" s="12"/>
      <c r="G14" s="12"/>
      <c r="H14" s="32" t="str">
        <f t="shared" si="5"/>
        <v/>
      </c>
      <c r="I14" s="12"/>
      <c r="J14" s="29"/>
      <c r="K14" s="29"/>
      <c r="L14" s="33" t="str">
        <f t="shared" si="6"/>
        <v/>
      </c>
      <c r="M14" s="12"/>
      <c r="N14" s="31" t="str">
        <f t="shared" si="7"/>
        <v/>
      </c>
      <c r="O14" s="31" t="str">
        <f t="shared" si="8"/>
        <v/>
      </c>
      <c r="P14" s="35" t="str">
        <f t="shared" si="9"/>
        <v/>
      </c>
      <c r="Q14" s="31">
        <f>Z$5</f>
        <v>0</v>
      </c>
      <c r="R14" s="31">
        <f>Z$6</f>
        <v>0</v>
      </c>
      <c r="S14" s="31">
        <f>Z$7</f>
        <v>0</v>
      </c>
      <c r="T14" s="31">
        <f>Z$8</f>
        <v>0</v>
      </c>
      <c r="U14" s="31">
        <f>Z$9</f>
        <v>0</v>
      </c>
      <c r="V14" s="31">
        <f>Z$10</f>
        <v>0</v>
      </c>
      <c r="W14" s="31">
        <f>Z$11</f>
        <v>0</v>
      </c>
      <c r="X14" s="31">
        <f>Z$12</f>
        <v>0</v>
      </c>
      <c r="Y14" s="31">
        <f>Z$12</f>
        <v>0</v>
      </c>
      <c r="Z14" s="31">
        <f>IF($I14="",0,IF($J14="",0,POWER(($I14-$J14)/1.96,2)))</f>
        <v>0</v>
      </c>
      <c r="AA14" s="17">
        <f t="shared" si="10"/>
        <v>0</v>
      </c>
      <c r="AC14" s="31">
        <f t="shared" si="0"/>
        <v>0</v>
      </c>
      <c r="AD14" s="31">
        <f t="shared" si="0"/>
        <v>0</v>
      </c>
      <c r="AE14" s="31">
        <f t="shared" si="0"/>
        <v>0</v>
      </c>
      <c r="AF14" s="31">
        <f t="shared" si="0"/>
        <v>0</v>
      </c>
      <c r="AG14" s="31">
        <f t="shared" si="0"/>
        <v>0</v>
      </c>
      <c r="AH14" s="31">
        <f t="shared" si="0"/>
        <v>0</v>
      </c>
      <c r="AI14" s="31">
        <f t="shared" si="0"/>
        <v>0</v>
      </c>
      <c r="AJ14" s="31">
        <f t="shared" si="0"/>
        <v>0</v>
      </c>
      <c r="AK14" s="31">
        <f t="shared" si="0"/>
        <v>0</v>
      </c>
      <c r="AL14" s="31">
        <f t="shared" si="0"/>
        <v>0</v>
      </c>
      <c r="AN14" s="31">
        <v>0</v>
      </c>
      <c r="AP14" s="31" t="str">
        <f t="shared" si="11"/>
        <v/>
      </c>
      <c r="AQ14" s="31" t="str">
        <f t="shared" si="12"/>
        <v/>
      </c>
      <c r="AR14" s="65" t="str">
        <f t="shared" si="13"/>
        <v/>
      </c>
      <c r="AS14" s="31" t="str">
        <f t="shared" si="1"/>
        <v/>
      </c>
      <c r="AT14" s="31" t="str">
        <f t="shared" si="14"/>
        <v/>
      </c>
      <c r="AV14" s="31" t="str">
        <f t="shared" si="15"/>
        <v/>
      </c>
      <c r="AW14" s="31" t="str">
        <f t="shared" si="2"/>
        <v/>
      </c>
      <c r="AX14" s="31" t="str">
        <f t="shared" si="3"/>
        <v/>
      </c>
      <c r="AY14" s="31" t="str">
        <f t="shared" si="4"/>
        <v/>
      </c>
    </row>
    <row r="15" spans="1:51">
      <c r="M15" s="31">
        <f>SUM(M5:M14)</f>
        <v>190</v>
      </c>
      <c r="N15" s="31">
        <f>SUM(N5:N14)</f>
        <v>1</v>
      </c>
      <c r="O15" s="31">
        <f>SUM(O5:O14)</f>
        <v>-18.743226163995281</v>
      </c>
      <c r="Q15" t="s">
        <v>70</v>
      </c>
      <c r="AL15" t="s">
        <v>34</v>
      </c>
      <c r="AN15" s="31">
        <f>SUM(_xlfn.ANCHORARRAY(AN5))</f>
        <v>59.69526352488959</v>
      </c>
      <c r="AT15" t="str">
        <f t="shared" ref="AT15" si="16">IF(AQ15="","",IF(AND(J15&gt;AQ15,K15&lt;AR15),"certain","uncertain"))</f>
        <v/>
      </c>
    </row>
    <row r="16" spans="1:51" ht="18.600000000000001" thickBot="1">
      <c r="D16" s="15"/>
      <c r="E16" s="15"/>
      <c r="F16" s="15"/>
      <c r="G16" s="15"/>
      <c r="H16" s="16"/>
      <c r="Q16" t="s">
        <v>35</v>
      </c>
      <c r="AL16" t="s">
        <v>36</v>
      </c>
      <c r="AN16" s="31">
        <f>SQRT(AN15)</f>
        <v>7.7262709973757451</v>
      </c>
    </row>
    <row r="17" spans="1:44" ht="73.05" customHeight="1">
      <c r="L17" s="1" t="s">
        <v>38</v>
      </c>
      <c r="M17" s="36" t="s">
        <v>37</v>
      </c>
      <c r="N17" s="37"/>
      <c r="O17" s="20">
        <f>O15</f>
        <v>-18.743226163995281</v>
      </c>
      <c r="P17" t="s">
        <v>74</v>
      </c>
      <c r="Q17" s="7" t="str">
        <f>IF($B5="","",$B5)</f>
        <v>1ヶ月以降1年以内の再発無し</v>
      </c>
      <c r="R17" s="7" t="str">
        <f>IF($B6="","",$B6)</f>
        <v>虫垂切除（1ヶ月以内）</v>
      </c>
      <c r="S17" s="7" t="str">
        <f>IF($B7="","",$B7)</f>
        <v>主要な合併症</v>
      </c>
      <c r="T17" s="7" t="str">
        <f>IF($B8="","",$B8)</f>
        <v>その他の合併症</v>
      </c>
      <c r="U17" s="7" t="str">
        <f>IF($B9="","",$B9)</f>
        <v>入院期間</v>
      </c>
      <c r="V17" s="7" t="str">
        <f>IF($B10="","",$B10)</f>
        <v>病休期間</v>
      </c>
      <c r="W17" s="7" t="str">
        <f>IF($B11="","",$B11)</f>
        <v>費用</v>
      </c>
      <c r="X17" s="7" t="str">
        <f>IF($B12="","",$B12)</f>
        <v/>
      </c>
      <c r="Y17" s="7" t="str">
        <f>IF($B13="","",$B13)</f>
        <v/>
      </c>
      <c r="Z17" s="7" t="str">
        <f>IF($B14="","",$B14)</f>
        <v/>
      </c>
      <c r="AQ17" s="64" t="s">
        <v>143</v>
      </c>
    </row>
    <row r="18" spans="1:44">
      <c r="I18" s="15"/>
      <c r="J18" s="15"/>
      <c r="K18" s="15"/>
      <c r="M18" s="21" t="s">
        <v>14</v>
      </c>
      <c r="N18" s="22"/>
      <c r="O18" s="23">
        <f>O17-1.96*AN16</f>
        <v>-33.886717318851737</v>
      </c>
      <c r="P18" s="11" t="str">
        <f t="shared" ref="P18:P27" si="17">IF(B5="","",B5)</f>
        <v>1ヶ月以降1年以内の再発無し</v>
      </c>
      <c r="Q18" s="31">
        <f>IF(I5="","",IF(J5="","",1))</f>
        <v>1</v>
      </c>
      <c r="R18" s="12">
        <v>-0.8</v>
      </c>
      <c r="S18" s="12"/>
      <c r="T18" s="12"/>
      <c r="U18" s="12"/>
      <c r="V18" s="12"/>
      <c r="W18" s="12"/>
      <c r="X18" s="12"/>
      <c r="Y18" s="12"/>
      <c r="Z18" s="12"/>
      <c r="AP18" t="s">
        <v>144</v>
      </c>
      <c r="AQ18" s="31">
        <f>IF($AQ5="","",IF($AQ5="-∞",-10000000,$AQ5))</f>
        <v>-1</v>
      </c>
      <c r="AR18" s="31">
        <f>IF($AR5="","",IF($AR5="+∞",10000000,$AR5))</f>
        <v>-0.11057248370511007</v>
      </c>
    </row>
    <row r="19" spans="1:44" ht="18.600000000000001" thickBot="1">
      <c r="M19" s="24" t="s">
        <v>15</v>
      </c>
      <c r="N19" s="25"/>
      <c r="O19" s="26">
        <f>O17+1.96*AN16</f>
        <v>-3.5997350091388221</v>
      </c>
      <c r="P19" s="11" t="str">
        <f t="shared" si="17"/>
        <v>虫垂切除（1ヶ月以内）</v>
      </c>
      <c r="Q19" s="13"/>
      <c r="R19" s="31">
        <f>IF(I6="","",IF(J6="","",1))</f>
        <v>1</v>
      </c>
      <c r="S19" s="12"/>
      <c r="T19" s="12"/>
      <c r="U19" s="12"/>
      <c r="V19" s="12"/>
      <c r="W19" s="12"/>
      <c r="X19" s="12"/>
      <c r="Y19" s="12"/>
      <c r="Z19" s="12"/>
      <c r="AQ19" s="31">
        <f t="shared" ref="AQ19:AQ27" si="18">IF($AQ6="","",IF($AQ6="-∞",-10000000,$AQ6))</f>
        <v>-1</v>
      </c>
      <c r="AR19" s="31">
        <f t="shared" ref="AR19:AR27" si="19">IF($AR6="","",IF($AR6="+∞",10000000,$AR6))</f>
        <v>1</v>
      </c>
    </row>
    <row r="20" spans="1:44">
      <c r="M20" s="27"/>
      <c r="N20" s="16"/>
      <c r="P20" s="11" t="str">
        <f t="shared" si="17"/>
        <v>主要な合併症</v>
      </c>
      <c r="Q20" s="13"/>
      <c r="R20" s="13"/>
      <c r="S20" s="31">
        <f>IF(I7="","",IF(J7="","",1))</f>
        <v>1</v>
      </c>
      <c r="T20" s="12"/>
      <c r="U20" s="12"/>
      <c r="V20" s="12"/>
      <c r="W20" s="12"/>
      <c r="X20" s="12"/>
      <c r="Y20" s="12"/>
      <c r="Z20" s="12"/>
      <c r="AQ20" s="31">
        <f t="shared" si="18"/>
        <v>-0.27418519401794478</v>
      </c>
      <c r="AR20" s="31">
        <f t="shared" si="19"/>
        <v>1</v>
      </c>
    </row>
    <row r="21" spans="1:44">
      <c r="M21" s="44"/>
      <c r="N21" s="40" t="s">
        <v>67</v>
      </c>
      <c r="O21" s="39" t="s">
        <v>68</v>
      </c>
      <c r="P21" s="11" t="str">
        <f t="shared" si="17"/>
        <v>その他の合併症</v>
      </c>
      <c r="Q21" s="13"/>
      <c r="R21" s="13"/>
      <c r="S21" s="13"/>
      <c r="T21" s="31">
        <f>IF(I8="","",IF(J8="","",1))</f>
        <v>1</v>
      </c>
      <c r="U21" s="12"/>
      <c r="V21" s="12"/>
      <c r="W21" s="12"/>
      <c r="X21" s="12"/>
      <c r="Y21" s="12"/>
      <c r="Z21" s="12"/>
      <c r="AQ21" s="31">
        <f t="shared" si="18"/>
        <v>-0.52279183824298514</v>
      </c>
      <c r="AR21" s="31">
        <f t="shared" si="19"/>
        <v>1</v>
      </c>
    </row>
    <row r="22" spans="1:44">
      <c r="N22" s="10">
        <v>0</v>
      </c>
      <c r="O22" s="31">
        <f>1-_xlfn.NORM.DIST(0,$O$17,$AN$16,TRUE)</f>
        <v>7.6350607223615308E-3</v>
      </c>
      <c r="P22" s="11" t="str">
        <f t="shared" si="17"/>
        <v>入院期間</v>
      </c>
      <c r="Q22" s="13"/>
      <c r="R22" s="13"/>
      <c r="S22" s="13"/>
      <c r="T22" s="13"/>
      <c r="U22" s="31">
        <f>IF(I9="","",IF(J9="","",1))</f>
        <v>1</v>
      </c>
      <c r="V22" s="12"/>
      <c r="W22" s="12"/>
      <c r="X22" s="12"/>
      <c r="Y22" s="12"/>
      <c r="Z22" s="12"/>
      <c r="AQ22" s="31">
        <f t="shared" si="18"/>
        <v>-8.544371102043959</v>
      </c>
      <c r="AR22" s="31">
        <f t="shared" si="19"/>
        <v>10000000</v>
      </c>
    </row>
    <row r="23" spans="1:44">
      <c r="M23" s="74" t="s">
        <v>153</v>
      </c>
      <c r="P23" s="11" t="str">
        <f t="shared" si="17"/>
        <v>病休期間</v>
      </c>
      <c r="Q23" s="13"/>
      <c r="R23" s="13"/>
      <c r="S23" s="13"/>
      <c r="T23" s="13"/>
      <c r="U23" s="13"/>
      <c r="V23" s="31">
        <f>IF(I10="","",IF(J10="","",1))</f>
        <v>1</v>
      </c>
      <c r="W23" s="12"/>
      <c r="X23" s="12"/>
      <c r="Y23" s="12"/>
      <c r="Z23" s="12"/>
      <c r="AQ23" s="31">
        <f t="shared" si="18"/>
        <v>-41.766943897100575</v>
      </c>
      <c r="AR23" s="31">
        <f t="shared" si="19"/>
        <v>10000000</v>
      </c>
    </row>
    <row r="24" spans="1:44">
      <c r="P24" s="11" t="str">
        <f t="shared" si="17"/>
        <v>費用</v>
      </c>
      <c r="Q24" s="13"/>
      <c r="R24" s="13"/>
      <c r="S24" s="13"/>
      <c r="T24" s="13"/>
      <c r="U24" s="13"/>
      <c r="V24" s="13"/>
      <c r="W24" s="31">
        <f>IF(I11="","",IF(J11="","",1))</f>
        <v>1</v>
      </c>
      <c r="X24" s="12"/>
      <c r="Y24" s="12"/>
      <c r="Z24" s="12"/>
      <c r="AQ24" s="31">
        <f t="shared" si="18"/>
        <v>-345.96225627353749</v>
      </c>
      <c r="AR24" s="31">
        <f t="shared" si="19"/>
        <v>10000000</v>
      </c>
    </row>
    <row r="25" spans="1:44" ht="18.600000000000001" thickBot="1">
      <c r="B25" s="69"/>
      <c r="C25" s="69"/>
      <c r="D25" s="69"/>
      <c r="E25" s="69"/>
      <c r="F25" s="69"/>
      <c r="G25" s="69"/>
      <c r="H25" s="69"/>
      <c r="I25" s="69"/>
      <c r="J25" s="69"/>
      <c r="K25" s="69"/>
      <c r="L25" s="69"/>
      <c r="M25" s="70"/>
      <c r="N25" s="71"/>
      <c r="P25" s="11" t="str">
        <f t="shared" si="17"/>
        <v/>
      </c>
      <c r="Q25" s="13"/>
      <c r="R25" s="13"/>
      <c r="S25" s="13"/>
      <c r="T25" s="13"/>
      <c r="U25" s="13"/>
      <c r="V25" s="13"/>
      <c r="W25" s="13"/>
      <c r="X25" s="31" t="str">
        <f>IF(I12="","",IF(J12="","",1))</f>
        <v/>
      </c>
      <c r="Y25" s="12"/>
      <c r="Z25" s="12"/>
      <c r="AQ25" s="31" t="str">
        <f t="shared" si="18"/>
        <v/>
      </c>
      <c r="AR25" s="31" t="str">
        <f t="shared" si="19"/>
        <v/>
      </c>
    </row>
    <row r="26" spans="1:44">
      <c r="B26" t="s">
        <v>88</v>
      </c>
      <c r="M26" s="44"/>
      <c r="N26" s="16"/>
      <c r="P26" s="11" t="str">
        <f t="shared" si="17"/>
        <v/>
      </c>
      <c r="Q26" s="13"/>
      <c r="R26" s="13"/>
      <c r="S26" s="13"/>
      <c r="T26" s="13"/>
      <c r="U26" s="13"/>
      <c r="V26" s="13"/>
      <c r="W26" s="13"/>
      <c r="X26" s="13"/>
      <c r="Y26" s="31" t="str">
        <f>IF(I13="","",IF(J13="","",1))</f>
        <v/>
      </c>
      <c r="Z26" s="12"/>
      <c r="AQ26" s="31" t="str">
        <f t="shared" si="18"/>
        <v/>
      </c>
      <c r="AR26" s="31" t="str">
        <f t="shared" si="19"/>
        <v/>
      </c>
    </row>
    <row r="27" spans="1:44">
      <c r="B27" t="s">
        <v>89</v>
      </c>
      <c r="P27" s="11" t="str">
        <f t="shared" si="17"/>
        <v/>
      </c>
      <c r="Q27" s="13"/>
      <c r="R27" s="13"/>
      <c r="S27" s="13"/>
      <c r="T27" s="13"/>
      <c r="U27" s="13"/>
      <c r="V27" s="13"/>
      <c r="W27" s="13"/>
      <c r="X27" s="13"/>
      <c r="Y27" s="13"/>
      <c r="Z27" s="31" t="str">
        <f>IF(I14="","",IF(J14="","",1))</f>
        <v/>
      </c>
      <c r="AQ27" s="31" t="str">
        <f t="shared" si="18"/>
        <v/>
      </c>
      <c r="AR27" s="31" t="str">
        <f t="shared" si="19"/>
        <v/>
      </c>
    </row>
    <row r="28" spans="1:44">
      <c r="P28" s="11"/>
      <c r="Z28" s="17"/>
      <c r="AQ28" s="17"/>
      <c r="AR28" s="17"/>
    </row>
    <row r="29" spans="1:44">
      <c r="B29" s="1" t="s">
        <v>147</v>
      </c>
      <c r="P29" s="11"/>
    </row>
    <row r="30" spans="1:44">
      <c r="B30" s="46" t="s">
        <v>16</v>
      </c>
      <c r="C30" s="47" t="s">
        <v>87</v>
      </c>
      <c r="D30" s="47" t="s">
        <v>91</v>
      </c>
      <c r="P30" s="11"/>
    </row>
    <row r="31" spans="1:44">
      <c r="A31">
        <v>1</v>
      </c>
      <c r="B31" s="31" t="str">
        <f>IF(B5="","",B5)</f>
        <v>1ヶ月以降1年以内の再発無し</v>
      </c>
      <c r="C31" s="31">
        <f>IF(I5="","",H5*I5)</f>
        <v>-0.221</v>
      </c>
      <c r="D31" s="31">
        <f>IF(F5="","",I5-J5)</f>
        <v>8.199999999999999E-2</v>
      </c>
      <c r="P31" s="11"/>
    </row>
    <row r="32" spans="1:44">
      <c r="A32">
        <v>2</v>
      </c>
      <c r="B32" s="31" t="str">
        <f t="shared" ref="B32:B40" si="20">IF(B6="","",B6)</f>
        <v>虫垂切除（1ヶ月以内）</v>
      </c>
      <c r="C32" s="31">
        <f t="shared" ref="C32:C40" si="21">IF(I6="","",H6*I6)</f>
        <v>0.90400000000000003</v>
      </c>
      <c r="D32" s="31">
        <f t="shared" ref="D32:D40" si="22">IF(F6="","",I6-J6)</f>
        <v>3.9999999999999925E-2</v>
      </c>
      <c r="P32" s="11"/>
    </row>
    <row r="33" spans="1:16">
      <c r="A33">
        <v>3</v>
      </c>
      <c r="B33" s="31" t="str">
        <f t="shared" si="20"/>
        <v>主要な合併症</v>
      </c>
      <c r="C33" s="31">
        <f t="shared" si="21"/>
        <v>2.5000000000000001E-2</v>
      </c>
      <c r="D33" s="31">
        <f t="shared" si="22"/>
        <v>3.7999999999999999E-2</v>
      </c>
      <c r="P33" s="11"/>
    </row>
    <row r="34" spans="1:16">
      <c r="A34">
        <v>4</v>
      </c>
      <c r="B34" s="31" t="str">
        <f t="shared" si="20"/>
        <v>その他の合併症</v>
      </c>
      <c r="C34" s="31">
        <f t="shared" si="21"/>
        <v>0.09</v>
      </c>
      <c r="D34" s="31">
        <f t="shared" si="22"/>
        <v>8.199999999999999E-2</v>
      </c>
      <c r="P34" s="11"/>
    </row>
    <row r="35" spans="1:16">
      <c r="A35">
        <v>5</v>
      </c>
      <c r="B35" s="31" t="str">
        <f t="shared" si="20"/>
        <v>入院期間</v>
      </c>
      <c r="C35" s="31">
        <f t="shared" si="21"/>
        <v>-0.39</v>
      </c>
      <c r="D35" s="31">
        <f t="shared" si="22"/>
        <v>0.13900000000000001</v>
      </c>
      <c r="P35" s="11"/>
    </row>
    <row r="36" spans="1:16">
      <c r="A36">
        <v>6</v>
      </c>
      <c r="B36" s="31" t="str">
        <f t="shared" si="20"/>
        <v>病休期間</v>
      </c>
      <c r="C36" s="31">
        <f t="shared" si="21"/>
        <v>3.6</v>
      </c>
      <c r="D36" s="31">
        <f t="shared" si="22"/>
        <v>4.33</v>
      </c>
      <c r="P36" s="11"/>
    </row>
    <row r="37" spans="1:16">
      <c r="A37">
        <v>7</v>
      </c>
      <c r="B37" s="31" t="str">
        <f t="shared" si="20"/>
        <v>費用</v>
      </c>
      <c r="C37" s="31">
        <f t="shared" si="21"/>
        <v>34</v>
      </c>
      <c r="D37" s="31">
        <f t="shared" si="22"/>
        <v>7</v>
      </c>
      <c r="P37" s="11"/>
    </row>
    <row r="38" spans="1:16">
      <c r="A38">
        <v>8</v>
      </c>
      <c r="B38" s="31" t="str">
        <f t="shared" si="20"/>
        <v/>
      </c>
      <c r="C38" s="31" t="str">
        <f t="shared" si="21"/>
        <v/>
      </c>
      <c r="D38" s="31" t="str">
        <f t="shared" si="22"/>
        <v/>
      </c>
      <c r="P38" s="11"/>
    </row>
    <row r="39" spans="1:16">
      <c r="A39">
        <v>9</v>
      </c>
      <c r="B39" s="31" t="str">
        <f t="shared" si="20"/>
        <v/>
      </c>
      <c r="C39" s="31" t="str">
        <f t="shared" si="21"/>
        <v/>
      </c>
      <c r="D39" s="31" t="str">
        <f t="shared" si="22"/>
        <v/>
      </c>
      <c r="P39" s="11"/>
    </row>
    <row r="40" spans="1:16">
      <c r="A40">
        <v>10</v>
      </c>
      <c r="B40" s="31" t="str">
        <f t="shared" si="20"/>
        <v/>
      </c>
      <c r="C40" s="31" t="str">
        <f t="shared" si="21"/>
        <v/>
      </c>
      <c r="D40" s="31" t="str">
        <f t="shared" si="22"/>
        <v/>
      </c>
      <c r="P40" s="11"/>
    </row>
    <row r="41" spans="1:16">
      <c r="P41" s="11"/>
    </row>
    <row r="42" spans="1:16">
      <c r="P42" s="11"/>
    </row>
    <row r="43" spans="1:16">
      <c r="P43" s="11"/>
    </row>
    <row r="44" spans="1:16">
      <c r="P44" s="11"/>
    </row>
    <row r="45" spans="1:16">
      <c r="P45" s="11"/>
    </row>
    <row r="46" spans="1:16">
      <c r="P46" s="11"/>
    </row>
    <row r="47" spans="1:16">
      <c r="P47" s="11"/>
    </row>
    <row r="48" spans="1:16">
      <c r="P48" s="11"/>
    </row>
    <row r="49" spans="1:16">
      <c r="P49" s="11"/>
    </row>
    <row r="50" spans="1:16">
      <c r="P50" s="11"/>
    </row>
    <row r="51" spans="1:16">
      <c r="P51" s="11"/>
    </row>
    <row r="52" spans="1:16">
      <c r="P52" s="11"/>
    </row>
    <row r="53" spans="1:16">
      <c r="P53" s="11"/>
    </row>
    <row r="54" spans="1:16">
      <c r="P54" s="11"/>
    </row>
    <row r="55" spans="1:16">
      <c r="P55" s="11"/>
    </row>
    <row r="56" spans="1:16">
      <c r="P56" s="11"/>
    </row>
    <row r="57" spans="1:16">
      <c r="P57" s="11"/>
    </row>
    <row r="58" spans="1:16">
      <c r="P58" s="11"/>
    </row>
    <row r="59" spans="1:16">
      <c r="P59" s="11"/>
    </row>
    <row r="60" spans="1:16">
      <c r="P60" s="11"/>
    </row>
    <row r="61" spans="1:16">
      <c r="P61" s="11"/>
    </row>
    <row r="62" spans="1:16">
      <c r="P62" s="11"/>
    </row>
    <row r="63" spans="1:16">
      <c r="P63" s="11"/>
    </row>
    <row r="64" spans="1:16" ht="18.600000000000001" thickBot="1">
      <c r="A64" s="72"/>
      <c r="B64" s="72"/>
      <c r="C64" s="72"/>
      <c r="D64" s="72"/>
      <c r="E64" s="72"/>
      <c r="F64" s="72"/>
      <c r="G64" s="72"/>
      <c r="H64" s="72"/>
      <c r="I64" s="72"/>
      <c r="J64" s="72"/>
      <c r="K64" s="72"/>
      <c r="L64" s="72"/>
      <c r="M64" s="72"/>
      <c r="N64" s="72"/>
      <c r="O64" s="72"/>
      <c r="P64" s="73"/>
    </row>
    <row r="65" spans="1:16" ht="18.600000000000001" thickTop="1">
      <c r="B65" s="1" t="s">
        <v>148</v>
      </c>
      <c r="P65" s="11"/>
    </row>
    <row r="66" spans="1:16">
      <c r="B66" s="46" t="s">
        <v>16</v>
      </c>
      <c r="C66" s="47" t="s">
        <v>121</v>
      </c>
      <c r="D66" s="47" t="s">
        <v>91</v>
      </c>
    </row>
    <row r="67" spans="1:16">
      <c r="A67">
        <v>1</v>
      </c>
      <c r="B67" s="31" t="str">
        <f t="shared" ref="B67:B76" si="23">IF(B5="","",B5)</f>
        <v>1ヶ月以降1年以内の再発無し</v>
      </c>
      <c r="C67" s="31">
        <f t="shared" ref="C67:C76" si="24">IF($O5="","",$O5)</f>
        <v>-37.511058124148363</v>
      </c>
      <c r="D67" s="31">
        <f t="shared" ref="D67:D76" si="25">IF($J5="","",$N5*100*($I5-$J5)/ABS($F5-$G5))</f>
        <v>13.918130163711155</v>
      </c>
    </row>
    <row r="68" spans="1:16">
      <c r="A68">
        <v>2</v>
      </c>
      <c r="B68" s="31" t="str">
        <f t="shared" si="23"/>
        <v>虫垂切除（1ヶ月以内）</v>
      </c>
      <c r="C68" s="31">
        <f t="shared" si="24"/>
        <v>9.9971733655838015</v>
      </c>
      <c r="D68" s="31">
        <f t="shared" si="25"/>
        <v>0.44235280378689296</v>
      </c>
    </row>
    <row r="69" spans="1:16">
      <c r="A69">
        <v>3</v>
      </c>
      <c r="B69" s="31" t="str">
        <f t="shared" si="23"/>
        <v>主要な合併症</v>
      </c>
      <c r="C69" s="31">
        <f t="shared" si="24"/>
        <v>1.8804514286917775</v>
      </c>
      <c r="D69" s="31">
        <f t="shared" si="25"/>
        <v>2.858286171611502</v>
      </c>
    </row>
    <row r="70" spans="1:16">
      <c r="A70">
        <v>4</v>
      </c>
      <c r="B70" s="31" t="str">
        <f t="shared" si="23"/>
        <v>その他の合併症</v>
      </c>
      <c r="C70" s="31">
        <f t="shared" si="24"/>
        <v>3.8976944704130334</v>
      </c>
      <c r="D70" s="31">
        <f t="shared" si="25"/>
        <v>3.5512327397096528</v>
      </c>
    </row>
    <row r="71" spans="1:16">
      <c r="A71">
        <v>5</v>
      </c>
      <c r="B71" s="31" t="str">
        <f t="shared" si="23"/>
        <v>入院期間</v>
      </c>
      <c r="C71" s="31">
        <f t="shared" si="24"/>
        <v>-0.81817266380236298</v>
      </c>
      <c r="D71" s="31">
        <f t="shared" si="25"/>
        <v>0.29160512889366269</v>
      </c>
    </row>
    <row r="72" spans="1:16">
      <c r="A72">
        <v>6</v>
      </c>
      <c r="B72" s="31" t="str">
        <f t="shared" si="23"/>
        <v>病休期間</v>
      </c>
      <c r="C72" s="31">
        <f t="shared" si="24"/>
        <v>1.7679071809443176</v>
      </c>
      <c r="D72" s="31">
        <f t="shared" si="25"/>
        <v>2.126399470413582</v>
      </c>
    </row>
    <row r="73" spans="1:16">
      <c r="A73">
        <v>7</v>
      </c>
      <c r="B73" s="31" t="str">
        <f t="shared" si="23"/>
        <v>費用</v>
      </c>
      <c r="C73" s="31">
        <f t="shared" si="24"/>
        <v>2.0427781783225183</v>
      </c>
      <c r="D73" s="31">
        <f t="shared" si="25"/>
        <v>0.42057197788993023</v>
      </c>
    </row>
    <row r="74" spans="1:16">
      <c r="A74">
        <v>8</v>
      </c>
      <c r="B74" s="31" t="str">
        <f t="shared" si="23"/>
        <v/>
      </c>
      <c r="C74" s="31" t="str">
        <f t="shared" si="24"/>
        <v/>
      </c>
      <c r="D74" s="31" t="str">
        <f t="shared" si="25"/>
        <v/>
      </c>
    </row>
    <row r="75" spans="1:16">
      <c r="A75">
        <v>9</v>
      </c>
      <c r="B75" s="31" t="str">
        <f t="shared" si="23"/>
        <v/>
      </c>
      <c r="C75" s="31" t="str">
        <f t="shared" si="24"/>
        <v/>
      </c>
      <c r="D75" s="31" t="str">
        <f t="shared" si="25"/>
        <v/>
      </c>
    </row>
    <row r="76" spans="1:16">
      <c r="A76">
        <v>10</v>
      </c>
      <c r="B76" s="31" t="str">
        <f t="shared" si="23"/>
        <v/>
      </c>
      <c r="C76" s="31" t="str">
        <f t="shared" si="24"/>
        <v/>
      </c>
      <c r="D76" s="31" t="str">
        <f t="shared" si="25"/>
        <v/>
      </c>
    </row>
    <row r="77" spans="1:16">
      <c r="B77" s="17" t="s">
        <v>69</v>
      </c>
      <c r="C77" s="34">
        <f>O17</f>
        <v>-18.743226163995281</v>
      </c>
      <c r="D77" s="34">
        <f>O17-O18</f>
        <v>15.143491154856456</v>
      </c>
    </row>
    <row r="79" spans="1:16" ht="18.600000000000001" thickBot="1">
      <c r="A79" s="72"/>
      <c r="B79" s="72"/>
      <c r="C79" s="72"/>
      <c r="D79" s="72"/>
      <c r="E79" s="72"/>
      <c r="F79" s="72"/>
      <c r="G79" s="72"/>
      <c r="H79" s="72"/>
      <c r="I79" s="72"/>
      <c r="J79" s="72"/>
      <c r="K79" s="72"/>
      <c r="L79" s="72"/>
      <c r="M79" s="72"/>
      <c r="N79" s="72"/>
      <c r="O79" s="72"/>
      <c r="P79" s="72"/>
    </row>
    <row r="80" spans="1:16" ht="18.600000000000001" thickTop="1"/>
    <row r="81" spans="1:6">
      <c r="B81" s="1" t="s">
        <v>95</v>
      </c>
    </row>
    <row r="82" spans="1:6" ht="73.2" customHeight="1">
      <c r="B82" s="17" t="s">
        <v>16</v>
      </c>
      <c r="C82" s="66" t="s">
        <v>133</v>
      </c>
      <c r="D82" s="67" t="s">
        <v>84</v>
      </c>
      <c r="E82" s="67" t="s">
        <v>85</v>
      </c>
      <c r="F82" s="68" t="s">
        <v>122</v>
      </c>
    </row>
    <row r="83" spans="1:6">
      <c r="A83">
        <v>1</v>
      </c>
      <c r="B83" s="31" t="str">
        <f>IF($B$5="","",$B$5)</f>
        <v>1ヶ月以降1年以内の再発無し</v>
      </c>
      <c r="C83" s="31">
        <f t="shared" ref="C83:C92" si="26">IF($I5="","",$H5*$I5)</f>
        <v>-0.221</v>
      </c>
      <c r="D83" s="31">
        <f t="shared" ref="D83:D92" si="27">IF($C83="","",IF($AQ5="-∞",10*($AR5-$C83),$C83-$AQ5))</f>
        <v>0.77900000000000003</v>
      </c>
      <c r="E83" s="31">
        <f t="shared" ref="E83:E92" si="28">IF($C83="","",IF($AR5="+∞",10*($C83-$AQ5),$AR5-$C83))</f>
        <v>0.11042751629488994</v>
      </c>
      <c r="F83" s="17" t="str">
        <f t="shared" ref="F83:F92" si="29">$AT5</f>
        <v>certain</v>
      </c>
    </row>
    <row r="84" spans="1:6">
      <c r="A84">
        <v>2</v>
      </c>
      <c r="B84" s="31" t="str">
        <f>IF($B$6="","",$B$6)</f>
        <v>虫垂切除（1ヶ月以内）</v>
      </c>
      <c r="C84" s="31">
        <f t="shared" si="26"/>
        <v>0.90400000000000003</v>
      </c>
      <c r="D84" s="31">
        <f t="shared" si="27"/>
        <v>1.9039999999999999</v>
      </c>
      <c r="E84" s="31">
        <f t="shared" si="28"/>
        <v>9.5999999999999974E-2</v>
      </c>
      <c r="F84" s="17" t="str">
        <f t="shared" si="29"/>
        <v>certain</v>
      </c>
    </row>
    <row r="85" spans="1:6">
      <c r="A85">
        <v>3</v>
      </c>
      <c r="B85" s="31" t="str">
        <f>IF($B$7="","",$B$7)</f>
        <v>主要な合併症</v>
      </c>
      <c r="C85" s="31">
        <f t="shared" si="26"/>
        <v>2.5000000000000001E-2</v>
      </c>
      <c r="D85" s="31">
        <f t="shared" si="27"/>
        <v>0.2991851940179448</v>
      </c>
      <c r="E85" s="31">
        <f t="shared" si="28"/>
        <v>0.97499999999999998</v>
      </c>
      <c r="F85" s="17" t="str">
        <f t="shared" si="29"/>
        <v>certain</v>
      </c>
    </row>
    <row r="86" spans="1:6">
      <c r="A86">
        <v>4</v>
      </c>
      <c r="B86" s="31" t="str">
        <f>IF($B$8="","",$B$8)</f>
        <v>その他の合併症</v>
      </c>
      <c r="C86" s="31">
        <f t="shared" si="26"/>
        <v>0.09</v>
      </c>
      <c r="D86" s="31">
        <f t="shared" si="27"/>
        <v>0.61279183824298511</v>
      </c>
      <c r="E86" s="31">
        <f t="shared" si="28"/>
        <v>0.91</v>
      </c>
      <c r="F86" s="17" t="str">
        <f t="shared" si="29"/>
        <v>certain</v>
      </c>
    </row>
    <row r="87" spans="1:6">
      <c r="A87">
        <v>5</v>
      </c>
      <c r="B87" s="31" t="str">
        <f>IF($B$9="","",$B$9)</f>
        <v>入院期間</v>
      </c>
      <c r="C87" s="31">
        <f t="shared" si="26"/>
        <v>-0.39</v>
      </c>
      <c r="D87" s="31">
        <f t="shared" si="27"/>
        <v>8.1543711020439584</v>
      </c>
      <c r="E87" s="31">
        <f t="shared" si="28"/>
        <v>81.543711020439588</v>
      </c>
      <c r="F87" s="17" t="str">
        <f t="shared" si="29"/>
        <v>certain</v>
      </c>
    </row>
    <row r="88" spans="1:6">
      <c r="A88">
        <v>6</v>
      </c>
      <c r="B88" s="31" t="str">
        <f>IF($B$10="","",$B$10)</f>
        <v>病休期間</v>
      </c>
      <c r="C88" s="31">
        <f t="shared" si="26"/>
        <v>3.6</v>
      </c>
      <c r="D88" s="31">
        <f t="shared" si="27"/>
        <v>45.366943897100576</v>
      </c>
      <c r="E88" s="31">
        <f t="shared" si="28"/>
        <v>453.66943897100577</v>
      </c>
      <c r="F88" s="17" t="str">
        <f t="shared" si="29"/>
        <v>certain</v>
      </c>
    </row>
    <row r="89" spans="1:6">
      <c r="A89">
        <v>7</v>
      </c>
      <c r="B89" s="31" t="str">
        <f>IF($B$11="","",$B$11)</f>
        <v>費用</v>
      </c>
      <c r="C89" s="31">
        <f t="shared" si="26"/>
        <v>34</v>
      </c>
      <c r="D89" s="31">
        <f t="shared" si="27"/>
        <v>379.96225627353749</v>
      </c>
      <c r="E89" s="31">
        <f t="shared" si="28"/>
        <v>3799.6225627353751</v>
      </c>
      <c r="F89" s="17" t="str">
        <f t="shared" si="29"/>
        <v>certain</v>
      </c>
    </row>
    <row r="90" spans="1:6">
      <c r="A90">
        <v>8</v>
      </c>
      <c r="B90" s="31" t="str">
        <f>IF($B$12="","",$B$12)</f>
        <v/>
      </c>
      <c r="C90" s="31" t="str">
        <f t="shared" si="26"/>
        <v/>
      </c>
      <c r="D90" s="31" t="str">
        <f t="shared" si="27"/>
        <v/>
      </c>
      <c r="E90" s="31" t="str">
        <f t="shared" si="28"/>
        <v/>
      </c>
      <c r="F90" s="17" t="str">
        <f t="shared" si="29"/>
        <v/>
      </c>
    </row>
    <row r="91" spans="1:6">
      <c r="A91">
        <v>9</v>
      </c>
      <c r="B91" s="31" t="str">
        <f>IF($B$13="","",$B$13)</f>
        <v/>
      </c>
      <c r="C91" s="31" t="str">
        <f t="shared" si="26"/>
        <v/>
      </c>
      <c r="D91" s="31" t="str">
        <f t="shared" si="27"/>
        <v/>
      </c>
      <c r="E91" s="31" t="str">
        <f t="shared" si="28"/>
        <v/>
      </c>
      <c r="F91" s="17" t="str">
        <f t="shared" si="29"/>
        <v/>
      </c>
    </row>
    <row r="92" spans="1:6">
      <c r="A92">
        <v>10</v>
      </c>
      <c r="B92" s="31" t="str">
        <f>IF($B$14="","",$B$14)</f>
        <v/>
      </c>
      <c r="C92" s="31" t="str">
        <f t="shared" si="26"/>
        <v/>
      </c>
      <c r="D92" s="31" t="str">
        <f t="shared" si="27"/>
        <v/>
      </c>
      <c r="E92" s="31" t="str">
        <f t="shared" si="28"/>
        <v/>
      </c>
      <c r="F92" s="17" t="str">
        <f t="shared" si="29"/>
        <v/>
      </c>
    </row>
    <row r="101" spans="4:4">
      <c r="D101" s="38"/>
    </row>
    <row r="117" spans="1:16" ht="18.600000000000001" thickBot="1">
      <c r="A117" s="72"/>
      <c r="B117" s="72"/>
      <c r="C117" s="72"/>
      <c r="D117" s="72"/>
      <c r="E117" s="72"/>
      <c r="F117" s="72"/>
      <c r="G117" s="72"/>
      <c r="H117" s="72"/>
      <c r="I117" s="72"/>
      <c r="J117" s="72"/>
      <c r="K117" s="72"/>
      <c r="L117" s="72"/>
      <c r="M117" s="72"/>
      <c r="N117" s="72"/>
      <c r="O117" s="72"/>
      <c r="P117" s="72"/>
    </row>
    <row r="118" spans="1:16" ht="18.600000000000001" thickTop="1"/>
    <row r="119" spans="1:16">
      <c r="B119" s="1" t="s">
        <v>96</v>
      </c>
    </row>
    <row r="120" spans="1:16">
      <c r="B120" t="s">
        <v>16</v>
      </c>
      <c r="C120" s="48" t="s">
        <v>123</v>
      </c>
      <c r="D120" s="45" t="s">
        <v>84</v>
      </c>
      <c r="E120" s="45" t="s">
        <v>85</v>
      </c>
    </row>
    <row r="121" spans="1:16">
      <c r="A121">
        <v>1</v>
      </c>
      <c r="B121" s="31" t="str">
        <f>IF($B$5="","",$B$5)</f>
        <v>1ヶ月以降1年以内の再発無し</v>
      </c>
      <c r="C121" s="31">
        <f t="shared" ref="C121:C130" si="30">IF($M5="","",$M5)</f>
        <v>100</v>
      </c>
      <c r="D121" s="31">
        <f t="shared" ref="D121:D130" si="31">IF($C121="","",$C121-$AW5)</f>
        <v>49.967201943389107</v>
      </c>
      <c r="E121" s="31">
        <f t="shared" ref="E121:E130" si="32">IF($C121="","",$AX5-$C121)</f>
        <v>0</v>
      </c>
    </row>
    <row r="122" spans="1:16">
      <c r="A122">
        <v>2</v>
      </c>
      <c r="B122" s="31" t="str">
        <f>IF($B$6="","",$B$6)</f>
        <v>虫垂切除（1ヶ月以内）</v>
      </c>
      <c r="C122" s="31">
        <f t="shared" si="30"/>
        <v>20</v>
      </c>
      <c r="D122" s="31">
        <f t="shared" si="31"/>
        <v>20</v>
      </c>
      <c r="E122" s="31">
        <f t="shared" si="32"/>
        <v>37.497051373582416</v>
      </c>
    </row>
    <row r="123" spans="1:16">
      <c r="A123">
        <v>3</v>
      </c>
      <c r="B123" s="31" t="str">
        <f>IF($B$7="","",$B$7)</f>
        <v>主要な合併症</v>
      </c>
      <c r="C123" s="31">
        <f t="shared" si="30"/>
        <v>20</v>
      </c>
      <c r="D123" s="31">
        <f t="shared" si="31"/>
        <v>20</v>
      </c>
      <c r="E123" s="31">
        <f t="shared" si="32"/>
        <v>80</v>
      </c>
    </row>
    <row r="124" spans="1:16">
      <c r="A124">
        <v>4</v>
      </c>
      <c r="B124" s="31" t="str">
        <f>IF($B$8="","",$B$8)</f>
        <v>その他の合併症</v>
      </c>
      <c r="C124" s="31">
        <f t="shared" si="30"/>
        <v>15</v>
      </c>
      <c r="D124" s="31">
        <f t="shared" si="31"/>
        <v>15</v>
      </c>
      <c r="E124" s="31">
        <f t="shared" si="32"/>
        <v>72.131973040497499</v>
      </c>
    </row>
    <row r="125" spans="1:16">
      <c r="A125">
        <v>5</v>
      </c>
      <c r="B125" s="31" t="str">
        <f>IF($B$9="","",$B$9)</f>
        <v>入院期間</v>
      </c>
      <c r="C125" s="31">
        <f t="shared" si="30"/>
        <v>10</v>
      </c>
      <c r="D125" s="31">
        <f t="shared" si="31"/>
        <v>10</v>
      </c>
      <c r="E125" s="31">
        <f t="shared" si="32"/>
        <v>90</v>
      </c>
    </row>
    <row r="126" spans="1:16">
      <c r="A126">
        <v>6</v>
      </c>
      <c r="B126" s="31" t="str">
        <f>IF($B$10="","",$B$10)</f>
        <v>病休期間</v>
      </c>
      <c r="C126" s="31">
        <f t="shared" si="30"/>
        <v>20</v>
      </c>
      <c r="D126" s="31">
        <f t="shared" si="31"/>
        <v>20</v>
      </c>
      <c r="E126" s="31">
        <f t="shared" si="32"/>
        <v>80</v>
      </c>
    </row>
    <row r="127" spans="1:16">
      <c r="A127">
        <v>7</v>
      </c>
      <c r="B127" s="31" t="str">
        <f>IF($B$11="","",$B$11)</f>
        <v>費用</v>
      </c>
      <c r="C127" s="31">
        <f t="shared" si="30"/>
        <v>5</v>
      </c>
      <c r="D127" s="31">
        <f t="shared" si="31"/>
        <v>5</v>
      </c>
      <c r="E127" s="31">
        <f t="shared" si="32"/>
        <v>45.876802393167274</v>
      </c>
    </row>
    <row r="128" spans="1:16">
      <c r="A128">
        <v>8</v>
      </c>
      <c r="B128" s="31" t="str">
        <f>IF($B$12="","",$B$12)</f>
        <v/>
      </c>
      <c r="C128" s="31" t="str">
        <f t="shared" si="30"/>
        <v/>
      </c>
      <c r="D128" s="31" t="str">
        <f t="shared" si="31"/>
        <v/>
      </c>
      <c r="E128" s="31" t="str">
        <f t="shared" si="32"/>
        <v/>
      </c>
    </row>
    <row r="129" spans="1:5">
      <c r="A129">
        <v>9</v>
      </c>
      <c r="B129" s="31" t="str">
        <f>IF($B$13="","",$B$13)</f>
        <v/>
      </c>
      <c r="C129" s="31" t="str">
        <f t="shared" si="30"/>
        <v/>
      </c>
      <c r="D129" s="31" t="str">
        <f t="shared" si="31"/>
        <v/>
      </c>
      <c r="E129" s="31" t="str">
        <f t="shared" si="32"/>
        <v/>
      </c>
    </row>
    <row r="130" spans="1:5">
      <c r="A130">
        <v>10</v>
      </c>
      <c r="B130" s="31" t="str">
        <f>IF($B$14="","",$B$14)</f>
        <v/>
      </c>
      <c r="C130" s="31" t="str">
        <f t="shared" si="30"/>
        <v/>
      </c>
      <c r="D130" s="31" t="str">
        <f t="shared" si="31"/>
        <v/>
      </c>
      <c r="E130" s="31" t="str">
        <f t="shared" si="32"/>
        <v/>
      </c>
    </row>
    <row r="159" spans="1:16" ht="18.600000000000001" thickBot="1">
      <c r="A159" s="72"/>
      <c r="B159" s="72"/>
      <c r="C159" s="72"/>
      <c r="D159" s="72"/>
      <c r="E159" s="72"/>
      <c r="F159" s="72"/>
      <c r="G159" s="72"/>
      <c r="H159" s="72"/>
      <c r="I159" s="72"/>
      <c r="J159" s="72"/>
      <c r="K159" s="72"/>
      <c r="L159" s="72"/>
      <c r="M159" s="72"/>
      <c r="N159" s="72"/>
      <c r="O159" s="72"/>
      <c r="P159" s="72"/>
    </row>
    <row r="160" spans="1:16" ht="18.600000000000001" thickTop="1"/>
  </sheetData>
  <phoneticPr fontId="3"/>
  <dataValidations count="3">
    <dataValidation type="list" allowBlank="1" showInputMessage="1" showErrorMessage="1" sqref="E5:E14" xr:uid="{7B9019BF-9B2E-4622-B63E-DFA534C8E28B}">
      <formula1>"二値変数,連続変数"</formula1>
    </dataValidation>
    <dataValidation type="list" allowBlank="1" showInputMessage="1" showErrorMessage="1" sqref="D5:D14" xr:uid="{8E0AAA13-D3EA-4AB3-9F2B-085F476C9A03}">
      <formula1>"有益事象,有害事象"</formula1>
    </dataValidation>
    <dataValidation type="list" allowBlank="1" showInputMessage="1" showErrorMessage="1" sqref="C5:C14" xr:uid="{EB985B61-412B-4F68-92AC-946BBB3F56B0}">
      <formula1>"益,害,負担,費用"</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A1337-3018-473E-98F9-448009CBA9E1}">
  <dimension ref="A1:R217"/>
  <sheetViews>
    <sheetView zoomScaleNormal="100" workbookViewId="0">
      <selection activeCell="P18" sqref="P18"/>
    </sheetView>
  </sheetViews>
  <sheetFormatPr defaultRowHeight="18"/>
  <cols>
    <col min="2" max="2" width="19.796875" customWidth="1"/>
    <col min="3" max="3" width="12.59765625" customWidth="1"/>
    <col min="4" max="4" width="9.69921875" customWidth="1"/>
    <col min="5" max="5" width="11.8984375" customWidth="1"/>
    <col min="6" max="6" width="5.5" customWidth="1"/>
    <col min="7" max="7" width="10.3984375" customWidth="1"/>
    <col min="8" max="8" width="11.3984375" customWidth="1"/>
    <col min="12" max="12" width="19.3984375" customWidth="1"/>
    <col min="13" max="13" width="20.09765625" customWidth="1"/>
    <col min="14" max="14" width="10.09765625" customWidth="1"/>
    <col min="15" max="15" width="9.69921875" customWidth="1"/>
    <col min="16" max="16" width="14.59765625" customWidth="1"/>
    <col min="17" max="17" width="12.3984375" customWidth="1"/>
    <col min="18" max="18" width="11.8984375" customWidth="1"/>
    <col min="19" max="19" width="11.69921875" customWidth="1"/>
    <col min="20" max="20" width="12.69921875" customWidth="1"/>
  </cols>
  <sheetData>
    <row r="1" spans="1:18">
      <c r="A1" s="1" t="s">
        <v>154</v>
      </c>
    </row>
    <row r="2" spans="1:18">
      <c r="C2" s="75" t="s">
        <v>155</v>
      </c>
    </row>
    <row r="3" spans="1:18" ht="18.600000000000001" thickBot="1">
      <c r="B3" t="s">
        <v>107</v>
      </c>
      <c r="C3" s="12">
        <v>1</v>
      </c>
      <c r="E3" t="s">
        <v>111</v>
      </c>
      <c r="G3" s="31">
        <f>IF(OR($G$8="",C3=""),"",IF(F8=-1,_xlfn.NORM.DIST($K$8,$G$8+C3,$H$8,TRUE),1-_xlfn.NORM.DIST($K$8,$G$8+C3,$H$8,TRUE)))</f>
        <v>0.5792597094391031</v>
      </c>
      <c r="H3" t="s">
        <v>112</v>
      </c>
      <c r="I3" s="31">
        <f>G3-$L$8</f>
        <v>0.36740431085570635</v>
      </c>
      <c r="L3" t="s">
        <v>119</v>
      </c>
    </row>
    <row r="4" spans="1:18" ht="22.95" customHeight="1">
      <c r="B4" t="s">
        <v>109</v>
      </c>
      <c r="C4" s="12">
        <v>0.5</v>
      </c>
      <c r="E4" t="s">
        <v>109</v>
      </c>
      <c r="G4" s="31">
        <f>IF(OR($G$8="",C4=""),"",IF(F9=-1,_xlfn.NORM.DIST($K$8,$G$8+C4,$H$8,TRUE),1-_xlfn.NORM.DIST($K$8,$G$8+C4,$H$8,TRUE)))</f>
        <v>0.38208857781104744</v>
      </c>
      <c r="H4" t="s">
        <v>109</v>
      </c>
      <c r="I4" s="31">
        <f t="shared" ref="I4:I5" si="0">G4-$L$8</f>
        <v>0.17023317922765069</v>
      </c>
      <c r="L4" s="53" t="s">
        <v>113</v>
      </c>
      <c r="M4" s="54" t="s">
        <v>112</v>
      </c>
      <c r="N4" s="60" t="s">
        <v>114</v>
      </c>
      <c r="O4" s="61" t="s">
        <v>115</v>
      </c>
      <c r="P4" s="61" t="s">
        <v>111</v>
      </c>
      <c r="Q4" s="54" t="s">
        <v>114</v>
      </c>
      <c r="R4" s="55" t="s">
        <v>115</v>
      </c>
    </row>
    <row r="5" spans="1:18" ht="18.600000000000001" thickBot="1">
      <c r="B5" t="s">
        <v>108</v>
      </c>
      <c r="C5" s="12">
        <v>1.5</v>
      </c>
      <c r="E5" t="s">
        <v>108</v>
      </c>
      <c r="G5" s="31">
        <f>IF(OR($G$8="",C5=""),"",IF(F10=-1,_xlfn.NORM.DIST($K$8,$G$8+C5,$H$8,TRUE),1-_xlfn.NORM.DIST($K$8,$G$8+C5,$H$8,TRUE)))</f>
        <v>0.75803634777692697</v>
      </c>
      <c r="H5" t="s">
        <v>108</v>
      </c>
      <c r="I5" s="31">
        <f t="shared" si="0"/>
        <v>0.54618094919353022</v>
      </c>
      <c r="L5" s="56">
        <f>ROUND(1000*L8,0)</f>
        <v>212</v>
      </c>
      <c r="M5" s="57">
        <f>I3</f>
        <v>0.36740431085570635</v>
      </c>
      <c r="N5" s="57">
        <f>I4</f>
        <v>0.17023317922765069</v>
      </c>
      <c r="O5" s="57">
        <f>I5</f>
        <v>0.54618094919353022</v>
      </c>
      <c r="P5" s="57">
        <f>ROUND(1000*G3,0)</f>
        <v>579</v>
      </c>
      <c r="Q5" s="57">
        <f>ROUND(1000*G4,0)</f>
        <v>382</v>
      </c>
      <c r="R5" s="26">
        <f>ROUND(1000*G5,0)</f>
        <v>758</v>
      </c>
    </row>
    <row r="7" spans="1:18" ht="55.8" thickBot="1">
      <c r="B7" s="3" t="s">
        <v>7</v>
      </c>
      <c r="C7" s="4" t="s">
        <v>8</v>
      </c>
      <c r="D7" s="4" t="s">
        <v>9</v>
      </c>
      <c r="E7" s="4" t="s">
        <v>10</v>
      </c>
      <c r="F7" s="3" t="s">
        <v>13</v>
      </c>
      <c r="G7" s="4" t="s">
        <v>97</v>
      </c>
      <c r="H7" s="4" t="s">
        <v>100</v>
      </c>
      <c r="I7" s="4" t="s">
        <v>98</v>
      </c>
      <c r="J7" s="4" t="s">
        <v>101</v>
      </c>
      <c r="K7" s="4" t="s">
        <v>99</v>
      </c>
      <c r="L7" s="4" t="s">
        <v>102</v>
      </c>
      <c r="M7" s="4" t="s">
        <v>103</v>
      </c>
      <c r="N7" s="5" t="s">
        <v>83</v>
      </c>
    </row>
    <row r="8" spans="1:18" ht="18.600000000000001" thickBot="1">
      <c r="B8" s="12" t="s">
        <v>28</v>
      </c>
      <c r="C8" s="14" t="s">
        <v>29</v>
      </c>
      <c r="D8" s="14" t="s">
        <v>21</v>
      </c>
      <c r="E8" s="14" t="s">
        <v>30</v>
      </c>
      <c r="F8" s="31">
        <f t="shared" ref="F8" si="1">IF(D8="","",IF(D8="有益事象",1,-1))</f>
        <v>1</v>
      </c>
      <c r="G8" s="12">
        <v>3</v>
      </c>
      <c r="H8" s="12">
        <v>1</v>
      </c>
      <c r="I8" s="31">
        <f>G8+C3</f>
        <v>4</v>
      </c>
      <c r="J8" s="12">
        <v>1</v>
      </c>
      <c r="K8" s="12">
        <v>3.8</v>
      </c>
      <c r="L8" s="49">
        <f>IF(G8="","",IF(F8=-1,_xlfn.NORM.DIST(K8,G8,H8,TRUE),1-_xlfn.NORM.DIST(K8,G8,H8,TRUE)))</f>
        <v>0.21185539858339675</v>
      </c>
      <c r="M8" s="50">
        <f>IF(I8="","",IF(F8=-1,_xlfn.NORM.DIST(K8,I8,J8,TRUE),1-_xlfn.NORM.DIST(K8,I8,J8,TRUE)))</f>
        <v>0.5792597094391031</v>
      </c>
      <c r="N8" s="51">
        <f>M8-L8</f>
        <v>0.36740431085570635</v>
      </c>
    </row>
    <row r="11" spans="1:18">
      <c r="C11" t="s">
        <v>110</v>
      </c>
    </row>
    <row r="12" spans="1:18">
      <c r="C12">
        <f>K8</f>
        <v>3.8</v>
      </c>
      <c r="D12">
        <v>0</v>
      </c>
      <c r="E12">
        <f>IF(F8=1,E13*1.5,E13/1.5)</f>
        <v>5.6999999999999993</v>
      </c>
      <c r="F12">
        <f>D13</f>
        <v>0.43881456716469042</v>
      </c>
      <c r="N12" s="58" t="s">
        <v>116</v>
      </c>
    </row>
    <row r="13" spans="1:18">
      <c r="C13">
        <f>C12</f>
        <v>3.8</v>
      </c>
      <c r="D13">
        <f>1.1*MAX(D17:E217)</f>
        <v>0.43881456716469042</v>
      </c>
      <c r="E13">
        <f>C13</f>
        <v>3.8</v>
      </c>
      <c r="F13">
        <f>D13</f>
        <v>0.43881456716469042</v>
      </c>
      <c r="N13" s="59" t="s">
        <v>117</v>
      </c>
    </row>
    <row r="14" spans="1:18">
      <c r="C14" s="52">
        <f>G8-3*H8</f>
        <v>0</v>
      </c>
      <c r="D14" s="52">
        <f>G8+3*H8</f>
        <v>6</v>
      </c>
      <c r="E14" s="52">
        <f>I8-3*J8</f>
        <v>1</v>
      </c>
      <c r="F14" s="52">
        <f>I8+3*J8</f>
        <v>7</v>
      </c>
      <c r="N14" s="58" t="s">
        <v>118</v>
      </c>
    </row>
    <row r="15" spans="1:18">
      <c r="C15">
        <f>E15-D15</f>
        <v>7</v>
      </c>
      <c r="D15">
        <f>MIN(C14:F14)</f>
        <v>0</v>
      </c>
      <c r="E15">
        <f>MAX(C14:F14)</f>
        <v>7</v>
      </c>
    </row>
    <row r="16" spans="1:18">
      <c r="C16" t="s">
        <v>104</v>
      </c>
      <c r="D16" t="s">
        <v>105</v>
      </c>
      <c r="E16" t="s">
        <v>106</v>
      </c>
    </row>
    <row r="17" spans="2:5">
      <c r="B17">
        <v>0</v>
      </c>
      <c r="C17">
        <f>$D$15+B17*$C$15/200</f>
        <v>0</v>
      </c>
      <c r="D17">
        <f>_xlfn.NORM.DIST(C17,$G$8,$H$8,FALSE)</f>
        <v>4.4318484119380075E-3</v>
      </c>
      <c r="E17">
        <f>_xlfn.NORM.DIST(C17,$I$8,$J$8,FALSE)</f>
        <v>1.3383022576488537E-4</v>
      </c>
    </row>
    <row r="18" spans="2:5">
      <c r="B18">
        <v>1</v>
      </c>
      <c r="C18">
        <f>$D$15+B18*$C$15/200</f>
        <v>3.5000000000000003E-2</v>
      </c>
      <c r="D18">
        <f t="shared" ref="D18:D81" si="2">_xlfn.NORM.DIST(C18,$G$8,$H$8,FALSE)</f>
        <v>4.9194869458966993E-3</v>
      </c>
      <c r="E18">
        <f t="shared" ref="E18:E81" si="3">_xlfn.NORM.DIST(C18,$I$8,$J$8,FALSE)</f>
        <v>1.5384714195379722E-4</v>
      </c>
    </row>
    <row r="19" spans="2:5">
      <c r="B19">
        <v>2</v>
      </c>
      <c r="C19">
        <f t="shared" ref="C19:C82" si="4">$D$15+B19*$C$15/200</f>
        <v>7.0000000000000007E-2</v>
      </c>
      <c r="D19">
        <f t="shared" si="2"/>
        <v>5.4540952350565454E-3</v>
      </c>
      <c r="E19">
        <f t="shared" si="3"/>
        <v>1.7664145934757092E-4</v>
      </c>
    </row>
    <row r="20" spans="2:5">
      <c r="B20">
        <v>3</v>
      </c>
      <c r="C20">
        <f t="shared" si="4"/>
        <v>0.105</v>
      </c>
      <c r="D20">
        <f t="shared" si="2"/>
        <v>6.0393974423956082E-3</v>
      </c>
      <c r="E20">
        <f t="shared" si="3"/>
        <v>2.0256473708380571E-4</v>
      </c>
    </row>
    <row r="21" spans="2:5">
      <c r="B21">
        <v>4</v>
      </c>
      <c r="C21">
        <f t="shared" si="4"/>
        <v>0.14000000000000001</v>
      </c>
      <c r="D21">
        <f t="shared" si="2"/>
        <v>6.6793237392026202E-3</v>
      </c>
      <c r="E21">
        <f t="shared" si="3"/>
        <v>2.3200803965694238E-4</v>
      </c>
    </row>
    <row r="22" spans="2:5">
      <c r="B22">
        <v>5</v>
      </c>
      <c r="C22">
        <f t="shared" si="4"/>
        <v>0.17499999999999999</v>
      </c>
      <c r="D22">
        <f t="shared" si="2"/>
        <v>7.37801214864679E-3</v>
      </c>
      <c r="E22">
        <f t="shared" si="3"/>
        <v>2.6540568038022831E-4</v>
      </c>
    </row>
    <row r="23" spans="2:5">
      <c r="B23">
        <v>6</v>
      </c>
      <c r="C23">
        <f t="shared" si="4"/>
        <v>0.21</v>
      </c>
      <c r="D23">
        <f t="shared" si="2"/>
        <v>8.1398092475460215E-3</v>
      </c>
      <c r="E23">
        <f t="shared" si="3"/>
        <v>3.0323922782200417E-4</v>
      </c>
    </row>
    <row r="24" spans="2:5">
      <c r="B24">
        <v>7</v>
      </c>
      <c r="C24">
        <f t="shared" si="4"/>
        <v>0.245</v>
      </c>
      <c r="D24">
        <f t="shared" si="2"/>
        <v>8.9692696000083817E-3</v>
      </c>
      <c r="E24">
        <f t="shared" si="3"/>
        <v>3.4604178191937615E-4</v>
      </c>
    </row>
    <row r="25" spans="2:5">
      <c r="B25">
        <v>8</v>
      </c>
      <c r="C25">
        <f t="shared" si="4"/>
        <v>0.28000000000000003</v>
      </c>
      <c r="D25">
        <f t="shared" si="2"/>
        <v>9.8711537947511439E-3</v>
      </c>
      <c r="E25">
        <f t="shared" si="3"/>
        <v>3.9440252496915693E-4</v>
      </c>
    </row>
    <row r="26" spans="2:5">
      <c r="B26">
        <v>9</v>
      </c>
      <c r="C26">
        <f t="shared" si="4"/>
        <v>0.315</v>
      </c>
      <c r="D26">
        <f t="shared" si="2"/>
        <v>1.0850424957154142E-2</v>
      </c>
      <c r="E26">
        <f t="shared" si="3"/>
        <v>4.4897155092210735E-4</v>
      </c>
    </row>
    <row r="27" spans="2:5">
      <c r="B27">
        <v>10</v>
      </c>
      <c r="C27">
        <f t="shared" si="4"/>
        <v>0.35</v>
      </c>
      <c r="D27">
        <f t="shared" si="2"/>
        <v>1.1912243607605179E-2</v>
      </c>
      <c r="E27">
        <f t="shared" si="3"/>
        <v>5.104649743441856E-4</v>
      </c>
    </row>
    <row r="28" spans="2:5">
      <c r="B28">
        <v>11</v>
      </c>
      <c r="C28">
        <f t="shared" si="4"/>
        <v>0.38500000000000001</v>
      </c>
      <c r="D28">
        <f t="shared" si="2"/>
        <v>1.3061960739566395E-2</v>
      </c>
      <c r="E28">
        <f t="shared" si="3"/>
        <v>5.7967031804106344E-4</v>
      </c>
    </row>
    <row r="29" spans="2:5">
      <c r="B29">
        <v>12</v>
      </c>
      <c r="C29">
        <f t="shared" si="4"/>
        <v>0.42</v>
      </c>
      <c r="D29">
        <f t="shared" si="2"/>
        <v>1.430510899414969E-2</v>
      </c>
      <c r="E29">
        <f t="shared" si="3"/>
        <v>6.5745217565467645E-4</v>
      </c>
    </row>
    <row r="30" spans="2:5">
      <c r="B30">
        <v>13</v>
      </c>
      <c r="C30">
        <f t="shared" si="4"/>
        <v>0.45500000000000002</v>
      </c>
      <c r="D30">
        <f t="shared" si="2"/>
        <v>1.5647391812944764E-2</v>
      </c>
      <c r="E30">
        <f t="shared" si="3"/>
        <v>7.4475814252004664E-4</v>
      </c>
    </row>
    <row r="31" spans="2:5">
      <c r="B31">
        <v>14</v>
      </c>
      <c r="C31">
        <f t="shared" si="4"/>
        <v>0.49</v>
      </c>
      <c r="D31">
        <f t="shared" si="2"/>
        <v>1.7094670457496956E-2</v>
      </c>
      <c r="E31">
        <f t="shared" si="3"/>
        <v>8.4262500470690268E-4</v>
      </c>
    </row>
    <row r="32" spans="2:5">
      <c r="B32">
        <v>15</v>
      </c>
      <c r="C32">
        <f t="shared" si="4"/>
        <v>0.52500000000000002</v>
      </c>
      <c r="D32">
        <f t="shared" si="2"/>
        <v>1.8652948792269905E-2</v>
      </c>
      <c r="E32">
        <f t="shared" si="3"/>
        <v>9.5218517245626935E-4</v>
      </c>
    </row>
    <row r="33" spans="2:5">
      <c r="B33">
        <v>16</v>
      </c>
      <c r="C33">
        <f t="shared" si="4"/>
        <v>0.56000000000000005</v>
      </c>
      <c r="D33">
        <f t="shared" si="2"/>
        <v>2.0328355738225837E-2</v>
      </c>
      <c r="E33">
        <f t="shared" si="3"/>
        <v>1.0746733401537356E-3</v>
      </c>
    </row>
    <row r="34" spans="2:5">
      <c r="B34">
        <v>17</v>
      </c>
      <c r="C34">
        <f t="shared" si="4"/>
        <v>0.59499999999999997</v>
      </c>
      <c r="D34">
        <f t="shared" si="2"/>
        <v>2.2127125316368654E-2</v>
      </c>
      <c r="E34">
        <f t="shared" si="3"/>
        <v>1.2114333505588014E-3</v>
      </c>
    </row>
    <row r="35" spans="2:5">
      <c r="B35">
        <v>18</v>
      </c>
      <c r="C35">
        <f t="shared" si="4"/>
        <v>0.63</v>
      </c>
      <c r="D35">
        <f t="shared" si="2"/>
        <v>2.4055574214762971E-2</v>
      </c>
      <c r="E35">
        <f t="shared" si="3"/>
        <v>1.3639252362389036E-3</v>
      </c>
    </row>
    <row r="36" spans="2:5">
      <c r="B36">
        <v>19</v>
      </c>
      <c r="C36">
        <f t="shared" si="4"/>
        <v>0.66500000000000004</v>
      </c>
      <c r="D36">
        <f t="shared" si="2"/>
        <v>2.612007682867739E-2</v>
      </c>
      <c r="E36">
        <f t="shared" si="3"/>
        <v>1.5337324060474215E-3</v>
      </c>
    </row>
    <row r="37" spans="2:5">
      <c r="B37">
        <v>20</v>
      </c>
      <c r="C37">
        <f t="shared" si="4"/>
        <v>0.7</v>
      </c>
      <c r="D37">
        <f t="shared" si="2"/>
        <v>2.8327037741601186E-2</v>
      </c>
      <c r="E37">
        <f t="shared" si="3"/>
        <v>1.7225689390536812E-3</v>
      </c>
    </row>
    <row r="38" spans="2:5">
      <c r="B38">
        <v>21</v>
      </c>
      <c r="C38">
        <f t="shared" si="4"/>
        <v>0.73499999999999999</v>
      </c>
      <c r="D38">
        <f t="shared" si="2"/>
        <v>3.0682861634910817E-2</v>
      </c>
      <c r="E38">
        <f t="shared" si="3"/>
        <v>1.932286942601544E-3</v>
      </c>
    </row>
    <row r="39" spans="2:5">
      <c r="B39">
        <v>22</v>
      </c>
      <c r="C39">
        <f t="shared" si="4"/>
        <v>0.77</v>
      </c>
      <c r="D39">
        <f t="shared" si="2"/>
        <v>3.3193920635861122E-2</v>
      </c>
      <c r="E39">
        <f t="shared" si="3"/>
        <v>2.164883925171062E-3</v>
      </c>
    </row>
    <row r="40" spans="2:5">
      <c r="B40">
        <v>23</v>
      </c>
      <c r="C40">
        <f t="shared" si="4"/>
        <v>0.80500000000000005</v>
      </c>
      <c r="D40">
        <f t="shared" si="2"/>
        <v>3.5866519137251744E-2</v>
      </c>
      <c r="E40">
        <f t="shared" si="3"/>
        <v>2.4225101284807873E-3</v>
      </c>
    </row>
    <row r="41" spans="2:5">
      <c r="B41">
        <v>24</v>
      </c>
      <c r="C41">
        <f t="shared" si="4"/>
        <v>0.84</v>
      </c>
      <c r="D41">
        <f t="shared" si="2"/>
        <v>3.8706856147455608E-2</v>
      </c>
      <c r="E41">
        <f t="shared" si="3"/>
        <v>2.7074757568406999E-3</v>
      </c>
    </row>
    <row r="42" spans="2:5">
      <c r="B42">
        <v>25</v>
      </c>
      <c r="C42">
        <f t="shared" si="4"/>
        <v>0.875</v>
      </c>
      <c r="D42">
        <f t="shared" si="2"/>
        <v>4.1720985256338612E-2</v>
      </c>
      <c r="E42">
        <f t="shared" si="3"/>
        <v>3.0222580351987561E-3</v>
      </c>
    </row>
    <row r="43" spans="2:5">
      <c r="B43">
        <v>26</v>
      </c>
      <c r="C43">
        <f t="shared" si="4"/>
        <v>0.91</v>
      </c>
      <c r="D43">
        <f t="shared" si="2"/>
        <v>4.49147723307671E-2</v>
      </c>
      <c r="E43">
        <f t="shared" si="3"/>
        <v>3.3695080206774812E-3</v>
      </c>
    </row>
    <row r="44" spans="2:5">
      <c r="B44">
        <v>27</v>
      </c>
      <c r="C44">
        <f t="shared" si="4"/>
        <v>0.94499999999999995</v>
      </c>
      <c r="D44">
        <f t="shared" si="2"/>
        <v>4.8293851082677301E-2</v>
      </c>
      <c r="E44">
        <f t="shared" si="3"/>
        <v>3.752057085739106E-3</v>
      </c>
    </row>
    <row r="45" spans="2:5">
      <c r="B45">
        <v>28</v>
      </c>
      <c r="C45">
        <f t="shared" si="4"/>
        <v>0.98</v>
      </c>
      <c r="D45">
        <f t="shared" si="2"/>
        <v>5.1863576682820565E-2</v>
      </c>
      <c r="E45">
        <f t="shared" si="3"/>
        <v>4.1729229845239623E-3</v>
      </c>
    </row>
    <row r="46" spans="2:5">
      <c r="B46">
        <v>29</v>
      </c>
      <c r="C46">
        <f t="shared" si="4"/>
        <v>1.0149999999999999</v>
      </c>
      <c r="D46">
        <f t="shared" si="2"/>
        <v>5.5628977624024092E-2</v>
      </c>
      <c r="E46">
        <f t="shared" si="3"/>
        <v>4.6353154074620598E-3</v>
      </c>
    </row>
    <row r="47" spans="2:5">
      <c r="B47">
        <v>30</v>
      </c>
      <c r="C47">
        <f t="shared" si="4"/>
        <v>1.05</v>
      </c>
      <c r="D47">
        <f t="shared" si="2"/>
        <v>5.9594706068816075E-2</v>
      </c>
      <c r="E47">
        <f t="shared" si="3"/>
        <v>5.1426409230539392E-3</v>
      </c>
    </row>
    <row r="48" spans="2:5">
      <c r="B48">
        <v>31</v>
      </c>
      <c r="C48">
        <f t="shared" si="4"/>
        <v>1.085</v>
      </c>
      <c r="D48">
        <f t="shared" si="2"/>
        <v>6.3764986947216634E-2</v>
      </c>
      <c r="E48">
        <f t="shared" si="3"/>
        <v>5.698507199853077E-3</v>
      </c>
    </row>
    <row r="49" spans="2:5">
      <c r="B49">
        <v>32</v>
      </c>
      <c r="C49">
        <f t="shared" si="4"/>
        <v>1.1200000000000001</v>
      </c>
      <c r="D49">
        <f t="shared" si="2"/>
        <v>6.8143566101044578E-2</v>
      </c>
      <c r="E49">
        <f t="shared" si="3"/>
        <v>6.3067263962659275E-3</v>
      </c>
    </row>
    <row r="50" spans="2:5">
      <c r="B50">
        <v>33</v>
      </c>
      <c r="C50">
        <f t="shared" si="4"/>
        <v>1.155</v>
      </c>
      <c r="D50">
        <f t="shared" si="2"/>
        <v>7.2733657800846702E-2</v>
      </c>
      <c r="E50">
        <f t="shared" si="3"/>
        <v>6.9713176009282797E-3</v>
      </c>
    </row>
    <row r="51" spans="2:5">
      <c r="B51">
        <v>34</v>
      </c>
      <c r="C51">
        <f t="shared" si="4"/>
        <v>1.19</v>
      </c>
      <c r="D51">
        <f t="shared" si="2"/>
        <v>7.7537891990133986E-2</v>
      </c>
      <c r="E51">
        <f t="shared" si="3"/>
        <v>7.6965082022373218E-3</v>
      </c>
    </row>
    <row r="52" spans="2:5">
      <c r="B52">
        <v>35</v>
      </c>
      <c r="C52">
        <f t="shared" si="4"/>
        <v>1.2250000000000001</v>
      </c>
      <c r="D52">
        <f t="shared" si="2"/>
        <v>8.2558261638591632E-2</v>
      </c>
      <c r="E52">
        <f t="shared" si="3"/>
        <v>8.4867340622387204E-3</v>
      </c>
    </row>
    <row r="53" spans="2:5">
      <c r="B53">
        <v>36</v>
      </c>
      <c r="C53">
        <f t="shared" si="4"/>
        <v>1.26</v>
      </c>
      <c r="D53">
        <f t="shared" si="2"/>
        <v>8.7796070610905622E-2</v>
      </c>
      <c r="E53">
        <f t="shared" si="3"/>
        <v>9.3466383676122835E-3</v>
      </c>
    </row>
    <row r="54" spans="2:5">
      <c r="B54">
        <v>37</v>
      </c>
      <c r="C54">
        <f t="shared" si="4"/>
        <v>1.2949999999999999</v>
      </c>
      <c r="D54">
        <f t="shared" si="2"/>
        <v>9.3251882480393525E-2</v>
      </c>
      <c r="E54">
        <f t="shared" si="3"/>
        <v>1.0281069029095511E-2</v>
      </c>
    </row>
    <row r="55" spans="2:5">
      <c r="B55">
        <v>38</v>
      </c>
      <c r="C55">
        <f t="shared" si="4"/>
        <v>1.33</v>
      </c>
      <c r="D55">
        <f t="shared" si="2"/>
        <v>9.8925470736323712E-2</v>
      </c>
      <c r="E55">
        <f t="shared" si="3"/>
        <v>1.1295074500456135E-2</v>
      </c>
    </row>
    <row r="56" spans="2:5">
      <c r="B56">
        <v>39</v>
      </c>
      <c r="C56">
        <f t="shared" si="4"/>
        <v>1.365</v>
      </c>
      <c r="D56">
        <f t="shared" si="2"/>
        <v>0.10481577085024761</v>
      </c>
      <c r="E56">
        <f t="shared" si="3"/>
        <v>1.2393897889198818E-2</v>
      </c>
    </row>
    <row r="57" spans="2:5">
      <c r="B57">
        <v>40</v>
      </c>
      <c r="C57">
        <f t="shared" si="4"/>
        <v>1.4</v>
      </c>
      <c r="D57">
        <f t="shared" si="2"/>
        <v>0.11092083467945554</v>
      </c>
      <c r="E57">
        <f t="shared" si="3"/>
        <v>1.3582969233685613E-2</v>
      </c>
    </row>
    <row r="58" spans="2:5">
      <c r="B58">
        <v>41</v>
      </c>
      <c r="C58">
        <f t="shared" si="4"/>
        <v>1.4350000000000001</v>
      </c>
      <c r="D58">
        <f t="shared" si="2"/>
        <v>0.117237787694426</v>
      </c>
      <c r="E58">
        <f t="shared" si="3"/>
        <v>1.4867895825380634E-2</v>
      </c>
    </row>
    <row r="59" spans="2:5">
      <c r="B59">
        <v>42</v>
      </c>
      <c r="C59">
        <f t="shared" si="4"/>
        <v>1.47</v>
      </c>
      <c r="D59">
        <f t="shared" si="2"/>
        <v>0.12376278952152313</v>
      </c>
      <c r="E59">
        <f t="shared" si="3"/>
        <v>1.6254450460600492E-2</v>
      </c>
    </row>
    <row r="60" spans="2:5">
      <c r="B60">
        <v>43</v>
      </c>
      <c r="C60">
        <f t="shared" si="4"/>
        <v>1.5049999999999999</v>
      </c>
      <c r="D60">
        <f t="shared" si="2"/>
        <v>0.13049099829189736</v>
      </c>
      <c r="E60">
        <f t="shared" si="3"/>
        <v>1.7748557513561032E-2</v>
      </c>
    </row>
    <row r="61" spans="2:5">
      <c r="B61">
        <v>44</v>
      </c>
      <c r="C61">
        <f t="shared" si="4"/>
        <v>1.54</v>
      </c>
      <c r="D61">
        <f t="shared" si="2"/>
        <v>0.13741653928228179</v>
      </c>
      <c r="E61">
        <f t="shared" si="3"/>
        <v>1.9356276731736961E-2</v>
      </c>
    </row>
    <row r="62" spans="2:5">
      <c r="B62">
        <v>45</v>
      </c>
      <c r="C62">
        <f t="shared" si="4"/>
        <v>1.575</v>
      </c>
      <c r="D62">
        <f t="shared" si="2"/>
        <v>0.14453247832293287</v>
      </c>
      <c r="E62">
        <f t="shared" si="3"/>
        <v>2.1083784665664119E-2</v>
      </c>
    </row>
    <row r="63" spans="2:5">
      <c r="B63">
        <v>46</v>
      </c>
      <c r="C63">
        <f t="shared" si="4"/>
        <v>1.61</v>
      </c>
      <c r="D63">
        <f t="shared" si="2"/>
        <v>0.15183080043216168</v>
      </c>
      <c r="E63">
        <f t="shared" si="3"/>
        <v>2.2937353658360714E-2</v>
      </c>
    </row>
    <row r="64" spans="2:5">
      <c r="B64">
        <v>47</v>
      </c>
      <c r="C64">
        <f t="shared" si="4"/>
        <v>1.645</v>
      </c>
      <c r="D64">
        <f t="shared" si="2"/>
        <v>0.15930239411562119</v>
      </c>
      <c r="E64">
        <f t="shared" si="3"/>
        <v>2.4923328334554323E-2</v>
      </c>
    </row>
    <row r="65" spans="2:5">
      <c r="B65">
        <v>48</v>
      </c>
      <c r="C65">
        <f t="shared" si="4"/>
        <v>1.68</v>
      </c>
      <c r="D65">
        <f t="shared" si="2"/>
        <v>0.16693704174171381</v>
      </c>
      <c r="E65">
        <f t="shared" si="3"/>
        <v>2.7048099546881761E-2</v>
      </c>
    </row>
    <row r="66" spans="2:5">
      <c r="B66">
        <v>49</v>
      </c>
      <c r="C66">
        <f t="shared" si="4"/>
        <v>1.7150000000000001</v>
      </c>
      <c r="D66">
        <f t="shared" si="2"/>
        <v>0.17472341637216032</v>
      </c>
      <c r="E66">
        <f t="shared" si="3"/>
        <v>2.9318075755160253E-2</v>
      </c>
    </row>
    <row r="67" spans="2:5">
      <c r="B67">
        <v>50</v>
      </c>
      <c r="C67">
        <f t="shared" si="4"/>
        <v>1.75</v>
      </c>
      <c r="D67">
        <f t="shared" si="2"/>
        <v>0.18264908538902191</v>
      </c>
      <c r="E67">
        <f t="shared" si="3"/>
        <v>3.1739651835667418E-2</v>
      </c>
    </row>
    <row r="68" spans="2:5">
      <c r="B68">
        <v>51</v>
      </c>
      <c r="C68">
        <f t="shared" si="4"/>
        <v>1.7849999999999999</v>
      </c>
      <c r="D68">
        <f t="shared" si="2"/>
        <v>0.19070052121643932</v>
      </c>
      <c r="E68">
        <f t="shared" si="3"/>
        <v>3.4319175340040232E-2</v>
      </c>
    </row>
    <row r="69" spans="2:5">
      <c r="B69">
        <v>52</v>
      </c>
      <c r="C69">
        <f t="shared" si="4"/>
        <v>1.82</v>
      </c>
      <c r="D69">
        <f t="shared" si="2"/>
        <v>0.19886311938727591</v>
      </c>
      <c r="E69">
        <f t="shared" si="3"/>
        <v>3.7062910247806502E-2</v>
      </c>
    </row>
    <row r="70" spans="2:5">
      <c r="B70">
        <v>53</v>
      </c>
      <c r="C70">
        <f t="shared" si="4"/>
        <v>1.855</v>
      </c>
      <c r="D70">
        <f t="shared" si="2"/>
        <v>0.20712122415203338</v>
      </c>
      <c r="E70">
        <f t="shared" si="3"/>
        <v>3.9976998282565138E-2</v>
      </c>
    </row>
    <row r="71" spans="2:5">
      <c r="B71">
        <v>54</v>
      </c>
      <c r="C71">
        <f t="shared" si="4"/>
        <v>1.89</v>
      </c>
      <c r="D71">
        <f t="shared" si="2"/>
        <v>0.21545816177021967</v>
      </c>
      <c r="E71">
        <f t="shared" si="3"/>
        <v>4.3067417889265699E-2</v>
      </c>
    </row>
    <row r="72" spans="2:5">
      <c r="B72">
        <v>55</v>
      </c>
      <c r="C72">
        <f t="shared" si="4"/>
        <v>1.925</v>
      </c>
      <c r="D72">
        <f t="shared" si="2"/>
        <v>0.22385628156323947</v>
      </c>
      <c r="E72">
        <f t="shared" si="3"/>
        <v>4.6339940998709216E-2</v>
      </c>
    </row>
    <row r="73" spans="2:5">
      <c r="B73">
        <v>56</v>
      </c>
      <c r="C73">
        <f t="shared" si="4"/>
        <v>1.96</v>
      </c>
      <c r="D73">
        <f t="shared" si="2"/>
        <v>0.2322970047433662</v>
      </c>
      <c r="E73">
        <f t="shared" si="3"/>
        <v>4.9800087735070775E-2</v>
      </c>
    </row>
    <row r="74" spans="2:5">
      <c r="B74">
        <v>57</v>
      </c>
      <c r="C74">
        <f t="shared" si="4"/>
        <v>1.9950000000000001</v>
      </c>
      <c r="D74">
        <f t="shared" si="2"/>
        <v>0.24076088096602083</v>
      </c>
      <c r="E74">
        <f t="shared" si="3"/>
        <v>5.3453079252672044E-2</v>
      </c>
    </row>
    <row r="75" spans="2:5">
      <c r="B75">
        <v>58</v>
      </c>
      <c r="C75">
        <f t="shared" si="4"/>
        <v>2.0299999999999998</v>
      </c>
      <c r="D75">
        <f t="shared" si="2"/>
        <v>0.24922765248306586</v>
      </c>
      <c r="E75">
        <f t="shared" si="3"/>
        <v>5.730378891911711E-2</v>
      </c>
    </row>
    <row r="76" spans="2:5">
      <c r="B76">
        <v>59</v>
      </c>
      <c r="C76">
        <f t="shared" si="4"/>
        <v>2.0649999999999999</v>
      </c>
      <c r="D76">
        <f t="shared" si="2"/>
        <v>0.25767632570382137</v>
      </c>
      <c r="E76">
        <f t="shared" si="3"/>
        <v>6.1356692092932479E-2</v>
      </c>
    </row>
    <row r="77" spans="2:5">
      <c r="B77">
        <v>60</v>
      </c>
      <c r="C77">
        <f t="shared" si="4"/>
        <v>2.1</v>
      </c>
      <c r="D77">
        <f t="shared" si="2"/>
        <v>0.26608524989875487</v>
      </c>
      <c r="E77">
        <f t="shared" si="3"/>
        <v>6.5615814774676595E-2</v>
      </c>
    </row>
    <row r="78" spans="2:5">
      <c r="B78">
        <v>61</v>
      </c>
      <c r="C78">
        <f t="shared" si="4"/>
        <v>2.1349999999999998</v>
      </c>
      <c r="D78">
        <f t="shared" si="2"/>
        <v>0.2744322027090772</v>
      </c>
      <c r="E78">
        <f t="shared" si="3"/>
        <v>7.0084681440741287E-2</v>
      </c>
    </row>
    <row r="79" spans="2:5">
      <c r="B79">
        <v>62</v>
      </c>
      <c r="C79">
        <f t="shared" si="4"/>
        <v>2.17</v>
      </c>
      <c r="D79">
        <f t="shared" si="2"/>
        <v>0.28269448205458025</v>
      </c>
      <c r="E79">
        <f t="shared" si="3"/>
        <v>7.4766262398367603E-2</v>
      </c>
    </row>
    <row r="80" spans="2:5">
      <c r="B80">
        <v>63</v>
      </c>
      <c r="C80">
        <f t="shared" si="4"/>
        <v>2.2050000000000001</v>
      </c>
      <c r="D80">
        <f t="shared" si="2"/>
        <v>0.29084900396281432</v>
      </c>
      <c r="E80">
        <f t="shared" si="3"/>
        <v>7.9662921028342992E-2</v>
      </c>
    </row>
    <row r="81" spans="2:5">
      <c r="B81">
        <v>64</v>
      </c>
      <c r="C81">
        <f t="shared" si="4"/>
        <v>2.2400000000000002</v>
      </c>
      <c r="D81">
        <f t="shared" si="2"/>
        <v>0.29887240577595287</v>
      </c>
      <c r="E81">
        <f t="shared" si="3"/>
        <v>8.4776361308022255E-2</v>
      </c>
    </row>
    <row r="82" spans="2:5">
      <c r="B82">
        <v>65</v>
      </c>
      <c r="C82">
        <f t="shared" si="4"/>
        <v>2.2749999999999999</v>
      </c>
      <c r="D82">
        <f t="shared" ref="D82:D145" si="5">_xlfn.NORM.DIST(C82,$G$8,$H$8,FALSE)</f>
        <v>0.30674115412823999</v>
      </c>
      <c r="E82">
        <f t="shared" ref="E82:E145" si="6">_xlfn.NORM.DIST(C82,$I$8,$J$8,FALSE)</f>
        <v>9.0107576031298098E-2</v>
      </c>
    </row>
    <row r="83" spans="2:5">
      <c r="B83">
        <v>66</v>
      </c>
      <c r="C83">
        <f t="shared" ref="C83:C146" si="7">$D$15+B83*$C$15/200</f>
        <v>2.31</v>
      </c>
      <c r="D83">
        <f t="shared" si="5"/>
        <v>0.31443165702759734</v>
      </c>
      <c r="E83">
        <f t="shared" si="6"/>
        <v>9.5656796163524016E-2</v>
      </c>
    </row>
    <row r="84" spans="2:5">
      <c r="B84">
        <v>67</v>
      </c>
      <c r="C84">
        <f t="shared" si="7"/>
        <v>2.3450000000000002</v>
      </c>
      <c r="D84">
        <f t="shared" si="5"/>
        <v>0.32192037932053763</v>
      </c>
      <c r="E84">
        <f t="shared" si="6"/>
        <v>0.10142344178774111</v>
      </c>
    </row>
    <row r="85" spans="2:5">
      <c r="B85">
        <v>68</v>
      </c>
      <c r="C85">
        <f t="shared" si="7"/>
        <v>2.38</v>
      </c>
      <c r="D85">
        <f t="shared" si="5"/>
        <v>0.32918396077076478</v>
      </c>
      <c r="E85">
        <f t="shared" si="6"/>
        <v>0.1074060751134838</v>
      </c>
    </row>
    <row r="86" spans="2:5">
      <c r="B86">
        <v>69</v>
      </c>
      <c r="C86">
        <f t="shared" si="7"/>
        <v>2.415</v>
      </c>
      <c r="D86">
        <f t="shared" si="5"/>
        <v>0.33619933593940737</v>
      </c>
      <c r="E86">
        <f t="shared" si="6"/>
        <v>0.11360235603054231</v>
      </c>
    </row>
    <row r="87" spans="2:5">
      <c r="B87">
        <v>70</v>
      </c>
      <c r="C87">
        <f t="shared" si="7"/>
        <v>2.4500000000000002</v>
      </c>
      <c r="D87">
        <f t="shared" si="5"/>
        <v>0.3429438550193839</v>
      </c>
      <c r="E87">
        <f t="shared" si="6"/>
        <v>0.12000900069698565</v>
      </c>
    </row>
    <row r="88" spans="2:5">
      <c r="B88">
        <v>71</v>
      </c>
      <c r="C88">
        <f t="shared" si="7"/>
        <v>2.4849999999999999</v>
      </c>
      <c r="D88">
        <f t="shared" si="5"/>
        <v>0.34939540474849956</v>
      </c>
      <c r="E88">
        <f t="shared" si="6"/>
        <v>0.12662174365316267</v>
      </c>
    </row>
    <row r="89" spans="2:5">
      <c r="B89">
        <v>72</v>
      </c>
      <c r="C89">
        <f t="shared" si="7"/>
        <v>2.52</v>
      </c>
      <c r="D89">
        <f t="shared" si="5"/>
        <v>0.35553252850599709</v>
      </c>
      <c r="E89">
        <f t="shared" si="6"/>
        <v>0.13343530395100231</v>
      </c>
    </row>
    <row r="90" spans="2:5">
      <c r="B90">
        <v>73</v>
      </c>
      <c r="C90">
        <f t="shared" si="7"/>
        <v>2.5550000000000002</v>
      </c>
      <c r="D90">
        <f t="shared" si="5"/>
        <v>0.36133454468584553</v>
      </c>
      <c r="E90">
        <f t="shared" si="6"/>
        <v>0.14044335578047476</v>
      </c>
    </row>
    <row r="91" spans="2:5">
      <c r="B91">
        <v>74</v>
      </c>
      <c r="C91">
        <f t="shared" si="7"/>
        <v>2.59</v>
      </c>
      <c r="D91">
        <f t="shared" si="5"/>
        <v>0.36678166243733612</v>
      </c>
      <c r="E91">
        <f t="shared" si="6"/>
        <v>0.14763850406235568</v>
      </c>
    </row>
    <row r="92" spans="2:5">
      <c r="B92">
        <v>75</v>
      </c>
      <c r="C92">
        <f t="shared" si="7"/>
        <v>2.625</v>
      </c>
      <c r="D92">
        <f t="shared" si="5"/>
        <v>0.37185509386976895</v>
      </c>
      <c r="E92">
        <f t="shared" si="6"/>
        <v>0.15501226545829322</v>
      </c>
    </row>
    <row r="93" spans="2:5">
      <c r="B93">
        <v>76</v>
      </c>
      <c r="C93">
        <f t="shared" si="7"/>
        <v>2.66</v>
      </c>
      <c r="D93">
        <f t="shared" si="5"/>
        <v>0.37653716183325397</v>
      </c>
      <c r="E93">
        <f t="shared" si="6"/>
        <v>0.16255505522553418</v>
      </c>
    </row>
    <row r="94" spans="2:5">
      <c r="B94">
        <v>77</v>
      </c>
      <c r="C94">
        <f t="shared" si="7"/>
        <v>2.6949999999999998</v>
      </c>
      <c r="D94">
        <f t="shared" si="5"/>
        <v>0.38081140241189432</v>
      </c>
      <c r="E94">
        <f t="shared" si="6"/>
        <v>0.17025618031449449</v>
      </c>
    </row>
    <row r="95" spans="2:5">
      <c r="B95">
        <v>78</v>
      </c>
      <c r="C95">
        <f t="shared" si="7"/>
        <v>2.73</v>
      </c>
      <c r="D95">
        <f t="shared" si="5"/>
        <v>0.38466266129874283</v>
      </c>
      <c r="E95">
        <f t="shared" si="6"/>
        <v>0.17810383907269359</v>
      </c>
    </row>
    <row r="96" spans="2:5">
      <c r="B96">
        <v>79</v>
      </c>
      <c r="C96">
        <f t="shared" si="7"/>
        <v>2.7650000000000001</v>
      </c>
      <c r="D96">
        <f t="shared" si="5"/>
        <v>0.38807718326368468</v>
      </c>
      <c r="E96">
        <f t="shared" si="6"/>
        <v>0.18608512787853726</v>
      </c>
    </row>
    <row r="97" spans="2:5">
      <c r="B97">
        <v>80</v>
      </c>
      <c r="C97">
        <f t="shared" si="7"/>
        <v>2.8</v>
      </c>
      <c r="D97">
        <f t="shared" si="5"/>
        <v>0.39104269397545588</v>
      </c>
      <c r="E97">
        <f t="shared" si="6"/>
        <v>0.19418605498321292</v>
      </c>
    </row>
    <row r="98" spans="2:5">
      <c r="B98">
        <v>81</v>
      </c>
      <c r="C98">
        <f t="shared" si="7"/>
        <v>2.835</v>
      </c>
      <c r="D98">
        <f t="shared" si="5"/>
        <v>0.39354847349689354</v>
      </c>
      <c r="E98">
        <f t="shared" si="6"/>
        <v>0.20239156178880735</v>
      </c>
    </row>
    <row r="99" spans="2:5">
      <c r="B99">
        <v>82</v>
      </c>
      <c r="C99">
        <f t="shared" si="7"/>
        <v>2.87</v>
      </c>
      <c r="D99">
        <f t="shared" si="5"/>
        <v>0.39558542083768738</v>
      </c>
      <c r="E99">
        <f t="shared" si="6"/>
        <v>0.21068555173601533</v>
      </c>
    </row>
    <row r="100" spans="2:5">
      <c r="B100">
        <v>83</v>
      </c>
      <c r="C100">
        <f t="shared" si="7"/>
        <v>2.9049999999999998</v>
      </c>
      <c r="D100">
        <f t="shared" si="5"/>
        <v>0.39714610902069969</v>
      </c>
      <c r="E100">
        <f t="shared" si="6"/>
        <v>0.21905092691588193</v>
      </c>
    </row>
    <row r="101" spans="2:5">
      <c r="B101">
        <v>84</v>
      </c>
      <c r="C101">
        <f t="shared" si="7"/>
        <v>2.94</v>
      </c>
      <c r="D101">
        <f t="shared" si="5"/>
        <v>0.39822483019560695</v>
      </c>
      <c r="E101">
        <f t="shared" si="6"/>
        <v>0.22746963245738591</v>
      </c>
    </row>
    <row r="102" spans="2:5">
      <c r="B102">
        <v>85</v>
      </c>
      <c r="C102">
        <f t="shared" si="7"/>
        <v>2.9750000000000001</v>
      </c>
      <c r="D102">
        <f t="shared" si="5"/>
        <v>0.3988176304163818</v>
      </c>
      <c r="E102">
        <f t="shared" si="6"/>
        <v>0.23592270867687257</v>
      </c>
    </row>
    <row r="103" spans="2:5">
      <c r="B103">
        <v>86</v>
      </c>
      <c r="C103">
        <f t="shared" si="7"/>
        <v>3.01</v>
      </c>
      <c r="D103">
        <f t="shared" si="5"/>
        <v>0.39892233378608216</v>
      </c>
      <c r="E103">
        <f t="shared" si="6"/>
        <v>0.24439035090699954</v>
      </c>
    </row>
    <row r="104" spans="2:5">
      <c r="B104">
        <v>87</v>
      </c>
      <c r="C104">
        <f t="shared" si="7"/>
        <v>3.0449999999999999</v>
      </c>
      <c r="D104">
        <f t="shared" si="5"/>
        <v>0.39853855576261471</v>
      </c>
      <c r="E104">
        <f t="shared" si="6"/>
        <v>0.25285197685261257</v>
      </c>
    </row>
    <row r="105" spans="2:5">
      <c r="B105">
        <v>88</v>
      </c>
      <c r="C105">
        <f t="shared" si="7"/>
        <v>3.08</v>
      </c>
      <c r="D105">
        <f t="shared" si="5"/>
        <v>0.39766770551160885</v>
      </c>
      <c r="E105">
        <f t="shared" si="6"/>
        <v>0.26128630124955315</v>
      </c>
    </row>
    <row r="106" spans="2:5">
      <c r="B106">
        <v>89</v>
      </c>
      <c r="C106">
        <f t="shared" si="7"/>
        <v>3.1150000000000002</v>
      </c>
      <c r="D106">
        <f t="shared" si="5"/>
        <v>0.39631297728625331</v>
      </c>
      <c r="E106">
        <f t="shared" si="6"/>
        <v>0.26967141753056539</v>
      </c>
    </row>
    <row r="107" spans="2:5">
      <c r="B107">
        <v>90</v>
      </c>
      <c r="C107">
        <f t="shared" si="7"/>
        <v>3.15</v>
      </c>
      <c r="D107">
        <f t="shared" si="5"/>
        <v>0.39447933090788895</v>
      </c>
      <c r="E107">
        <f t="shared" si="6"/>
        <v>0.27798488613099642</v>
      </c>
    </row>
    <row r="108" spans="2:5">
      <c r="B108">
        <v>91</v>
      </c>
      <c r="C108">
        <f t="shared" si="7"/>
        <v>3.1850000000000001</v>
      </c>
      <c r="D108">
        <f t="shared" si="5"/>
        <v>0.39217346151428173</v>
      </c>
      <c r="E108">
        <f t="shared" si="6"/>
        <v>0.28620382899670693</v>
      </c>
    </row>
    <row r="109" spans="2:5">
      <c r="B109">
        <v>92</v>
      </c>
      <c r="C109">
        <f t="shared" si="7"/>
        <v>3.22</v>
      </c>
      <c r="D109">
        <f t="shared" si="5"/>
        <v>0.38940375883379041</v>
      </c>
      <c r="E109">
        <f t="shared" si="6"/>
        <v>0.29430502978832518</v>
      </c>
    </row>
    <row r="110" spans="2:5">
      <c r="B110">
        <v>93</v>
      </c>
      <c r="C110">
        <f t="shared" si="7"/>
        <v>3.2549999999999999</v>
      </c>
      <c r="D110">
        <f t="shared" si="5"/>
        <v>0.38618025633210812</v>
      </c>
      <c r="E110">
        <f t="shared" si="6"/>
        <v>0.30226503921054892</v>
      </c>
    </row>
    <row r="111" spans="2:5">
      <c r="B111">
        <v>94</v>
      </c>
      <c r="C111">
        <f t="shared" si="7"/>
        <v>3.29</v>
      </c>
      <c r="D111">
        <f t="shared" si="5"/>
        <v>0.38251457066292405</v>
      </c>
      <c r="E111">
        <f t="shared" si="6"/>
        <v>0.31006028483341613</v>
      </c>
    </row>
    <row r="112" spans="2:5">
      <c r="B112">
        <v>95</v>
      </c>
      <c r="C112">
        <f t="shared" si="7"/>
        <v>3.3250000000000002</v>
      </c>
      <c r="D112">
        <f t="shared" si="5"/>
        <v>0.37841983193381945</v>
      </c>
      <c r="E112">
        <f t="shared" si="6"/>
        <v>0.31766718471514827</v>
      </c>
    </row>
    <row r="113" spans="2:5">
      <c r="B113">
        <v>96</v>
      </c>
      <c r="C113">
        <f t="shared" si="7"/>
        <v>3.36</v>
      </c>
      <c r="D113">
        <f t="shared" si="5"/>
        <v>0.37391060537312842</v>
      </c>
      <c r="E113">
        <f t="shared" si="6"/>
        <v>0.32506226408408212</v>
      </c>
    </row>
    <row r="114" spans="2:5">
      <c r="B114">
        <v>97</v>
      </c>
      <c r="C114">
        <f t="shared" si="7"/>
        <v>3.395</v>
      </c>
      <c r="D114">
        <f t="shared" si="5"/>
        <v>0.36900280505159144</v>
      </c>
      <c r="E114">
        <f t="shared" si="6"/>
        <v>0.33222227429106688</v>
      </c>
    </row>
    <row r="115" spans="2:5">
      <c r="B115">
        <v>98</v>
      </c>
      <c r="C115">
        <f t="shared" si="7"/>
        <v>3.43</v>
      </c>
      <c r="D115">
        <f t="shared" si="5"/>
        <v>0.36371360037371336</v>
      </c>
      <c r="E115">
        <f t="shared" si="6"/>
        <v>0.33912431320419223</v>
      </c>
    </row>
    <row r="116" spans="2:5">
      <c r="B116">
        <v>99</v>
      </c>
      <c r="C116">
        <f t="shared" si="7"/>
        <v>3.4649999999999999</v>
      </c>
      <c r="D116">
        <f t="shared" si="5"/>
        <v>0.35806131610721081</v>
      </c>
      <c r="E116">
        <f t="shared" si="6"/>
        <v>0.34574594618543536</v>
      </c>
    </row>
    <row r="117" spans="2:5">
      <c r="B117">
        <v>100</v>
      </c>
      <c r="C117">
        <f t="shared" si="7"/>
        <v>3.5</v>
      </c>
      <c r="D117">
        <f t="shared" si="5"/>
        <v>0.35206532676429952</v>
      </c>
      <c r="E117">
        <f t="shared" si="6"/>
        <v>0.35206532676429952</v>
      </c>
    </row>
    <row r="118" spans="2:5">
      <c r="B118">
        <v>101</v>
      </c>
      <c r="C118">
        <f t="shared" si="7"/>
        <v>3.5350000000000001</v>
      </c>
      <c r="D118">
        <f t="shared" si="5"/>
        <v>0.34574594618543536</v>
      </c>
      <c r="E118">
        <f t="shared" si="6"/>
        <v>0.35806131610721081</v>
      </c>
    </row>
    <row r="119" spans="2:5">
      <c r="B119">
        <v>102</v>
      </c>
      <c r="C119">
        <f t="shared" si="7"/>
        <v>3.57</v>
      </c>
      <c r="D119">
        <f t="shared" si="5"/>
        <v>0.33912431320419223</v>
      </c>
      <c r="E119">
        <f t="shared" si="6"/>
        <v>0.36371360037371336</v>
      </c>
    </row>
    <row r="120" spans="2:5">
      <c r="B120">
        <v>103</v>
      </c>
      <c r="C120">
        <f t="shared" si="7"/>
        <v>3.605</v>
      </c>
      <c r="D120">
        <f t="shared" si="5"/>
        <v>0.33222227429106688</v>
      </c>
      <c r="E120">
        <f t="shared" si="6"/>
        <v>0.36900280505159144</v>
      </c>
    </row>
    <row r="121" spans="2:5">
      <c r="B121">
        <v>104</v>
      </c>
      <c r="C121">
        <f t="shared" si="7"/>
        <v>3.64</v>
      </c>
      <c r="D121">
        <f t="shared" si="5"/>
        <v>0.32506226408408212</v>
      </c>
      <c r="E121">
        <f t="shared" si="6"/>
        <v>0.37391060537312842</v>
      </c>
    </row>
    <row r="122" spans="2:5">
      <c r="B122">
        <v>105</v>
      </c>
      <c r="C122">
        <f t="shared" si="7"/>
        <v>3.6749999999999998</v>
      </c>
      <c r="D122">
        <f t="shared" si="5"/>
        <v>0.31766718471514827</v>
      </c>
      <c r="E122">
        <f t="shared" si="6"/>
        <v>0.37841983193381945</v>
      </c>
    </row>
    <row r="123" spans="2:5">
      <c r="B123">
        <v>106</v>
      </c>
      <c r="C123">
        <f t="shared" si="7"/>
        <v>3.71</v>
      </c>
      <c r="D123">
        <f t="shared" si="5"/>
        <v>0.31006028483341613</v>
      </c>
      <c r="E123">
        <f t="shared" si="6"/>
        <v>0.38251457066292405</v>
      </c>
    </row>
    <row r="124" spans="2:5">
      <c r="B124">
        <v>107</v>
      </c>
      <c r="C124">
        <f t="shared" si="7"/>
        <v>3.7450000000000001</v>
      </c>
      <c r="D124">
        <f t="shared" si="5"/>
        <v>0.30226503921054892</v>
      </c>
      <c r="E124">
        <f t="shared" si="6"/>
        <v>0.38618025633210812</v>
      </c>
    </row>
    <row r="125" spans="2:5">
      <c r="B125">
        <v>108</v>
      </c>
      <c r="C125">
        <f t="shared" si="7"/>
        <v>3.78</v>
      </c>
      <c r="D125">
        <f t="shared" si="5"/>
        <v>0.29430502978832518</v>
      </c>
      <c r="E125">
        <f t="shared" si="6"/>
        <v>0.38940375883379041</v>
      </c>
    </row>
    <row r="126" spans="2:5">
      <c r="B126">
        <v>109</v>
      </c>
      <c r="C126">
        <f t="shared" si="7"/>
        <v>3.8149999999999999</v>
      </c>
      <c r="D126">
        <f t="shared" si="5"/>
        <v>0.28620382899670693</v>
      </c>
      <c r="E126">
        <f t="shared" si="6"/>
        <v>0.39217346151428173</v>
      </c>
    </row>
    <row r="127" spans="2:5">
      <c r="B127">
        <v>110</v>
      </c>
      <c r="C127">
        <f t="shared" si="7"/>
        <v>3.85</v>
      </c>
      <c r="D127">
        <f t="shared" si="5"/>
        <v>0.27798488613099642</v>
      </c>
      <c r="E127">
        <f t="shared" si="6"/>
        <v>0.39447933090788895</v>
      </c>
    </row>
    <row r="128" spans="2:5">
      <c r="B128">
        <v>111</v>
      </c>
      <c r="C128">
        <f t="shared" si="7"/>
        <v>3.8849999999999998</v>
      </c>
      <c r="D128">
        <f t="shared" si="5"/>
        <v>0.26967141753056539</v>
      </c>
      <c r="E128">
        <f t="shared" si="6"/>
        <v>0.39631297728625331</v>
      </c>
    </row>
    <row r="129" spans="2:5">
      <c r="B129">
        <v>112</v>
      </c>
      <c r="C129">
        <f t="shared" si="7"/>
        <v>3.92</v>
      </c>
      <c r="D129">
        <f t="shared" si="5"/>
        <v>0.26128630124955315</v>
      </c>
      <c r="E129">
        <f t="shared" si="6"/>
        <v>0.39766770551160885</v>
      </c>
    </row>
    <row r="130" spans="2:5">
      <c r="B130">
        <v>113</v>
      </c>
      <c r="C130">
        <f t="shared" si="7"/>
        <v>3.9550000000000001</v>
      </c>
      <c r="D130">
        <f t="shared" si="5"/>
        <v>0.25285197685261257</v>
      </c>
      <c r="E130">
        <f t="shared" si="6"/>
        <v>0.39853855576261471</v>
      </c>
    </row>
    <row r="131" spans="2:5">
      <c r="B131">
        <v>114</v>
      </c>
      <c r="C131">
        <f t="shared" si="7"/>
        <v>3.99</v>
      </c>
      <c r="D131">
        <f t="shared" si="5"/>
        <v>0.24439035090699954</v>
      </c>
      <c r="E131">
        <f t="shared" si="6"/>
        <v>0.39892233378608216</v>
      </c>
    </row>
    <row r="132" spans="2:5">
      <c r="B132">
        <v>115</v>
      </c>
      <c r="C132">
        <f t="shared" si="7"/>
        <v>4.0250000000000004</v>
      </c>
      <c r="D132">
        <f t="shared" si="5"/>
        <v>0.23592270867687243</v>
      </c>
      <c r="E132">
        <f t="shared" si="6"/>
        <v>0.3988176304163818</v>
      </c>
    </row>
    <row r="133" spans="2:5">
      <c r="B133">
        <v>116</v>
      </c>
      <c r="C133">
        <f t="shared" si="7"/>
        <v>4.0599999999999996</v>
      </c>
      <c r="D133">
        <f t="shared" si="5"/>
        <v>0.227469632457386</v>
      </c>
      <c r="E133">
        <f t="shared" si="6"/>
        <v>0.39822483019560695</v>
      </c>
    </row>
    <row r="134" spans="2:5">
      <c r="B134">
        <v>117</v>
      </c>
      <c r="C134">
        <f t="shared" si="7"/>
        <v>4.0949999999999998</v>
      </c>
      <c r="D134">
        <f t="shared" si="5"/>
        <v>0.21905092691588202</v>
      </c>
      <c r="E134">
        <f t="shared" si="6"/>
        <v>0.39714610902069969</v>
      </c>
    </row>
    <row r="135" spans="2:5">
      <c r="B135">
        <v>118</v>
      </c>
      <c r="C135">
        <f t="shared" si="7"/>
        <v>4.13</v>
      </c>
      <c r="D135">
        <f t="shared" si="5"/>
        <v>0.21068555173601533</v>
      </c>
      <c r="E135">
        <f t="shared" si="6"/>
        <v>0.39558542083768738</v>
      </c>
    </row>
    <row r="136" spans="2:5">
      <c r="B136">
        <v>119</v>
      </c>
      <c r="C136">
        <f t="shared" si="7"/>
        <v>4.165</v>
      </c>
      <c r="D136">
        <f t="shared" si="5"/>
        <v>0.20239156178880735</v>
      </c>
      <c r="E136">
        <f t="shared" si="6"/>
        <v>0.39354847349689354</v>
      </c>
    </row>
    <row r="137" spans="2:5">
      <c r="B137">
        <v>120</v>
      </c>
      <c r="C137">
        <f t="shared" si="7"/>
        <v>4.2</v>
      </c>
      <c r="D137">
        <f t="shared" si="5"/>
        <v>0.19418605498321292</v>
      </c>
      <c r="E137">
        <f t="shared" si="6"/>
        <v>0.39104269397545588</v>
      </c>
    </row>
    <row r="138" spans="2:5">
      <c r="B138">
        <v>121</v>
      </c>
      <c r="C138">
        <f t="shared" si="7"/>
        <v>4.2350000000000003</v>
      </c>
      <c r="D138">
        <f t="shared" si="5"/>
        <v>0.18608512787853715</v>
      </c>
      <c r="E138">
        <f t="shared" si="6"/>
        <v>0.38807718326368462</v>
      </c>
    </row>
    <row r="139" spans="2:5">
      <c r="B139">
        <v>122</v>
      </c>
      <c r="C139">
        <f t="shared" si="7"/>
        <v>4.2699999999999996</v>
      </c>
      <c r="D139">
        <f t="shared" si="5"/>
        <v>0.17810383907269367</v>
      </c>
      <c r="E139">
        <f t="shared" si="6"/>
        <v>0.38466266129874283</v>
      </c>
    </row>
    <row r="140" spans="2:5">
      <c r="B140">
        <v>123</v>
      </c>
      <c r="C140">
        <f t="shared" si="7"/>
        <v>4.3049999999999997</v>
      </c>
      <c r="D140">
        <f t="shared" si="5"/>
        <v>0.1702561803144946</v>
      </c>
      <c r="E140">
        <f t="shared" si="6"/>
        <v>0.38081140241189437</v>
      </c>
    </row>
    <row r="141" spans="2:5">
      <c r="B141">
        <v>124</v>
      </c>
      <c r="C141">
        <f t="shared" si="7"/>
        <v>4.34</v>
      </c>
      <c r="D141">
        <f t="shared" si="5"/>
        <v>0.16255505522553418</v>
      </c>
      <c r="E141">
        <f t="shared" si="6"/>
        <v>0.37653716183325397</v>
      </c>
    </row>
    <row r="142" spans="2:5">
      <c r="B142">
        <v>125</v>
      </c>
      <c r="C142">
        <f t="shared" si="7"/>
        <v>4.375</v>
      </c>
      <c r="D142">
        <f t="shared" si="5"/>
        <v>0.15501226545829322</v>
      </c>
      <c r="E142">
        <f t="shared" si="6"/>
        <v>0.37185509386976895</v>
      </c>
    </row>
    <row r="143" spans="2:5">
      <c r="B143">
        <v>126</v>
      </c>
      <c r="C143">
        <f t="shared" si="7"/>
        <v>4.41</v>
      </c>
      <c r="D143">
        <f t="shared" si="5"/>
        <v>0.14763850406235568</v>
      </c>
      <c r="E143">
        <f t="shared" si="6"/>
        <v>0.36678166243733612</v>
      </c>
    </row>
    <row r="144" spans="2:5">
      <c r="B144">
        <v>127</v>
      </c>
      <c r="C144">
        <f t="shared" si="7"/>
        <v>4.4450000000000003</v>
      </c>
      <c r="D144">
        <f t="shared" si="5"/>
        <v>0.14044335578047468</v>
      </c>
      <c r="E144">
        <f t="shared" si="6"/>
        <v>0.36133454468584547</v>
      </c>
    </row>
    <row r="145" spans="2:5">
      <c r="B145">
        <v>128</v>
      </c>
      <c r="C145">
        <f t="shared" si="7"/>
        <v>4.4800000000000004</v>
      </c>
      <c r="D145">
        <f t="shared" si="5"/>
        <v>0.1334353039510022</v>
      </c>
      <c r="E145">
        <f t="shared" si="6"/>
        <v>0.35553252850599704</v>
      </c>
    </row>
    <row r="146" spans="2:5">
      <c r="B146">
        <v>129</v>
      </c>
      <c r="C146">
        <f t="shared" si="7"/>
        <v>4.5149999999999997</v>
      </c>
      <c r="D146">
        <f t="shared" ref="D146:D209" si="8">_xlfn.NORM.DIST(C146,$G$8,$H$8,FALSE)</f>
        <v>0.12662174365316278</v>
      </c>
      <c r="E146">
        <f t="shared" ref="E146:E209" si="9">_xlfn.NORM.DIST(C146,$I$8,$J$8,FALSE)</f>
        <v>0.34939540474849967</v>
      </c>
    </row>
    <row r="147" spans="2:5">
      <c r="B147">
        <v>130</v>
      </c>
      <c r="C147">
        <f t="shared" ref="C147:C210" si="10">$D$15+B147*$C$15/200</f>
        <v>4.55</v>
      </c>
      <c r="D147">
        <f t="shared" si="8"/>
        <v>0.12000900069698565</v>
      </c>
      <c r="E147">
        <f t="shared" si="9"/>
        <v>0.3429438550193839</v>
      </c>
    </row>
    <row r="148" spans="2:5">
      <c r="B148">
        <v>131</v>
      </c>
      <c r="C148">
        <f t="shared" si="10"/>
        <v>4.585</v>
      </c>
      <c r="D148">
        <f t="shared" si="8"/>
        <v>0.11360235603054231</v>
      </c>
      <c r="E148">
        <f t="shared" si="9"/>
        <v>0.33619933593940737</v>
      </c>
    </row>
    <row r="149" spans="2:5">
      <c r="B149">
        <v>132</v>
      </c>
      <c r="C149">
        <f t="shared" si="10"/>
        <v>4.62</v>
      </c>
      <c r="D149">
        <f t="shared" si="8"/>
        <v>0.1074060751134838</v>
      </c>
      <c r="E149">
        <f t="shared" si="9"/>
        <v>0.32918396077076478</v>
      </c>
    </row>
    <row r="150" spans="2:5">
      <c r="B150">
        <v>133</v>
      </c>
      <c r="C150">
        <f t="shared" si="10"/>
        <v>4.6550000000000002</v>
      </c>
      <c r="D150">
        <f t="shared" si="8"/>
        <v>0.10142344178774104</v>
      </c>
      <c r="E150">
        <f t="shared" si="9"/>
        <v>0.32192037932053752</v>
      </c>
    </row>
    <row r="151" spans="2:5">
      <c r="B151">
        <v>134</v>
      </c>
      <c r="C151">
        <f t="shared" si="10"/>
        <v>4.6900000000000004</v>
      </c>
      <c r="D151">
        <f t="shared" si="8"/>
        <v>9.5656796163523933E-2</v>
      </c>
      <c r="E151">
        <f t="shared" si="9"/>
        <v>0.31443165702759723</v>
      </c>
    </row>
    <row r="152" spans="2:5">
      <c r="B152">
        <v>135</v>
      </c>
      <c r="C152">
        <f t="shared" si="10"/>
        <v>4.7249999999999996</v>
      </c>
      <c r="D152">
        <f t="shared" si="8"/>
        <v>9.0107576031298167E-2</v>
      </c>
      <c r="E152">
        <f t="shared" si="9"/>
        <v>0.30674115412824005</v>
      </c>
    </row>
    <row r="153" spans="2:5">
      <c r="B153">
        <v>136</v>
      </c>
      <c r="C153">
        <f t="shared" si="10"/>
        <v>4.76</v>
      </c>
      <c r="D153">
        <f t="shared" si="8"/>
        <v>8.4776361308022255E-2</v>
      </c>
      <c r="E153">
        <f t="shared" si="9"/>
        <v>0.29887240577595287</v>
      </c>
    </row>
    <row r="154" spans="2:5">
      <c r="B154">
        <v>137</v>
      </c>
      <c r="C154">
        <f t="shared" si="10"/>
        <v>4.7949999999999999</v>
      </c>
      <c r="D154">
        <f t="shared" si="8"/>
        <v>7.9662921028342992E-2</v>
      </c>
      <c r="E154">
        <f t="shared" si="9"/>
        <v>0.29084900396281432</v>
      </c>
    </row>
    <row r="155" spans="2:5">
      <c r="B155">
        <v>138</v>
      </c>
      <c r="C155">
        <f t="shared" si="10"/>
        <v>4.83</v>
      </c>
      <c r="D155">
        <f t="shared" si="8"/>
        <v>7.4766262398367603E-2</v>
      </c>
      <c r="E155">
        <f t="shared" si="9"/>
        <v>0.28269448205458025</v>
      </c>
    </row>
    <row r="156" spans="2:5">
      <c r="B156">
        <v>139</v>
      </c>
      <c r="C156">
        <f t="shared" si="10"/>
        <v>4.8650000000000002</v>
      </c>
      <c r="D156">
        <f t="shared" si="8"/>
        <v>7.0084681440741287E-2</v>
      </c>
      <c r="E156">
        <f t="shared" si="9"/>
        <v>0.2744322027090772</v>
      </c>
    </row>
    <row r="157" spans="2:5">
      <c r="B157">
        <v>140</v>
      </c>
      <c r="C157">
        <f t="shared" si="10"/>
        <v>4.9000000000000004</v>
      </c>
      <c r="D157">
        <f t="shared" si="8"/>
        <v>6.5615814774676554E-2</v>
      </c>
      <c r="E157">
        <f t="shared" si="9"/>
        <v>0.26608524989875476</v>
      </c>
    </row>
    <row r="158" spans="2:5">
      <c r="B158">
        <v>141</v>
      </c>
      <c r="C158">
        <f t="shared" si="10"/>
        <v>4.9349999999999996</v>
      </c>
      <c r="D158">
        <f t="shared" si="8"/>
        <v>6.1356692092932534E-2</v>
      </c>
      <c r="E158">
        <f t="shared" si="9"/>
        <v>0.25767632570382143</v>
      </c>
    </row>
    <row r="159" spans="2:5">
      <c r="B159">
        <v>142</v>
      </c>
      <c r="C159">
        <f t="shared" si="10"/>
        <v>4.97</v>
      </c>
      <c r="D159">
        <f t="shared" si="8"/>
        <v>5.7303788919117152E-2</v>
      </c>
      <c r="E159">
        <f t="shared" si="9"/>
        <v>0.249227652483066</v>
      </c>
    </row>
    <row r="160" spans="2:5">
      <c r="B160">
        <v>143</v>
      </c>
      <c r="C160">
        <f t="shared" si="10"/>
        <v>5.0049999999999999</v>
      </c>
      <c r="D160">
        <f t="shared" si="8"/>
        <v>5.3453079252672044E-2</v>
      </c>
      <c r="E160">
        <f t="shared" si="9"/>
        <v>0.24076088096602083</v>
      </c>
    </row>
    <row r="161" spans="2:5">
      <c r="B161">
        <v>144</v>
      </c>
      <c r="C161">
        <f t="shared" si="10"/>
        <v>5.04</v>
      </c>
      <c r="D161">
        <f t="shared" si="8"/>
        <v>4.9800087735070775E-2</v>
      </c>
      <c r="E161">
        <f t="shared" si="9"/>
        <v>0.2322970047433662</v>
      </c>
    </row>
    <row r="162" spans="2:5">
      <c r="B162">
        <v>145</v>
      </c>
      <c r="C162">
        <f t="shared" si="10"/>
        <v>5.0750000000000002</v>
      </c>
      <c r="D162">
        <f t="shared" si="8"/>
        <v>4.6339940998709216E-2</v>
      </c>
      <c r="E162">
        <f t="shared" si="9"/>
        <v>0.22385628156323945</v>
      </c>
    </row>
    <row r="163" spans="2:5">
      <c r="B163">
        <v>146</v>
      </c>
      <c r="C163">
        <f t="shared" si="10"/>
        <v>5.1100000000000003</v>
      </c>
      <c r="D163">
        <f t="shared" si="8"/>
        <v>4.3067417889265699E-2</v>
      </c>
      <c r="E163">
        <f t="shared" si="9"/>
        <v>0.21545816177021965</v>
      </c>
    </row>
    <row r="164" spans="2:5">
      <c r="B164">
        <v>147</v>
      </c>
      <c r="C164">
        <f t="shared" si="10"/>
        <v>5.1449999999999996</v>
      </c>
      <c r="D164">
        <f t="shared" si="8"/>
        <v>3.9976998282565179E-2</v>
      </c>
      <c r="E164">
        <f t="shared" si="9"/>
        <v>0.20712122415203352</v>
      </c>
    </row>
    <row r="165" spans="2:5">
      <c r="B165">
        <v>148</v>
      </c>
      <c r="C165">
        <f t="shared" si="10"/>
        <v>5.18</v>
      </c>
      <c r="D165">
        <f t="shared" si="8"/>
        <v>3.7062910247806502E-2</v>
      </c>
      <c r="E165">
        <f t="shared" si="9"/>
        <v>0.19886311938727594</v>
      </c>
    </row>
    <row r="166" spans="2:5">
      <c r="B166">
        <v>149</v>
      </c>
      <c r="C166">
        <f t="shared" si="10"/>
        <v>5.2149999999999999</v>
      </c>
      <c r="D166">
        <f t="shared" si="8"/>
        <v>3.4319175340040232E-2</v>
      </c>
      <c r="E166">
        <f t="shared" si="9"/>
        <v>0.19070052121643938</v>
      </c>
    </row>
    <row r="167" spans="2:5">
      <c r="B167">
        <v>150</v>
      </c>
      <c r="C167">
        <f t="shared" si="10"/>
        <v>5.25</v>
      </c>
      <c r="D167">
        <f t="shared" si="8"/>
        <v>3.1739651835667418E-2</v>
      </c>
      <c r="E167">
        <f t="shared" si="9"/>
        <v>0.18264908538902191</v>
      </c>
    </row>
    <row r="168" spans="2:5">
      <c r="B168">
        <v>151</v>
      </c>
      <c r="C168">
        <f t="shared" si="10"/>
        <v>5.2850000000000001</v>
      </c>
      <c r="D168">
        <f t="shared" si="8"/>
        <v>2.9318075755160253E-2</v>
      </c>
      <c r="E168">
        <f t="shared" si="9"/>
        <v>0.17472341637216027</v>
      </c>
    </row>
    <row r="169" spans="2:5">
      <c r="B169">
        <v>152</v>
      </c>
      <c r="C169">
        <f t="shared" si="10"/>
        <v>5.32</v>
      </c>
      <c r="D169">
        <f t="shared" si="8"/>
        <v>2.7048099546881761E-2</v>
      </c>
      <c r="E169">
        <f t="shared" si="9"/>
        <v>0.16693704174171375</v>
      </c>
    </row>
    <row r="170" spans="2:5">
      <c r="B170">
        <v>153</v>
      </c>
      <c r="C170">
        <f t="shared" si="10"/>
        <v>5.3550000000000004</v>
      </c>
      <c r="D170">
        <f t="shared" si="8"/>
        <v>2.4923328334554302E-2</v>
      </c>
      <c r="E170">
        <f t="shared" si="9"/>
        <v>0.15930239411562108</v>
      </c>
    </row>
    <row r="171" spans="2:5">
      <c r="B171">
        <v>154</v>
      </c>
      <c r="C171">
        <f t="shared" si="10"/>
        <v>5.39</v>
      </c>
      <c r="D171">
        <f t="shared" si="8"/>
        <v>2.2937353658360714E-2</v>
      </c>
      <c r="E171">
        <f t="shared" si="9"/>
        <v>0.15183080043216174</v>
      </c>
    </row>
    <row r="172" spans="2:5">
      <c r="B172">
        <v>155</v>
      </c>
      <c r="C172">
        <f t="shared" si="10"/>
        <v>5.4249999999999998</v>
      </c>
      <c r="D172">
        <f t="shared" si="8"/>
        <v>2.1083784665664119E-2</v>
      </c>
      <c r="E172">
        <f t="shared" si="9"/>
        <v>0.14453247832293289</v>
      </c>
    </row>
    <row r="173" spans="2:5">
      <c r="B173">
        <v>156</v>
      </c>
      <c r="C173">
        <f t="shared" si="10"/>
        <v>5.46</v>
      </c>
      <c r="D173">
        <f t="shared" si="8"/>
        <v>1.9356276731736961E-2</v>
      </c>
      <c r="E173">
        <f t="shared" si="9"/>
        <v>0.13741653928228179</v>
      </c>
    </row>
    <row r="174" spans="2:5">
      <c r="B174">
        <v>157</v>
      </c>
      <c r="C174">
        <f t="shared" si="10"/>
        <v>5.4950000000000001</v>
      </c>
      <c r="D174">
        <f t="shared" si="8"/>
        <v>1.7748557513561032E-2</v>
      </c>
      <c r="E174">
        <f t="shared" si="9"/>
        <v>0.13049099829189736</v>
      </c>
    </row>
    <row r="175" spans="2:5">
      <c r="B175">
        <v>158</v>
      </c>
      <c r="C175">
        <f t="shared" si="10"/>
        <v>5.53</v>
      </c>
      <c r="D175">
        <f t="shared" si="8"/>
        <v>1.6254450460600492E-2</v>
      </c>
      <c r="E175">
        <f t="shared" si="9"/>
        <v>0.12376278952152307</v>
      </c>
    </row>
    <row r="176" spans="2:5">
      <c r="B176">
        <v>159</v>
      </c>
      <c r="C176">
        <f t="shared" si="10"/>
        <v>5.5650000000000004</v>
      </c>
      <c r="D176">
        <f t="shared" si="8"/>
        <v>1.4867895825380621E-2</v>
      </c>
      <c r="E176">
        <f t="shared" si="9"/>
        <v>0.11723778769442594</v>
      </c>
    </row>
    <row r="177" spans="2:5">
      <c r="B177">
        <v>160</v>
      </c>
      <c r="C177">
        <f t="shared" si="10"/>
        <v>5.6</v>
      </c>
      <c r="D177">
        <f t="shared" si="8"/>
        <v>1.3582969233685634E-2</v>
      </c>
      <c r="E177">
        <f t="shared" si="9"/>
        <v>0.11092083467945563</v>
      </c>
    </row>
    <row r="178" spans="2:5">
      <c r="B178">
        <v>161</v>
      </c>
      <c r="C178">
        <f t="shared" si="10"/>
        <v>5.6349999999999998</v>
      </c>
      <c r="D178">
        <f t="shared" si="8"/>
        <v>1.2393897889198818E-2</v>
      </c>
      <c r="E178">
        <f t="shared" si="9"/>
        <v>0.10481577085024762</v>
      </c>
    </row>
    <row r="179" spans="2:5">
      <c r="B179">
        <v>162</v>
      </c>
      <c r="C179">
        <f t="shared" si="10"/>
        <v>5.67</v>
      </c>
      <c r="D179">
        <f t="shared" si="8"/>
        <v>1.1295074500456135E-2</v>
      </c>
      <c r="E179">
        <f t="shared" si="9"/>
        <v>9.8925470736323712E-2</v>
      </c>
    </row>
    <row r="180" spans="2:5">
      <c r="B180">
        <v>163</v>
      </c>
      <c r="C180">
        <f t="shared" si="10"/>
        <v>5.7050000000000001</v>
      </c>
      <c r="D180">
        <f t="shared" si="8"/>
        <v>1.0281069029095511E-2</v>
      </c>
      <c r="E180">
        <f t="shared" si="9"/>
        <v>9.3251882480393525E-2</v>
      </c>
    </row>
    <row r="181" spans="2:5">
      <c r="B181">
        <v>164</v>
      </c>
      <c r="C181">
        <f t="shared" si="10"/>
        <v>5.74</v>
      </c>
      <c r="D181">
        <f t="shared" si="8"/>
        <v>9.3466383676122835E-3</v>
      </c>
      <c r="E181">
        <f t="shared" si="9"/>
        <v>8.7796070610905594E-2</v>
      </c>
    </row>
    <row r="182" spans="2:5">
      <c r="B182">
        <v>165</v>
      </c>
      <c r="C182">
        <f t="shared" si="10"/>
        <v>5.7750000000000004</v>
      </c>
      <c r="D182">
        <f t="shared" si="8"/>
        <v>8.48673406223871E-3</v>
      </c>
      <c r="E182">
        <f t="shared" si="9"/>
        <v>8.2558261638591576E-2</v>
      </c>
    </row>
    <row r="183" spans="2:5">
      <c r="B183">
        <v>166</v>
      </c>
      <c r="C183">
        <f t="shared" si="10"/>
        <v>5.81</v>
      </c>
      <c r="D183">
        <f t="shared" si="8"/>
        <v>7.6965082022373314E-3</v>
      </c>
      <c r="E183">
        <f t="shared" si="9"/>
        <v>7.7537891990134028E-2</v>
      </c>
    </row>
    <row r="184" spans="2:5">
      <c r="B184">
        <v>167</v>
      </c>
      <c r="C184">
        <f t="shared" si="10"/>
        <v>5.8449999999999998</v>
      </c>
      <c r="D184">
        <f t="shared" si="8"/>
        <v>6.9713176009282797E-3</v>
      </c>
      <c r="E184">
        <f t="shared" si="9"/>
        <v>7.2733657800846743E-2</v>
      </c>
    </row>
    <row r="185" spans="2:5">
      <c r="B185">
        <v>168</v>
      </c>
      <c r="C185">
        <f t="shared" si="10"/>
        <v>5.88</v>
      </c>
      <c r="D185">
        <f t="shared" si="8"/>
        <v>6.3067263962659275E-3</v>
      </c>
      <c r="E185">
        <f t="shared" si="9"/>
        <v>6.8143566101044578E-2</v>
      </c>
    </row>
    <row r="186" spans="2:5">
      <c r="B186">
        <v>169</v>
      </c>
      <c r="C186">
        <f t="shared" si="10"/>
        <v>5.915</v>
      </c>
      <c r="D186">
        <f t="shared" si="8"/>
        <v>5.698507199853077E-3</v>
      </c>
      <c r="E186">
        <f t="shared" si="9"/>
        <v>6.3764986947216634E-2</v>
      </c>
    </row>
    <row r="187" spans="2:5">
      <c r="B187">
        <v>170</v>
      </c>
      <c r="C187">
        <f t="shared" si="10"/>
        <v>5.95</v>
      </c>
      <c r="D187">
        <f t="shared" si="8"/>
        <v>5.1426409230539392E-3</v>
      </c>
      <c r="E187">
        <f t="shared" si="9"/>
        <v>5.9594706068816054E-2</v>
      </c>
    </row>
    <row r="188" spans="2:5">
      <c r="B188">
        <v>171</v>
      </c>
      <c r="C188">
        <f t="shared" si="10"/>
        <v>5.9850000000000003</v>
      </c>
      <c r="D188">
        <f t="shared" si="8"/>
        <v>4.6353154074620598E-3</v>
      </c>
      <c r="E188">
        <f t="shared" si="9"/>
        <v>5.5628977624024072E-2</v>
      </c>
    </row>
    <row r="189" spans="2:5">
      <c r="B189">
        <v>172</v>
      </c>
      <c r="C189">
        <f t="shared" si="10"/>
        <v>6.02</v>
      </c>
      <c r="D189">
        <f t="shared" si="8"/>
        <v>4.1729229845239657E-3</v>
      </c>
      <c r="E189">
        <f t="shared" si="9"/>
        <v>5.1863576682820607E-2</v>
      </c>
    </row>
    <row r="190" spans="2:5">
      <c r="B190">
        <v>173</v>
      </c>
      <c r="C190">
        <f t="shared" si="10"/>
        <v>6.0549999999999997</v>
      </c>
      <c r="D190">
        <f t="shared" si="8"/>
        <v>3.7520570857391129E-3</v>
      </c>
      <c r="E190">
        <f t="shared" si="9"/>
        <v>4.829385108267735E-2</v>
      </c>
    </row>
    <row r="191" spans="2:5">
      <c r="B191">
        <v>174</v>
      </c>
      <c r="C191">
        <f t="shared" si="10"/>
        <v>6.09</v>
      </c>
      <c r="D191">
        <f t="shared" si="8"/>
        <v>3.3695080206774812E-3</v>
      </c>
      <c r="E191">
        <f t="shared" si="9"/>
        <v>4.49147723307671E-2</v>
      </c>
    </row>
    <row r="192" spans="2:5">
      <c r="B192">
        <v>175</v>
      </c>
      <c r="C192">
        <f t="shared" si="10"/>
        <v>6.125</v>
      </c>
      <c r="D192">
        <f t="shared" si="8"/>
        <v>3.0222580351987561E-3</v>
      </c>
      <c r="E192">
        <f t="shared" si="9"/>
        <v>4.1720985256338612E-2</v>
      </c>
    </row>
    <row r="193" spans="2:5">
      <c r="B193">
        <v>176</v>
      </c>
      <c r="C193">
        <f t="shared" si="10"/>
        <v>6.16</v>
      </c>
      <c r="D193">
        <f t="shared" si="8"/>
        <v>2.7074757568406999E-3</v>
      </c>
      <c r="E193">
        <f t="shared" si="9"/>
        <v>3.8706856147455608E-2</v>
      </c>
    </row>
    <row r="194" spans="2:5">
      <c r="B194">
        <v>177</v>
      </c>
      <c r="C194">
        <f t="shared" si="10"/>
        <v>6.1950000000000003</v>
      </c>
      <c r="D194">
        <f t="shared" si="8"/>
        <v>2.4225101284807852E-3</v>
      </c>
      <c r="E194">
        <f t="shared" si="9"/>
        <v>3.5866519137251716E-2</v>
      </c>
    </row>
    <row r="195" spans="2:5">
      <c r="B195">
        <v>178</v>
      </c>
      <c r="C195">
        <f t="shared" si="10"/>
        <v>6.23</v>
      </c>
      <c r="D195">
        <f t="shared" si="8"/>
        <v>2.1648839251710585E-3</v>
      </c>
      <c r="E195">
        <f t="shared" si="9"/>
        <v>3.3193920635861088E-2</v>
      </c>
    </row>
    <row r="196" spans="2:5">
      <c r="B196">
        <v>179</v>
      </c>
      <c r="C196">
        <f t="shared" si="10"/>
        <v>6.2649999999999997</v>
      </c>
      <c r="D196">
        <f t="shared" si="8"/>
        <v>1.9322869426015457E-3</v>
      </c>
      <c r="E196">
        <f t="shared" si="9"/>
        <v>3.0682861634910845E-2</v>
      </c>
    </row>
    <row r="197" spans="2:5">
      <c r="B197">
        <v>180</v>
      </c>
      <c r="C197">
        <f t="shared" si="10"/>
        <v>6.3</v>
      </c>
      <c r="D197">
        <f t="shared" si="8"/>
        <v>1.7225689390536812E-3</v>
      </c>
      <c r="E197">
        <f t="shared" si="9"/>
        <v>2.8327037741601186E-2</v>
      </c>
    </row>
    <row r="198" spans="2:5">
      <c r="B198">
        <v>181</v>
      </c>
      <c r="C198">
        <f t="shared" si="10"/>
        <v>6.335</v>
      </c>
      <c r="D198">
        <f t="shared" si="8"/>
        <v>1.5337324060474215E-3</v>
      </c>
      <c r="E198">
        <f t="shared" si="9"/>
        <v>2.612007682867739E-2</v>
      </c>
    </row>
    <row r="199" spans="2:5">
      <c r="B199">
        <v>182</v>
      </c>
      <c r="C199">
        <f t="shared" si="10"/>
        <v>6.37</v>
      </c>
      <c r="D199">
        <f t="shared" si="8"/>
        <v>1.3639252362389036E-3</v>
      </c>
      <c r="E199">
        <f t="shared" si="9"/>
        <v>2.4055574214762971E-2</v>
      </c>
    </row>
    <row r="200" spans="2:5">
      <c r="B200">
        <v>183</v>
      </c>
      <c r="C200">
        <f t="shared" si="10"/>
        <v>6.4050000000000002</v>
      </c>
      <c r="D200">
        <f t="shared" si="8"/>
        <v>1.2114333505588014E-3</v>
      </c>
      <c r="E200">
        <f t="shared" si="9"/>
        <v>2.2127125316368654E-2</v>
      </c>
    </row>
    <row r="201" spans="2:5">
      <c r="B201">
        <v>184</v>
      </c>
      <c r="C201">
        <f t="shared" si="10"/>
        <v>6.44</v>
      </c>
      <c r="D201">
        <f t="shared" si="8"/>
        <v>1.0746733401537337E-3</v>
      </c>
      <c r="E201">
        <f t="shared" si="9"/>
        <v>2.032835573822582E-2</v>
      </c>
    </row>
    <row r="202" spans="2:5">
      <c r="B202">
        <v>185</v>
      </c>
      <c r="C202">
        <f t="shared" si="10"/>
        <v>6.4749999999999996</v>
      </c>
      <c r="D202">
        <f t="shared" si="8"/>
        <v>9.5218517245627108E-4</v>
      </c>
      <c r="E202">
        <f t="shared" si="9"/>
        <v>1.8652948792269922E-2</v>
      </c>
    </row>
    <row r="203" spans="2:5">
      <c r="B203">
        <v>186</v>
      </c>
      <c r="C203">
        <f t="shared" si="10"/>
        <v>6.51</v>
      </c>
      <c r="D203">
        <f t="shared" si="8"/>
        <v>8.4262500470690268E-4</v>
      </c>
      <c r="E203">
        <f t="shared" si="9"/>
        <v>1.7094670457496956E-2</v>
      </c>
    </row>
    <row r="204" spans="2:5">
      <c r="B204">
        <v>187</v>
      </c>
      <c r="C204">
        <f t="shared" si="10"/>
        <v>6.5449999999999999</v>
      </c>
      <c r="D204">
        <f t="shared" si="8"/>
        <v>7.4475814252004664E-4</v>
      </c>
      <c r="E204">
        <f t="shared" si="9"/>
        <v>1.5647391812944764E-2</v>
      </c>
    </row>
    <row r="205" spans="2:5">
      <c r="B205">
        <v>188</v>
      </c>
      <c r="C205">
        <f t="shared" si="10"/>
        <v>6.58</v>
      </c>
      <c r="D205">
        <f t="shared" si="8"/>
        <v>6.5745217565467645E-4</v>
      </c>
      <c r="E205">
        <f t="shared" si="9"/>
        <v>1.430510899414969E-2</v>
      </c>
    </row>
    <row r="206" spans="2:5">
      <c r="B206">
        <v>189</v>
      </c>
      <c r="C206">
        <f t="shared" si="10"/>
        <v>6.6150000000000002</v>
      </c>
      <c r="D206">
        <f t="shared" si="8"/>
        <v>5.7967031804106344E-4</v>
      </c>
      <c r="E206">
        <f t="shared" si="9"/>
        <v>1.3061960739566395E-2</v>
      </c>
    </row>
    <row r="207" spans="2:5">
      <c r="B207">
        <v>190</v>
      </c>
      <c r="C207">
        <f t="shared" si="10"/>
        <v>6.65</v>
      </c>
      <c r="D207">
        <f t="shared" si="8"/>
        <v>5.1046497434418473E-4</v>
      </c>
      <c r="E207">
        <f t="shared" si="9"/>
        <v>1.1912243607605169E-2</v>
      </c>
    </row>
    <row r="208" spans="2:5">
      <c r="B208">
        <v>191</v>
      </c>
      <c r="C208">
        <f t="shared" si="10"/>
        <v>6.6849999999999996</v>
      </c>
      <c r="D208">
        <f t="shared" si="8"/>
        <v>4.4897155092210822E-4</v>
      </c>
      <c r="E208">
        <f t="shared" si="9"/>
        <v>1.0850424957154152E-2</v>
      </c>
    </row>
    <row r="209" spans="2:5">
      <c r="B209">
        <v>192</v>
      </c>
      <c r="C209">
        <f t="shared" si="10"/>
        <v>6.72</v>
      </c>
      <c r="D209">
        <f t="shared" si="8"/>
        <v>3.9440252496915693E-4</v>
      </c>
      <c r="E209">
        <f t="shared" si="9"/>
        <v>9.8711537947511439E-3</v>
      </c>
    </row>
    <row r="210" spans="2:5">
      <c r="B210">
        <v>193</v>
      </c>
      <c r="C210">
        <f t="shared" si="10"/>
        <v>6.7549999999999999</v>
      </c>
      <c r="D210">
        <f t="shared" ref="D210:D217" si="11">_xlfn.NORM.DIST(C210,$G$8,$H$8,FALSE)</f>
        <v>3.4604178191937615E-4</v>
      </c>
      <c r="E210">
        <f t="shared" ref="E210:E217" si="12">_xlfn.NORM.DIST(C210,$I$8,$J$8,FALSE)</f>
        <v>8.9692696000083817E-3</v>
      </c>
    </row>
    <row r="211" spans="2:5">
      <c r="B211">
        <v>194</v>
      </c>
      <c r="C211">
        <f t="shared" ref="C211:C217" si="13">$D$15+B211*$C$15/200</f>
        <v>6.79</v>
      </c>
      <c r="D211">
        <f t="shared" si="11"/>
        <v>3.0323922782200417E-4</v>
      </c>
      <c r="E211">
        <f t="shared" si="12"/>
        <v>8.1398092475460215E-3</v>
      </c>
    </row>
    <row r="212" spans="2:5">
      <c r="B212">
        <v>195</v>
      </c>
      <c r="C212">
        <f t="shared" si="13"/>
        <v>6.8250000000000002</v>
      </c>
      <c r="D212">
        <f t="shared" si="11"/>
        <v>2.6540568038022831E-4</v>
      </c>
      <c r="E212">
        <f t="shared" si="12"/>
        <v>7.37801214864679E-3</v>
      </c>
    </row>
    <row r="213" spans="2:5">
      <c r="B213">
        <v>196</v>
      </c>
      <c r="C213">
        <f t="shared" si="13"/>
        <v>6.86</v>
      </c>
      <c r="D213">
        <f t="shared" si="11"/>
        <v>2.3200803965694195E-4</v>
      </c>
      <c r="E213">
        <f t="shared" si="12"/>
        <v>6.6793237392026089E-3</v>
      </c>
    </row>
    <row r="214" spans="2:5">
      <c r="B214">
        <v>197</v>
      </c>
      <c r="C214">
        <f t="shared" si="13"/>
        <v>6.8949999999999996</v>
      </c>
      <c r="D214">
        <f t="shared" si="11"/>
        <v>2.0256473708380607E-4</v>
      </c>
      <c r="E214">
        <f t="shared" si="12"/>
        <v>6.0393974423956142E-3</v>
      </c>
    </row>
    <row r="215" spans="2:5">
      <c r="B215">
        <v>198</v>
      </c>
      <c r="C215">
        <f t="shared" si="13"/>
        <v>6.93</v>
      </c>
      <c r="D215">
        <f t="shared" si="11"/>
        <v>1.7664145934757122E-4</v>
      </c>
      <c r="E215">
        <f t="shared" si="12"/>
        <v>5.4540952350565549E-3</v>
      </c>
    </row>
    <row r="216" spans="2:5">
      <c r="B216">
        <v>199</v>
      </c>
      <c r="C216">
        <f t="shared" si="13"/>
        <v>6.9649999999999999</v>
      </c>
      <c r="D216">
        <f t="shared" si="11"/>
        <v>1.5384714195379722E-4</v>
      </c>
      <c r="E216">
        <f t="shared" si="12"/>
        <v>4.9194869458966993E-3</v>
      </c>
    </row>
    <row r="217" spans="2:5">
      <c r="B217">
        <v>200</v>
      </c>
      <c r="C217">
        <f t="shared" si="13"/>
        <v>7</v>
      </c>
      <c r="D217">
        <f t="shared" si="11"/>
        <v>1.3383022576488537E-4</v>
      </c>
      <c r="E217">
        <f t="shared" si="12"/>
        <v>4.4318484119380075E-3</v>
      </c>
    </row>
  </sheetData>
  <phoneticPr fontId="3"/>
  <dataValidations count="3">
    <dataValidation type="list" allowBlank="1" showInputMessage="1" showErrorMessage="1" sqref="E8" xr:uid="{B9812BFE-9D0F-4CC7-89E5-E0A74C24EC84}">
      <formula1>"二値変数,連続変数"</formula1>
    </dataValidation>
    <dataValidation type="list" allowBlank="1" showInputMessage="1" showErrorMessage="1" sqref="C8" xr:uid="{66FCE957-0983-41E6-91B1-BE5A09BBC5C8}">
      <formula1>"益,害,負担,費用"</formula1>
    </dataValidation>
    <dataValidation type="list" allowBlank="1" showInputMessage="1" showErrorMessage="1" sqref="D8" xr:uid="{18070169-B640-4B73-9C54-F924CAFDF1D2}">
      <formula1>"有益事象,有害事象"</formula1>
    </dataValidation>
  </dataValidations>
  <pageMargins left="0.7" right="0.7" top="0.75" bottom="0.75" header="0.3" footer="0.3"/>
  <ignoredErrors>
    <ignoredError sqref="D14:E14" formula="1"/>
  </ignoredErrors>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A453A-529E-4684-BE19-1A606214720B}">
  <dimension ref="A1:K53"/>
  <sheetViews>
    <sheetView zoomScaleNormal="100" workbookViewId="0">
      <selection activeCell="O11" sqref="O11"/>
    </sheetView>
  </sheetViews>
  <sheetFormatPr defaultRowHeight="18"/>
  <cols>
    <col min="1" max="1" width="6.69921875" customWidth="1"/>
    <col min="2" max="2" width="25.3984375" customWidth="1"/>
    <col min="3" max="3" width="8.8984375" customWidth="1"/>
    <col min="8" max="8" width="4.796875" customWidth="1"/>
    <col min="9" max="9" width="11.8984375" customWidth="1"/>
    <col min="10" max="10" width="7.796875" customWidth="1"/>
    <col min="11" max="11" width="8.69921875" customWidth="1"/>
    <col min="12" max="12" width="11.8984375" customWidth="1"/>
    <col min="13" max="14" width="10.796875" customWidth="1"/>
    <col min="15" max="15" width="17.296875" customWidth="1"/>
    <col min="16" max="16" width="27.5" customWidth="1"/>
    <col min="27" max="27" width="10.796875" customWidth="1"/>
    <col min="28" max="28" width="3.09765625" customWidth="1"/>
    <col min="39" max="39" width="4.8984375" customWidth="1"/>
    <col min="40" max="40" width="12.19921875" customWidth="1"/>
    <col min="43" max="43" width="10.19921875" customWidth="1"/>
    <col min="44" max="44" width="10.3984375" customWidth="1"/>
    <col min="45" max="45" width="9.69921875" customWidth="1"/>
    <col min="49" max="49" width="10.69921875" customWidth="1"/>
    <col min="50" max="50" width="10.3984375" customWidth="1"/>
    <col min="51" max="51" width="11.59765625" customWidth="1"/>
  </cols>
  <sheetData>
    <row r="1" spans="1:2">
      <c r="A1" s="63"/>
      <c r="B1" s="1" t="s">
        <v>54</v>
      </c>
    </row>
    <row r="2" spans="1:2">
      <c r="A2" t="s">
        <v>47</v>
      </c>
      <c r="B2" t="s">
        <v>40</v>
      </c>
    </row>
    <row r="3" spans="1:2">
      <c r="B3" t="s">
        <v>41</v>
      </c>
    </row>
    <row r="4" spans="1:2">
      <c r="B4" t="s">
        <v>42</v>
      </c>
    </row>
    <row r="5" spans="1:2">
      <c r="B5" t="s">
        <v>43</v>
      </c>
    </row>
    <row r="6" spans="1:2">
      <c r="B6" t="s">
        <v>44</v>
      </c>
    </row>
    <row r="7" spans="1:2">
      <c r="B7" t="s">
        <v>45</v>
      </c>
    </row>
    <row r="8" spans="1:2">
      <c r="B8" t="s">
        <v>46</v>
      </c>
    </row>
    <row r="9" spans="1:2">
      <c r="B9" s="2" t="s">
        <v>158</v>
      </c>
    </row>
    <row r="10" spans="1:2">
      <c r="B10" s="2" t="s">
        <v>159</v>
      </c>
    </row>
    <row r="12" spans="1:2">
      <c r="A12" s="63"/>
      <c r="B12" s="1" t="s">
        <v>124</v>
      </c>
    </row>
    <row r="13" spans="1:2">
      <c r="B13" s="62" t="s">
        <v>125</v>
      </c>
    </row>
    <row r="14" spans="1:2">
      <c r="B14" t="s">
        <v>126</v>
      </c>
    </row>
    <row r="35" spans="1:11">
      <c r="A35" t="s">
        <v>47</v>
      </c>
      <c r="B35" t="s">
        <v>140</v>
      </c>
      <c r="K35" s="2" t="s">
        <v>141</v>
      </c>
    </row>
    <row r="36" spans="1:11">
      <c r="B36" t="s">
        <v>48</v>
      </c>
      <c r="C36" t="s">
        <v>49</v>
      </c>
      <c r="D36" s="38" t="s">
        <v>50</v>
      </c>
    </row>
    <row r="38" spans="1:11">
      <c r="A38" s="63"/>
      <c r="B38" s="1" t="s">
        <v>55</v>
      </c>
    </row>
    <row r="48" spans="1:11">
      <c r="A48" t="s">
        <v>47</v>
      </c>
      <c r="B48" t="s">
        <v>51</v>
      </c>
    </row>
    <row r="49" spans="1:2">
      <c r="B49" t="s">
        <v>52</v>
      </c>
    </row>
    <row r="50" spans="1:2">
      <c r="B50" t="s">
        <v>53</v>
      </c>
    </row>
    <row r="52" spans="1:2">
      <c r="A52" s="63"/>
      <c r="B52" s="1" t="s">
        <v>156</v>
      </c>
    </row>
    <row r="53" spans="1:2">
      <c r="B53" s="78" t="s">
        <v>157</v>
      </c>
    </row>
  </sheetData>
  <phoneticPr fontId="3"/>
  <hyperlinks>
    <hyperlink ref="D36" r:id="rId1" display="https://en.wikipedia.org/wiki/Variance" xr:uid="{99A455A4-F3A3-4A24-802D-4838C1502629}"/>
    <hyperlink ref="K35" r:id="rId2" xr:uid="{4E4E0CE9-3BE5-4F52-AF4D-D471E12A7519}"/>
    <hyperlink ref="B9" r:id="rId3" xr:uid="{75BC63FC-A3F0-42F2-8518-AAC9C515C459}"/>
    <hyperlink ref="B10" r:id="rId4" xr:uid="{79F20580-46E0-4A44-BE96-C27971E57770}"/>
  </hyperlinks>
  <pageMargins left="0.7" right="0.7" top="0.75" bottom="0.75" header="0.3" footer="0.3"/>
  <pageSetup paperSize="9"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RD_信頼区間_相関係数から_比</vt:lpstr>
      <vt:lpstr>RD_信頼区間_相関係数から_標準化</vt:lpstr>
      <vt:lpstr>RD-MD_信頼区間_相関係数から_SW</vt:lpstr>
      <vt:lpstr>連続変数-二値変数変換</vt:lpstr>
      <vt:lpstr>文献－計算式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Toshio Morizane</dc:creator>
  <cp:lastModifiedBy>典子 小島原</cp:lastModifiedBy>
  <dcterms:created xsi:type="dcterms:W3CDTF">2024-12-09T02:11:44Z</dcterms:created>
  <dcterms:modified xsi:type="dcterms:W3CDTF">2024-12-18T00:55:59Z</dcterms:modified>
</cp:coreProperties>
</file>