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gio\Google Drive\Proyecto\07 - Costos\Gestión del Valor Ganado\"/>
    </mc:Choice>
  </mc:AlternateContent>
  <bookViews>
    <workbookView xWindow="240" yWindow="45" windowWidth="7440" windowHeight="4725" activeTab="2"/>
  </bookViews>
  <sheets>
    <sheet name="Caso Completo" sheetId="1" r:id="rId1"/>
    <sheet name="Gráfico" sheetId="2" r:id="rId2"/>
    <sheet name="Ejercicio 1" sheetId="3" r:id="rId3"/>
  </sheets>
  <calcPr calcId="162913"/>
</workbook>
</file>

<file path=xl/calcChain.xml><?xml version="1.0" encoding="utf-8"?>
<calcChain xmlns="http://schemas.openxmlformats.org/spreadsheetml/2006/main">
  <c r="E37" i="3" l="1"/>
  <c r="C56" i="1" l="1"/>
  <c r="C55" i="1"/>
  <c r="F25" i="1" l="1"/>
  <c r="E50" i="3" l="1"/>
  <c r="E39" i="3"/>
  <c r="E38" i="3"/>
  <c r="E30" i="3" l="1"/>
  <c r="E29" i="3"/>
  <c r="E51" i="3" l="1"/>
  <c r="E46" i="3"/>
  <c r="E41" i="3"/>
  <c r="E40" i="3"/>
  <c r="E44" i="3" s="1"/>
  <c r="E35" i="3"/>
  <c r="E49" i="3" s="1"/>
  <c r="E34" i="3"/>
  <c r="E36" i="3" s="1"/>
  <c r="E33" i="3"/>
  <c r="E31" i="3"/>
  <c r="E32" i="3"/>
  <c r="E42" i="3" s="1"/>
  <c r="E47" i="3" l="1"/>
  <c r="E45" i="3"/>
  <c r="E48" i="3"/>
  <c r="N26" i="1"/>
  <c r="N27" i="1"/>
  <c r="N28" i="1"/>
  <c r="N29" i="1"/>
  <c r="N25" i="1"/>
  <c r="J73" i="1"/>
  <c r="E56" i="1"/>
  <c r="F56" i="1" s="1"/>
  <c r="K26" i="1" l="1"/>
  <c r="K27" i="1"/>
  <c r="K28" i="1"/>
  <c r="K29" i="1"/>
  <c r="K25" i="1"/>
  <c r="J29" i="1"/>
  <c r="J28" i="1"/>
  <c r="J27" i="1"/>
  <c r="J26" i="1"/>
  <c r="L26" i="1" s="1"/>
  <c r="J25" i="1"/>
  <c r="F26" i="1"/>
  <c r="F27" i="1"/>
  <c r="H27" i="1" s="1"/>
  <c r="F28" i="1"/>
  <c r="H28" i="1" s="1"/>
  <c r="F29" i="1"/>
  <c r="H29" i="1" s="1"/>
  <c r="G26" i="1"/>
  <c r="I26" i="1" s="1"/>
  <c r="G27" i="1"/>
  <c r="I27" i="1" s="1"/>
  <c r="G28" i="1"/>
  <c r="I28" i="1" s="1"/>
  <c r="G29" i="1"/>
  <c r="I29" i="1" s="1"/>
  <c r="G25" i="1"/>
  <c r="I25" i="1" s="1"/>
  <c r="B25" i="1"/>
  <c r="B26" i="1" s="1"/>
  <c r="B27" i="1" s="1"/>
  <c r="B28" i="1" s="1"/>
  <c r="B29" i="1" s="1"/>
  <c r="E69" i="1" s="1"/>
  <c r="E5" i="1"/>
  <c r="I68" i="1" l="1"/>
  <c r="F65" i="1"/>
  <c r="C57" i="1"/>
  <c r="E55" i="1"/>
  <c r="F55" i="1" s="1"/>
  <c r="L25" i="1"/>
  <c r="L29" i="1"/>
  <c r="L28" i="1"/>
  <c r="L27" i="1"/>
  <c r="H25" i="1"/>
  <c r="H26" i="1"/>
  <c r="E57" i="1" l="1"/>
  <c r="F57" i="1" s="1"/>
  <c r="J74" i="1"/>
</calcChain>
</file>

<file path=xl/sharedStrings.xml><?xml version="1.0" encoding="utf-8"?>
<sst xmlns="http://schemas.openxmlformats.org/spreadsheetml/2006/main" count="200" uniqueCount="174">
  <si>
    <t>PV</t>
  </si>
  <si>
    <t>EV</t>
  </si>
  <si>
    <t>AC</t>
  </si>
  <si>
    <t>SPI</t>
  </si>
  <si>
    <t>CPI</t>
  </si>
  <si>
    <t>Proyecto:</t>
  </si>
  <si>
    <t>Fecha Inicio:</t>
  </si>
  <si>
    <t>Número de días:</t>
  </si>
  <si>
    <t>Fecha Fin:</t>
  </si>
  <si>
    <t>Horas Presupuestadas del Proyecto (BAC):</t>
  </si>
  <si>
    <t>Semana</t>
  </si>
  <si>
    <t>Fecha</t>
  </si>
  <si>
    <t>Indicadores</t>
  </si>
  <si>
    <t>Datos a introducir</t>
  </si>
  <si>
    <t>Variaciones</t>
  </si>
  <si>
    <t>CV</t>
  </si>
  <si>
    <t>SV</t>
  </si>
  <si>
    <t>ACME</t>
  </si>
  <si>
    <t>&gt;= 0 bueno</t>
  </si>
  <si>
    <t>&lt; 0 malo</t>
  </si>
  <si>
    <t>%Atraso/Adelanto</t>
  </si>
  <si>
    <t>SV%</t>
  </si>
  <si>
    <t>CV%</t>
  </si>
  <si>
    <t>SV/PV</t>
  </si>
  <si>
    <t>EV-PV</t>
  </si>
  <si>
    <t>EV-AC</t>
  </si>
  <si>
    <t>&lt;0 retrasado</t>
  </si>
  <si>
    <t>CV/EV</t>
  </si>
  <si>
    <t>&gt;0 adelantad</t>
  </si>
  <si>
    <t>&gt;0 arriba</t>
  </si>
  <si>
    <t>&lt;0debajo</t>
  </si>
  <si>
    <t>del presup.</t>
  </si>
  <si>
    <t>EV/PV</t>
  </si>
  <si>
    <t>EV/AC</t>
  </si>
  <si>
    <t>Acumulado SPI</t>
  </si>
  <si>
    <t>Acumulado CPI</t>
  </si>
  <si>
    <t>&gt;= 1 bueno</t>
  </si>
  <si>
    <t>&lt; 1 malo</t>
  </si>
  <si>
    <t>Indice Costo - Cronograma</t>
  </si>
  <si>
    <t>CPI * SPI</t>
  </si>
  <si>
    <t>cerca de 1 es bueno</t>
  </si>
  <si>
    <t>alejado de 1 es malo</t>
  </si>
  <si>
    <t xml:space="preserve"> y el otro es &lt;</t>
  </si>
  <si>
    <t>ideal cuando 1 Ind. es &gt; a 1</t>
  </si>
  <si>
    <t>x c/$ invert</t>
  </si>
  <si>
    <t>x c/$ planead</t>
  </si>
  <si>
    <t>Tendencias</t>
  </si>
  <si>
    <t>ETC1</t>
  </si>
  <si>
    <t>El proyecto se comportará como hasta la fecha medida</t>
  </si>
  <si>
    <t>ETC1 = (BAC - EV) / CPI</t>
  </si>
  <si>
    <t>ETC2</t>
  </si>
  <si>
    <t>No se esperan variaciones en el futuro</t>
  </si>
  <si>
    <t>ETC2 = BAC - EV</t>
  </si>
  <si>
    <t>ETC3</t>
  </si>
  <si>
    <t>El resto del proyectos se comportará según la combinación</t>
  </si>
  <si>
    <t>de CPI y SPI</t>
  </si>
  <si>
    <t>ETC3 = (BAC - EV) / (a%.CPI x b%.SPI)</t>
  </si>
  <si>
    <t>donde a y b son valores entre 0 y 1, ejemplo 0,5 y 0,5; 0,3 y 0,7, etc.</t>
  </si>
  <si>
    <t>ETC4</t>
  </si>
  <si>
    <t>ETC4 = nueva estimación</t>
  </si>
  <si>
    <t>EAC = AC + ETC</t>
  </si>
  <si>
    <t>Pronóstico 1</t>
  </si>
  <si>
    <t>Pronóstico 2</t>
  </si>
  <si>
    <t>Pronóstico 4</t>
  </si>
  <si>
    <t>AC + nueva estimación</t>
  </si>
  <si>
    <t>Una nueva estimación de lo que resta hacer</t>
  </si>
  <si>
    <t>EAC</t>
  </si>
  <si>
    <t>Pronóstico 3 (a=1 y b=1)</t>
  </si>
  <si>
    <r>
      <rPr>
        <b/>
        <sz val="11"/>
        <color theme="1"/>
        <rFont val="Calibri"/>
        <family val="2"/>
        <scheme val="minor"/>
      </rPr>
      <t>Cálculo de ETC</t>
    </r>
    <r>
      <rPr>
        <sz val="11"/>
        <color theme="1"/>
        <rFont val="Calibri"/>
        <family val="2"/>
        <scheme val="minor"/>
      </rPr>
      <t xml:space="preserve"> (Estimación hasta la conclusión)</t>
    </r>
  </si>
  <si>
    <r>
      <rPr>
        <b/>
        <sz val="11"/>
        <color theme="1"/>
        <rFont val="Calibri"/>
        <family val="2"/>
        <scheme val="minor"/>
      </rPr>
      <t>Cálculo de EAC</t>
    </r>
    <r>
      <rPr>
        <sz val="11"/>
        <color theme="1"/>
        <rFont val="Calibri"/>
        <family val="2"/>
        <scheme val="minor"/>
      </rPr>
      <t xml:space="preserve"> (Estimación a la conclusión)</t>
    </r>
  </si>
  <si>
    <t>VAC</t>
  </si>
  <si>
    <t>VAC = Variación a la conclusión = BAC - EAC</t>
  </si>
  <si>
    <t>VAC%</t>
  </si>
  <si>
    <t>VAC% = VAC/BAC</t>
  </si>
  <si>
    <t>&lt;0 adicionar $</t>
  </si>
  <si>
    <t>&gt;0 ganancia</t>
  </si>
  <si>
    <t>&lt;0 % excedido</t>
  </si>
  <si>
    <t>&gt;0 % ganancia</t>
  </si>
  <si>
    <t>Cálculo del Tiempo estimado para culminar (Δt TTC)</t>
  </si>
  <si>
    <t>EACT</t>
  </si>
  <si>
    <t>EACT =</t>
  </si>
  <si>
    <t>días</t>
  </si>
  <si>
    <t>EACT =  (BAC / SPI) / (BAC / Unidad Tiempo)</t>
  </si>
  <si>
    <t>Unidad Tiempo (meses, semanas o días)</t>
  </si>
  <si>
    <t>otra fórmula =</t>
  </si>
  <si>
    <t>tiempo utilizado + (tiempo planeado total - tiempo utilizado x SPI) / SPI</t>
  </si>
  <si>
    <t>donde tiempo utilizado =</t>
  </si>
  <si>
    <t>Índice de Desempeño del Trabajo por Completar (TCPI)</t>
  </si>
  <si>
    <t>TCPI =</t>
  </si>
  <si>
    <t>(BAC – EV) / (BAC – AC)</t>
  </si>
  <si>
    <r>
      <t>(BAC – EV) / (</t>
    </r>
    <r>
      <rPr>
        <b/>
        <u/>
        <sz val="11"/>
        <color theme="1"/>
        <rFont val="Calibri"/>
        <family val="2"/>
        <scheme val="minor"/>
      </rPr>
      <t>EAC</t>
    </r>
    <r>
      <rPr>
        <sz val="11"/>
        <color theme="1"/>
        <rFont val="Calibri"/>
        <family val="2"/>
        <scheme val="minor"/>
      </rPr>
      <t xml:space="preserve"> – AC)</t>
    </r>
  </si>
  <si>
    <t>si se mantiene el BAC</t>
  </si>
  <si>
    <t>si BAC deja de ser viable, toma la EAC pronosticada y aprobada</t>
  </si>
  <si>
    <t>me excedería un 48% al final del proyecto</t>
  </si>
  <si>
    <t>con el nuevo presup aprobado gastaría un 65%, tendría una reserva de 35%</t>
  </si>
  <si>
    <t>(Pronos 3)</t>
  </si>
  <si>
    <t>TCPI</t>
  </si>
  <si>
    <t>Ind. Desempeño Trabajo</t>
  </si>
  <si>
    <t>Ver abajo</t>
  </si>
  <si>
    <t>&gt;1 es el % que me excedo</t>
  </si>
  <si>
    <t>&lt;1 es el % gastado</t>
  </si>
  <si>
    <t>Acumulado TCPI</t>
  </si>
  <si>
    <t>(son proyecciones)</t>
  </si>
  <si>
    <t>Cada lado tardará un día en construirse y el presupuesto es de $1.000 por lado.</t>
  </si>
  <si>
    <t xml:space="preserve"> La planificación contempla que cada lado se complete uno después del otro. Hoy es el final del día 3.</t>
  </si>
  <si>
    <t xml:space="preserve">Tienes un proyecto para construir un nuevo cerco. El cerco, tal como se muestra a la izquierda, tiene cuatro lados. </t>
  </si>
  <si>
    <t>Diagrama de Estado</t>
  </si>
  <si>
    <r>
      <rPr>
        <b/>
        <sz val="14"/>
        <color theme="1"/>
        <rFont val="Calibri"/>
        <family val="2"/>
        <scheme val="minor"/>
      </rPr>
      <t>Donde</t>
    </r>
    <r>
      <rPr>
        <sz val="14"/>
        <color theme="1"/>
        <rFont val="Calibri"/>
        <family val="2"/>
        <scheme val="minor"/>
      </rPr>
      <t>: PS y PF son Comienzo Planificado y Final Planificado. S y F: Inicio y Fin Real</t>
    </r>
  </si>
  <si>
    <t>Qué es?</t>
  </si>
  <si>
    <t>Cálculo</t>
  </si>
  <si>
    <t xml:space="preserve">EV </t>
  </si>
  <si>
    <t>BAC</t>
  </si>
  <si>
    <t>Valor</t>
  </si>
  <si>
    <t>1000 x 3</t>
  </si>
  <si>
    <t>1000 x 4</t>
  </si>
  <si>
    <t>EV -PV</t>
  </si>
  <si>
    <t>EV / PV</t>
  </si>
  <si>
    <t>SV / PV</t>
  </si>
  <si>
    <t xml:space="preserve"> (BAC - EV) / CPI</t>
  </si>
  <si>
    <t>BAC - EV</t>
  </si>
  <si>
    <t>(BAC - EV) / (a%.CPI x b%.SPI)</t>
  </si>
  <si>
    <t>AC + ETC (elegido)</t>
  </si>
  <si>
    <t>1000 + 1000 + 50% del 3° lado</t>
  </si>
  <si>
    <t>1000 + 1200 + 600</t>
  </si>
  <si>
    <t>BAC - EAC</t>
  </si>
  <si>
    <t>para un EAC aprobado</t>
  </si>
  <si>
    <t xml:space="preserve"> (BAC / SPI) / (BAC / Unidad Tiempo)</t>
  </si>
  <si>
    <t>tu + (t.plan total - tu x SPI) / SPI</t>
  </si>
  <si>
    <t>otra fórmula</t>
  </si>
  <si>
    <r>
      <t>(BAC – EV) / (</t>
    </r>
    <r>
      <rPr>
        <b/>
        <sz val="14"/>
        <color theme="0"/>
        <rFont val="Calibri"/>
        <family val="2"/>
        <scheme val="minor"/>
      </rPr>
      <t>EAC</t>
    </r>
    <r>
      <rPr>
        <sz val="14"/>
        <color theme="0"/>
        <rFont val="Calibri"/>
        <family val="2"/>
        <scheme val="minor"/>
      </rPr>
      <t xml:space="preserve"> – AC)</t>
    </r>
  </si>
  <si>
    <t>(BAC − EV) ⁄ (BAC − PV)</t>
  </si>
  <si>
    <t>TSPI</t>
  </si>
  <si>
    <t>Valor Planeado</t>
  </si>
  <si>
    <t>Valor Ganado</t>
  </si>
  <si>
    <t>Valor Actual</t>
  </si>
  <si>
    <t>Presupuesto Estimado</t>
  </si>
  <si>
    <t>Varianza de Costo</t>
  </si>
  <si>
    <t>Indice de Performance del Costo</t>
  </si>
  <si>
    <t>%CV</t>
  </si>
  <si>
    <t>Varianza del Cronograma</t>
  </si>
  <si>
    <t>Indice de Performance del Cronograma</t>
  </si>
  <si>
    <t>%SV</t>
  </si>
  <si>
    <t>El resto del trabajo se comportará como hasta ahora</t>
  </si>
  <si>
    <t>El resto del trabajo no sufrirá cambios</t>
  </si>
  <si>
    <t>El resto del trabajo dependerá del CPI y SPI</t>
  </si>
  <si>
    <t>Diferencia en dinero entre los Presupuestos</t>
  </si>
  <si>
    <t>Indicador para Completar el Desempeño del Costo</t>
  </si>
  <si>
    <t>Cálculo del tiempo total del Proyecto</t>
  </si>
  <si>
    <t>Indicador para Completar el Desempeño del Cronograma</t>
  </si>
  <si>
    <t>%Avan Plan</t>
  </si>
  <si>
    <t>%Avan Real</t>
  </si>
  <si>
    <t>% Avance Planificado</t>
  </si>
  <si>
    <t>% Avance Real</t>
  </si>
  <si>
    <t>PV / BAC</t>
  </si>
  <si>
    <t>EV / BAC</t>
  </si>
  <si>
    <t>ES</t>
  </si>
  <si>
    <t>2 DÍAS Y MEDIO</t>
  </si>
  <si>
    <t>EV - AC</t>
  </si>
  <si>
    <t>EV / AC</t>
  </si>
  <si>
    <t>SV($)</t>
  </si>
  <si>
    <t>SPI($)</t>
  </si>
  <si>
    <t>SV($)%</t>
  </si>
  <si>
    <t>SPI(t)</t>
  </si>
  <si>
    <t>SV(t)</t>
  </si>
  <si>
    <t>SV(t)%</t>
  </si>
  <si>
    <t>ES - AT</t>
  </si>
  <si>
    <t>ES / AT</t>
  </si>
  <si>
    <t>SV(t) / AT</t>
  </si>
  <si>
    <t>EACT(t)</t>
  </si>
  <si>
    <t>PD / SPI(t)</t>
  </si>
  <si>
    <t>Una nueva estimación</t>
  </si>
  <si>
    <t>Valor puesto a mano</t>
  </si>
  <si>
    <t>Fórmulas viejas, no usarlas</t>
  </si>
  <si>
    <t>Se eligió el ETC1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</si>
</sst>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#,##0.00\ &quot;$&quot;"/>
    <numFmt numFmtId="166" formatCode="&quot;$&quot;\ #,##0.00"/>
    <numFmt numFmtId="167" formatCode="#,##0.0000"/>
    <numFmt numFmtId="168" formatCode="#,##0.000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" fontId="0" fillId="0" borderId="0" xfId="0" applyNumberFormat="1"/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166" fontId="0" fillId="0" borderId="9" xfId="0" applyNumberFormat="1" applyBorder="1"/>
    <xf numFmtId="4" fontId="0" fillId="0" borderId="9" xfId="0" applyNumberFormat="1" applyBorder="1"/>
    <xf numFmtId="0" fontId="0" fillId="0" borderId="9" xfId="0" applyBorder="1"/>
    <xf numFmtId="0" fontId="5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167" fontId="0" fillId="0" borderId="9" xfId="0" applyNumberFormat="1" applyBorder="1"/>
    <xf numFmtId="0" fontId="0" fillId="0" borderId="0" xfId="0" applyFont="1" applyBorder="1" applyAlignment="1">
      <alignment horizontal="center"/>
    </xf>
    <xf numFmtId="0" fontId="5" fillId="0" borderId="9" xfId="0" applyFont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49" fontId="9" fillId="0" borderId="0" xfId="0" applyNumberFormat="1" applyFont="1" applyAlignment="1"/>
    <xf numFmtId="0" fontId="9" fillId="0" borderId="0" xfId="0" applyFont="1"/>
    <xf numFmtId="0" fontId="10" fillId="0" borderId="9" xfId="0" applyFont="1" applyBorder="1" applyAlignment="1">
      <alignment horizontal="center"/>
    </xf>
    <xf numFmtId="0" fontId="9" fillId="0" borderId="9" xfId="0" applyFont="1" applyBorder="1"/>
    <xf numFmtId="0" fontId="11" fillId="0" borderId="0" xfId="0" applyFont="1"/>
    <xf numFmtId="168" fontId="11" fillId="0" borderId="9" xfId="0" applyNumberFormat="1" applyFont="1" applyBorder="1"/>
    <xf numFmtId="0" fontId="13" fillId="0" borderId="9" xfId="0" applyFont="1" applyBorder="1"/>
    <xf numFmtId="0" fontId="11" fillId="0" borderId="9" xfId="0" applyFont="1" applyBorder="1"/>
    <xf numFmtId="0" fontId="11" fillId="0" borderId="10" xfId="0" applyFont="1" applyBorder="1" applyAlignment="1">
      <alignment horizontal="left"/>
    </xf>
    <xf numFmtId="0" fontId="9" fillId="3" borderId="9" xfId="0" applyFont="1" applyFill="1" applyBorder="1"/>
    <xf numFmtId="168" fontId="11" fillId="3" borderId="9" xfId="0" applyNumberFormat="1" applyFont="1" applyFill="1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3" fillId="0" borderId="0" xfId="0" applyFont="1"/>
    <xf numFmtId="0" fontId="15" fillId="0" borderId="12" xfId="0" applyFont="1" applyBorder="1"/>
    <xf numFmtId="4" fontId="11" fillId="0" borderId="9" xfId="0" applyNumberFormat="1" applyFont="1" applyBorder="1"/>
    <xf numFmtId="0" fontId="14" fillId="0" borderId="12" xfId="0" applyFont="1" applyBorder="1"/>
    <xf numFmtId="49" fontId="2" fillId="3" borderId="7" xfId="0" applyNumberFormat="1" applyFont="1" applyFill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164" fontId="1" fillId="5" borderId="10" xfId="0" applyNumberFormat="1" applyFont="1" applyFill="1" applyBorder="1" applyAlignment="1">
      <alignment horizontal="center"/>
    </xf>
    <xf numFmtId="164" fontId="1" fillId="5" borderId="12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66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5" fillId="0" borderId="9" xfId="0" applyFont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2" fontId="1" fillId="3" borderId="10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Completo'!$C$24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cat>
            <c:numRef>
              <c:f>'Caso Completo'!$B$25:$B$29</c:f>
              <c:numCache>
                <c:formatCode>m/d/yyyy</c:formatCode>
                <c:ptCount val="5"/>
                <c:pt idx="0">
                  <c:v>43281</c:v>
                </c:pt>
                <c:pt idx="1">
                  <c:v>43288</c:v>
                </c:pt>
                <c:pt idx="2">
                  <c:v>43295</c:v>
                </c:pt>
                <c:pt idx="3">
                  <c:v>43302</c:v>
                </c:pt>
                <c:pt idx="4">
                  <c:v>43309</c:v>
                </c:pt>
              </c:numCache>
            </c:numRef>
          </c:cat>
          <c:val>
            <c:numRef>
              <c:f>'Caso Completo'!$C$25:$C$29</c:f>
              <c:numCache>
                <c:formatCode>#,##0.00</c:formatCode>
                <c:ptCount val="5"/>
                <c:pt idx="0">
                  <c:v>4000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F-42B7-80C0-6EF38E3B6C2E}"/>
            </c:ext>
          </c:extLst>
        </c:ser>
        <c:ser>
          <c:idx val="1"/>
          <c:order val="1"/>
          <c:tx>
            <c:strRef>
              <c:f>'Caso Completo'!$D$24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'Caso Completo'!$B$25:$B$29</c:f>
              <c:numCache>
                <c:formatCode>m/d/yyyy</c:formatCode>
                <c:ptCount val="5"/>
                <c:pt idx="0">
                  <c:v>43281</c:v>
                </c:pt>
                <c:pt idx="1">
                  <c:v>43288</c:v>
                </c:pt>
                <c:pt idx="2">
                  <c:v>43295</c:v>
                </c:pt>
                <c:pt idx="3">
                  <c:v>43302</c:v>
                </c:pt>
                <c:pt idx="4">
                  <c:v>43309</c:v>
                </c:pt>
              </c:numCache>
            </c:numRef>
          </c:cat>
          <c:val>
            <c:numRef>
              <c:f>'Caso Completo'!$D$25:$D$29</c:f>
              <c:numCache>
                <c:formatCode>#,##0.00</c:formatCode>
                <c:ptCount val="5"/>
                <c:pt idx="0">
                  <c:v>5000</c:v>
                </c:pt>
                <c:pt idx="1">
                  <c:v>7000</c:v>
                </c:pt>
                <c:pt idx="2">
                  <c:v>11000</c:v>
                </c:pt>
                <c:pt idx="3">
                  <c:v>18000</c:v>
                </c:pt>
                <c:pt idx="4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F-42B7-80C0-6EF38E3B6C2E}"/>
            </c:ext>
          </c:extLst>
        </c:ser>
        <c:ser>
          <c:idx val="2"/>
          <c:order val="2"/>
          <c:tx>
            <c:strRef>
              <c:f>'Caso Completo'!$E$24</c:f>
              <c:strCache>
                <c:ptCount val="1"/>
                <c:pt idx="0">
                  <c:v>AC</c:v>
                </c:pt>
              </c:strCache>
            </c:strRef>
          </c:tx>
          <c:marker>
            <c:symbol val="none"/>
          </c:marker>
          <c:cat>
            <c:numRef>
              <c:f>'Caso Completo'!$B$25:$B$29</c:f>
              <c:numCache>
                <c:formatCode>m/d/yyyy</c:formatCode>
                <c:ptCount val="5"/>
                <c:pt idx="0">
                  <c:v>43281</c:v>
                </c:pt>
                <c:pt idx="1">
                  <c:v>43288</c:v>
                </c:pt>
                <c:pt idx="2">
                  <c:v>43295</c:v>
                </c:pt>
                <c:pt idx="3">
                  <c:v>43302</c:v>
                </c:pt>
                <c:pt idx="4">
                  <c:v>43309</c:v>
                </c:pt>
              </c:numCache>
            </c:numRef>
          </c:cat>
          <c:val>
            <c:numRef>
              <c:f>'Caso Completo'!$E$25:$E$29</c:f>
              <c:numCache>
                <c:formatCode>#,##0.00</c:formatCode>
                <c:ptCount val="5"/>
                <c:pt idx="0">
                  <c:v>4500</c:v>
                </c:pt>
                <c:pt idx="1">
                  <c:v>6000</c:v>
                </c:pt>
                <c:pt idx="2">
                  <c:v>16000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F-42B7-80C0-6EF38E3B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4176"/>
        <c:axId val="43396096"/>
      </c:lineChart>
      <c:dateAx>
        <c:axId val="4339417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43396096"/>
        <c:crosses val="autoZero"/>
        <c:auto val="1"/>
        <c:lblOffset val="100"/>
        <c:baseTimeUnit val="days"/>
      </c:dateAx>
      <c:valAx>
        <c:axId val="433960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33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'Caso Completo'!$J$24</c:f>
              <c:strCache>
                <c:ptCount val="1"/>
                <c:pt idx="0">
                  <c:v>SPI</c:v>
                </c:pt>
              </c:strCache>
            </c:strRef>
          </c:tx>
          <c:spPr>
            <a:ln w="28575">
              <a:noFill/>
            </a:ln>
          </c:spPr>
          <c:yVal>
            <c:numRef>
              <c:f>'Caso Completo'!$J$25:$J$29</c:f>
              <c:numCache>
                <c:formatCode>0.00</c:formatCode>
                <c:ptCount val="5"/>
                <c:pt idx="0">
                  <c:v>1.25</c:v>
                </c:pt>
                <c:pt idx="1">
                  <c:v>1.1666666666666667</c:v>
                </c:pt>
                <c:pt idx="2">
                  <c:v>1.1000000000000001</c:v>
                </c:pt>
                <c:pt idx="3">
                  <c:v>0.9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9-4968-8E4E-8552B5D2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4784"/>
        <c:axId val="43525248"/>
      </c:scatterChart>
      <c:valAx>
        <c:axId val="434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525248"/>
        <c:crosses val="autoZero"/>
        <c:crossBetween val="midCat"/>
      </c:valAx>
      <c:valAx>
        <c:axId val="43525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49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Completo'!$K$24</c:f>
              <c:strCache>
                <c:ptCount val="1"/>
                <c:pt idx="0">
                  <c:v>CPI</c:v>
                </c:pt>
              </c:strCache>
            </c:strRef>
          </c:tx>
          <c:spPr>
            <a:ln w="28575">
              <a:noFill/>
            </a:ln>
          </c:spPr>
          <c:xVal>
            <c:numRef>
              <c:f>'Caso Completo'!$A$25:$A$29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'Caso Completo'!$K$25:$K$29</c:f>
              <c:numCache>
                <c:formatCode>0.00</c:formatCode>
                <c:ptCount val="5"/>
                <c:pt idx="0">
                  <c:v>1.1111111111111112</c:v>
                </c:pt>
                <c:pt idx="1">
                  <c:v>1.1666666666666667</c:v>
                </c:pt>
                <c:pt idx="2">
                  <c:v>0.6875</c:v>
                </c:pt>
                <c:pt idx="3">
                  <c:v>0.72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6-4B26-9616-AFB17659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4784"/>
        <c:axId val="59240448"/>
      </c:scatterChart>
      <c:valAx>
        <c:axId val="56934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9240448"/>
        <c:crosses val="autoZero"/>
        <c:crossBetween val="midCat"/>
      </c:valAx>
      <c:valAx>
        <c:axId val="59240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93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Completo'!$N$24</c:f>
              <c:strCache>
                <c:ptCount val="1"/>
                <c:pt idx="0">
                  <c:v>TCPI</c:v>
                </c:pt>
              </c:strCache>
            </c:strRef>
          </c:tx>
          <c:spPr>
            <a:ln w="28575">
              <a:noFill/>
            </a:ln>
          </c:spPr>
          <c:xVal>
            <c:numRef>
              <c:f>'Caso Completo'!$A$25:$A$29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'Caso Completo'!$N$25:$N$29</c:f>
              <c:numCache>
                <c:formatCode>0.00</c:formatCode>
                <c:ptCount val="5"/>
                <c:pt idx="0">
                  <c:v>0.99331103678929766</c:v>
                </c:pt>
                <c:pt idx="1">
                  <c:v>0.98634812286689422</c:v>
                </c:pt>
                <c:pt idx="2">
                  <c:v>1.0790513833992095</c:v>
                </c:pt>
                <c:pt idx="3">
                  <c:v>1.1290322580645162</c:v>
                </c:pt>
                <c:pt idx="4">
                  <c:v>1.4786324786324787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7-4E9A-8AE9-7ABB9AEAFBEF}"/>
            </c:ext>
          </c:extLst>
        </c:ser>
        <c:ser>
          <c:idx val="1"/>
          <c:order val="1"/>
          <c:tx>
            <c:strRef>
              <c:f>'Caso Completo'!$O$24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'Caso Completo'!$A$25:$A$29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'Caso Completo'!$O$25:$O$29</c:f>
              <c:numCache>
                <c:formatCode>0.00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7-4E9A-8AE9-7ABB9AEAF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2000"/>
        <c:axId val="59453824"/>
      </c:scatterChart>
      <c:valAx>
        <c:axId val="59312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9453824"/>
        <c:crosses val="autoZero"/>
        <c:crossBetween val="midCat"/>
      </c:valAx>
      <c:valAx>
        <c:axId val="59453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31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161925</xdr:rowOff>
    </xdr:from>
    <xdr:to>
      <xdr:col>13</xdr:col>
      <xdr:colOff>228600</xdr:colOff>
      <xdr:row>18</xdr:row>
      <xdr:rowOff>180974</xdr:rowOff>
    </xdr:to>
    <xdr:graphicFrame macro="">
      <xdr:nvGraphicFramePr>
        <xdr:cNvPr id="102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23812</xdr:rowOff>
    </xdr:from>
    <xdr:to>
      <xdr:col>5</xdr:col>
      <xdr:colOff>485776</xdr:colOff>
      <xdr:row>42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34</xdr:row>
      <xdr:rowOff>47625</xdr:rowOff>
    </xdr:from>
    <xdr:to>
      <xdr:col>11</xdr:col>
      <xdr:colOff>581025</xdr:colOff>
      <xdr:row>42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161924</xdr:colOff>
      <xdr:row>7</xdr:row>
      <xdr:rowOff>0</xdr:rowOff>
    </xdr:from>
    <xdr:to>
      <xdr:col>4</xdr:col>
      <xdr:colOff>723899</xdr:colOff>
      <xdr:row>20</xdr:row>
      <xdr:rowOff>127807</xdr:rowOff>
    </xdr:to>
    <xdr:pic>
      <xdr:nvPicPr>
        <xdr:cNvPr id="6" name="Picture 2" descr="http://www.liderdeproyecto.com/evm/imagenes/variables_analisis_evm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1924" y="1285875"/>
          <a:ext cx="3724275" cy="2480482"/>
        </a:xfrm>
        <a:prstGeom prst="rect">
          <a:avLst/>
        </a:prstGeom>
        <a:noFill/>
      </xdr:spPr>
    </xdr:pic>
    <xdr:clientData/>
  </xdr:twoCellAnchor>
  <xdr:twoCellAnchor>
    <xdr:from>
      <xdr:col>12</xdr:col>
      <xdr:colOff>95250</xdr:colOff>
      <xdr:row>34</xdr:row>
      <xdr:rowOff>38099</xdr:rowOff>
    </xdr:from>
    <xdr:to>
      <xdr:col>17</xdr:col>
      <xdr:colOff>581025</xdr:colOff>
      <xdr:row>42</xdr:row>
      <xdr:rowOff>9524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600075</xdr:colOff>
      <xdr:row>50</xdr:row>
      <xdr:rowOff>38391</xdr:rowOff>
    </xdr:from>
    <xdr:to>
      <xdr:col>14</xdr:col>
      <xdr:colOff>507207</xdr:colOff>
      <xdr:row>65</xdr:row>
      <xdr:rowOff>108757</xdr:rowOff>
    </xdr:to>
    <xdr:pic>
      <xdr:nvPicPr>
        <xdr:cNvPr id="11" name="Picture 2" descr="http://www.liderdeproyecto.com/evm/imagenes/variables_analisis_evm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715250" y="9153816"/>
          <a:ext cx="4181475" cy="278499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400049</xdr:colOff>
      <xdr:row>24</xdr:row>
      <xdr:rowOff>130538</xdr:rowOff>
    </xdr:to>
    <xdr:pic>
      <xdr:nvPicPr>
        <xdr:cNvPr id="2" name="Picture 2" descr="http://www.liderdeproyecto.com/evm/imagenes/variables_analisis_ev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6486524" cy="470253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409575</xdr:colOff>
      <xdr:row>0</xdr:row>
      <xdr:rowOff>0</xdr:rowOff>
    </xdr:from>
    <xdr:to>
      <xdr:col>16</xdr:col>
      <xdr:colOff>342899</xdr:colOff>
      <xdr:row>24</xdr:row>
      <xdr:rowOff>123824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0"/>
          <a:ext cx="6029324" cy="4695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</xdr:row>
      <xdr:rowOff>38100</xdr:rowOff>
    </xdr:from>
    <xdr:to>
      <xdr:col>10</xdr:col>
      <xdr:colOff>133350</xdr:colOff>
      <xdr:row>19</xdr:row>
      <xdr:rowOff>123825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343025"/>
          <a:ext cx="6581775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25" zoomScale="120" zoomScaleNormal="120" workbookViewId="0">
      <selection activeCell="C56" sqref="C56:D56"/>
    </sheetView>
  </sheetViews>
  <sheetFormatPr baseColWidth="10" defaultRowHeight="15" x14ac:dyDescent="0.25"/>
  <cols>
    <col min="5" max="5" width="14.28515625" customWidth="1"/>
    <col min="6" max="6" width="12.5703125" customWidth="1"/>
    <col min="10" max="10" width="12.28515625" bestFit="1" customWidth="1"/>
    <col min="13" max="13" width="15.28515625" bestFit="1" customWidth="1"/>
    <col min="15" max="15" width="14.42578125" customWidth="1"/>
  </cols>
  <sheetData>
    <row r="1" spans="1:5" ht="15.75" thickBot="1" x14ac:dyDescent="0.3"/>
    <row r="2" spans="1:5" x14ac:dyDescent="0.25">
      <c r="A2" s="67" t="s">
        <v>5</v>
      </c>
      <c r="B2" s="68"/>
      <c r="C2" s="68"/>
      <c r="D2" s="69"/>
      <c r="E2" s="7" t="s">
        <v>17</v>
      </c>
    </row>
    <row r="3" spans="1:5" x14ac:dyDescent="0.25">
      <c r="A3" s="70" t="s">
        <v>6</v>
      </c>
      <c r="B3" s="71"/>
      <c r="C3" s="71"/>
      <c r="D3" s="72"/>
      <c r="E3" s="31">
        <v>43274</v>
      </c>
    </row>
    <row r="4" spans="1:5" x14ac:dyDescent="0.25">
      <c r="A4" s="70" t="s">
        <v>8</v>
      </c>
      <c r="B4" s="71"/>
      <c r="C4" s="71"/>
      <c r="D4" s="72"/>
      <c r="E4" s="31">
        <v>43312</v>
      </c>
    </row>
    <row r="5" spans="1:5" x14ac:dyDescent="0.25">
      <c r="A5" s="70" t="s">
        <v>7</v>
      </c>
      <c r="B5" s="71"/>
      <c r="C5" s="71"/>
      <c r="D5" s="72"/>
      <c r="E5" s="30">
        <f>DAYS360(E3,E4)</f>
        <v>38</v>
      </c>
    </row>
    <row r="6" spans="1:5" ht="15.75" thickBot="1" x14ac:dyDescent="0.3">
      <c r="A6" s="73" t="s">
        <v>9</v>
      </c>
      <c r="B6" s="74"/>
      <c r="C6" s="74"/>
      <c r="D6" s="75"/>
      <c r="E6" s="32">
        <v>79250</v>
      </c>
    </row>
    <row r="21" spans="1:15" x14ac:dyDescent="0.25">
      <c r="L21" s="55" t="s">
        <v>43</v>
      </c>
      <c r="M21" s="56"/>
    </row>
    <row r="22" spans="1:15" x14ac:dyDescent="0.25">
      <c r="F22" s="12" t="s">
        <v>24</v>
      </c>
      <c r="G22" s="12" t="s">
        <v>25</v>
      </c>
      <c r="H22" s="12" t="s">
        <v>23</v>
      </c>
      <c r="I22" s="12" t="s">
        <v>27</v>
      </c>
      <c r="J22" s="12" t="s">
        <v>32</v>
      </c>
      <c r="K22" s="12" t="s">
        <v>33</v>
      </c>
      <c r="L22" s="53" t="s">
        <v>42</v>
      </c>
      <c r="M22" s="54"/>
      <c r="N22" s="53" t="s">
        <v>98</v>
      </c>
      <c r="O22" s="54"/>
    </row>
    <row r="23" spans="1:15" x14ac:dyDescent="0.25">
      <c r="B23" s="1"/>
      <c r="C23" s="79" t="s">
        <v>13</v>
      </c>
      <c r="D23" s="80"/>
      <c r="E23" s="81"/>
      <c r="F23" s="63" t="s">
        <v>14</v>
      </c>
      <c r="G23" s="64"/>
      <c r="H23" s="63" t="s">
        <v>20</v>
      </c>
      <c r="I23" s="64"/>
      <c r="J23" s="63" t="s">
        <v>12</v>
      </c>
      <c r="K23" s="64"/>
      <c r="L23" s="65" t="s">
        <v>38</v>
      </c>
      <c r="M23" s="66"/>
      <c r="N23" s="65" t="s">
        <v>97</v>
      </c>
      <c r="O23" s="66"/>
    </row>
    <row r="24" spans="1:15" x14ac:dyDescent="0.25">
      <c r="A24" s="28" t="s">
        <v>10</v>
      </c>
      <c r="B24" s="29" t="s">
        <v>11</v>
      </c>
      <c r="C24" s="25" t="s">
        <v>0</v>
      </c>
      <c r="D24" s="26" t="s">
        <v>1</v>
      </c>
      <c r="E24" s="27" t="s">
        <v>2</v>
      </c>
      <c r="F24" s="4" t="s">
        <v>16</v>
      </c>
      <c r="G24" s="5" t="s">
        <v>15</v>
      </c>
      <c r="H24" s="4" t="s">
        <v>21</v>
      </c>
      <c r="I24" s="5" t="s">
        <v>22</v>
      </c>
      <c r="J24" s="2" t="s">
        <v>3</v>
      </c>
      <c r="K24" s="3" t="s">
        <v>4</v>
      </c>
      <c r="L24" s="63" t="s">
        <v>39</v>
      </c>
      <c r="M24" s="64"/>
      <c r="N24" s="63" t="s">
        <v>96</v>
      </c>
      <c r="O24" s="64"/>
    </row>
    <row r="25" spans="1:15" x14ac:dyDescent="0.25">
      <c r="A25" s="8">
        <v>1</v>
      </c>
      <c r="B25" s="9">
        <f>E3+7</f>
        <v>43281</v>
      </c>
      <c r="C25" s="10">
        <v>4000</v>
      </c>
      <c r="D25" s="10">
        <v>5000</v>
      </c>
      <c r="E25" s="10">
        <v>4500</v>
      </c>
      <c r="F25" s="6">
        <f>D25-C25</f>
        <v>1000</v>
      </c>
      <c r="G25" s="6">
        <f>D25-E25</f>
        <v>500</v>
      </c>
      <c r="H25" s="6">
        <f t="shared" ref="H25:I29" si="0">F25/C25</f>
        <v>0.25</v>
      </c>
      <c r="I25" s="6">
        <f t="shared" si="0"/>
        <v>0.1</v>
      </c>
      <c r="J25" s="6">
        <f>D25/C25</f>
        <v>1.25</v>
      </c>
      <c r="K25" s="6">
        <f>D25/E25</f>
        <v>1.1111111111111112</v>
      </c>
      <c r="L25" s="59">
        <f>J25*K25</f>
        <v>1.3888888888888888</v>
      </c>
      <c r="M25" s="60"/>
      <c r="N25" s="83">
        <f>($E$6-D25)/($E$6-E25)</f>
        <v>0.99331103678929766</v>
      </c>
      <c r="O25" s="84"/>
    </row>
    <row r="26" spans="1:15" x14ac:dyDescent="0.25">
      <c r="A26" s="8">
        <v>2</v>
      </c>
      <c r="B26" s="9">
        <f>B25+7</f>
        <v>43288</v>
      </c>
      <c r="C26" s="10">
        <v>6000</v>
      </c>
      <c r="D26" s="10">
        <v>7000</v>
      </c>
      <c r="E26" s="10">
        <v>6000</v>
      </c>
      <c r="F26" s="6">
        <f>D26-C26</f>
        <v>1000</v>
      </c>
      <c r="G26" s="6">
        <f>D26-E26</f>
        <v>1000</v>
      </c>
      <c r="H26" s="6">
        <f t="shared" si="0"/>
        <v>0.16666666666666666</v>
      </c>
      <c r="I26" s="6">
        <f t="shared" si="0"/>
        <v>0.14285714285714285</v>
      </c>
      <c r="J26" s="6">
        <f>D26/C26</f>
        <v>1.1666666666666667</v>
      </c>
      <c r="K26" s="6">
        <f>D26/E26</f>
        <v>1.1666666666666667</v>
      </c>
      <c r="L26" s="59">
        <f>J26*K26</f>
        <v>1.3611111111111114</v>
      </c>
      <c r="M26" s="60"/>
      <c r="N26" s="83">
        <f>($E$6-D26)/($E$6-E26)</f>
        <v>0.98634812286689422</v>
      </c>
      <c r="O26" s="84"/>
    </row>
    <row r="27" spans="1:15" x14ac:dyDescent="0.25">
      <c r="A27" s="8">
        <v>3</v>
      </c>
      <c r="B27" s="9">
        <f>B26+7</f>
        <v>43295</v>
      </c>
      <c r="C27" s="10">
        <v>10000</v>
      </c>
      <c r="D27" s="10">
        <v>11000</v>
      </c>
      <c r="E27" s="10">
        <v>16000</v>
      </c>
      <c r="F27" s="6">
        <f>D27-C27</f>
        <v>1000</v>
      </c>
      <c r="G27" s="6">
        <f>D27-E27</f>
        <v>-5000</v>
      </c>
      <c r="H27" s="6">
        <f t="shared" si="0"/>
        <v>0.1</v>
      </c>
      <c r="I27" s="6">
        <f t="shared" si="0"/>
        <v>-0.45454545454545453</v>
      </c>
      <c r="J27" s="6">
        <f>D27/C27</f>
        <v>1.1000000000000001</v>
      </c>
      <c r="K27" s="6">
        <f>D27/E27</f>
        <v>0.6875</v>
      </c>
      <c r="L27" s="57">
        <f>J27*K27</f>
        <v>0.75625000000000009</v>
      </c>
      <c r="M27" s="58"/>
      <c r="N27" s="83">
        <f>($E$6-D27)/($E$6-E27)</f>
        <v>1.0790513833992095</v>
      </c>
      <c r="O27" s="84"/>
    </row>
    <row r="28" spans="1:15" x14ac:dyDescent="0.25">
      <c r="A28" s="8">
        <v>4</v>
      </c>
      <c r="B28" s="9">
        <f>B27+7</f>
        <v>43302</v>
      </c>
      <c r="C28" s="10">
        <v>20000</v>
      </c>
      <c r="D28" s="11">
        <v>18000</v>
      </c>
      <c r="E28" s="10">
        <v>25000</v>
      </c>
      <c r="F28" s="6">
        <f>D28-C28</f>
        <v>-2000</v>
      </c>
      <c r="G28" s="6">
        <f>D28-E28</f>
        <v>-7000</v>
      </c>
      <c r="H28" s="6">
        <f t="shared" si="0"/>
        <v>-0.1</v>
      </c>
      <c r="I28" s="6">
        <f t="shared" si="0"/>
        <v>-0.3888888888888889</v>
      </c>
      <c r="J28" s="6">
        <f>D28/C28</f>
        <v>0.9</v>
      </c>
      <c r="K28" s="6">
        <f>D28/E28</f>
        <v>0.72</v>
      </c>
      <c r="L28" s="59">
        <f>J28*K28</f>
        <v>0.64800000000000002</v>
      </c>
      <c r="M28" s="60"/>
      <c r="N28" s="83">
        <f>($E$6-D28)/($E$6-E28)</f>
        <v>1.1290322580645162</v>
      </c>
      <c r="O28" s="84"/>
    </row>
    <row r="29" spans="1:15" x14ac:dyDescent="0.25">
      <c r="A29" s="8">
        <v>5</v>
      </c>
      <c r="B29" s="9">
        <f>B28+7</f>
        <v>43309</v>
      </c>
      <c r="C29" s="10">
        <v>40000</v>
      </c>
      <c r="D29" s="10">
        <v>36000</v>
      </c>
      <c r="E29" s="10">
        <v>50000</v>
      </c>
      <c r="F29" s="6">
        <f>D29-C29</f>
        <v>-4000</v>
      </c>
      <c r="G29" s="6">
        <f>D29-E29</f>
        <v>-14000</v>
      </c>
      <c r="H29" s="6">
        <f t="shared" si="0"/>
        <v>-0.1</v>
      </c>
      <c r="I29" s="6">
        <f t="shared" si="0"/>
        <v>-0.3888888888888889</v>
      </c>
      <c r="J29" s="6">
        <f>D29/C29</f>
        <v>0.9</v>
      </c>
      <c r="K29" s="6">
        <f>D29/E29</f>
        <v>0.72</v>
      </c>
      <c r="L29" s="61">
        <f>J29*K29</f>
        <v>0.64800000000000002</v>
      </c>
      <c r="M29" s="61"/>
      <c r="N29" s="83">
        <f>($E$6-D29)/($E$6-E29)</f>
        <v>1.4786324786324787</v>
      </c>
      <c r="O29" s="84"/>
    </row>
    <row r="30" spans="1:15" x14ac:dyDescent="0.25">
      <c r="F30" t="s">
        <v>18</v>
      </c>
      <c r="G30" t="s">
        <v>18</v>
      </c>
      <c r="H30" t="s">
        <v>28</v>
      </c>
      <c r="I30" t="s">
        <v>29</v>
      </c>
      <c r="J30" t="s">
        <v>36</v>
      </c>
      <c r="K30" t="s">
        <v>36</v>
      </c>
      <c r="L30" s="62" t="s">
        <v>40</v>
      </c>
      <c r="M30" s="62"/>
      <c r="N30" s="62" t="s">
        <v>99</v>
      </c>
      <c r="O30" s="62"/>
    </row>
    <row r="31" spans="1:15" x14ac:dyDescent="0.25">
      <c r="F31" t="s">
        <v>19</v>
      </c>
      <c r="G31" t="s">
        <v>19</v>
      </c>
      <c r="H31" t="s">
        <v>26</v>
      </c>
      <c r="I31" t="s">
        <v>30</v>
      </c>
      <c r="J31" t="s">
        <v>37</v>
      </c>
      <c r="K31" t="s">
        <v>37</v>
      </c>
      <c r="L31" s="62" t="s">
        <v>41</v>
      </c>
      <c r="M31" s="62"/>
      <c r="N31" s="62" t="s">
        <v>100</v>
      </c>
      <c r="O31" s="62"/>
    </row>
    <row r="32" spans="1:15" x14ac:dyDescent="0.25">
      <c r="I32" t="s">
        <v>31</v>
      </c>
      <c r="J32" t="s">
        <v>45</v>
      </c>
      <c r="K32" t="s">
        <v>44</v>
      </c>
    </row>
    <row r="33" spans="1:13" ht="18.75" x14ac:dyDescent="0.3">
      <c r="D33" s="14" t="s">
        <v>46</v>
      </c>
    </row>
    <row r="34" spans="1:13" x14ac:dyDescent="0.25">
      <c r="A34" s="13" t="s">
        <v>34</v>
      </c>
      <c r="G34" s="13" t="s">
        <v>35</v>
      </c>
      <c r="M34" s="13" t="s">
        <v>101</v>
      </c>
    </row>
    <row r="44" spans="1:13" x14ac:dyDescent="0.25">
      <c r="A44" t="s">
        <v>68</v>
      </c>
    </row>
    <row r="46" spans="1:13" x14ac:dyDescent="0.25">
      <c r="A46" t="s">
        <v>47</v>
      </c>
      <c r="B46" t="s">
        <v>48</v>
      </c>
      <c r="G46" t="s">
        <v>49</v>
      </c>
    </row>
    <row r="47" spans="1:13" x14ac:dyDescent="0.25">
      <c r="A47" t="s">
        <v>50</v>
      </c>
      <c r="B47" t="s">
        <v>51</v>
      </c>
      <c r="G47" t="s">
        <v>52</v>
      </c>
    </row>
    <row r="48" spans="1:13" x14ac:dyDescent="0.25">
      <c r="A48" t="s">
        <v>53</v>
      </c>
      <c r="B48" t="s">
        <v>54</v>
      </c>
      <c r="G48" t="s">
        <v>56</v>
      </c>
      <c r="J48" t="s">
        <v>57</v>
      </c>
    </row>
    <row r="49" spans="1:7" x14ac:dyDescent="0.25">
      <c r="B49" t="s">
        <v>55</v>
      </c>
    </row>
    <row r="50" spans="1:7" x14ac:dyDescent="0.25">
      <c r="A50" t="s">
        <v>58</v>
      </c>
      <c r="B50" t="s">
        <v>65</v>
      </c>
      <c r="G50" t="s">
        <v>59</v>
      </c>
    </row>
    <row r="52" spans="1:7" x14ac:dyDescent="0.25">
      <c r="A52" t="s">
        <v>69</v>
      </c>
      <c r="E52" t="s">
        <v>60</v>
      </c>
      <c r="G52" t="s">
        <v>71</v>
      </c>
    </row>
    <row r="53" spans="1:7" x14ac:dyDescent="0.25">
      <c r="A53" s="13" t="s">
        <v>102</v>
      </c>
      <c r="E53" s="23"/>
      <c r="G53" t="s">
        <v>73</v>
      </c>
    </row>
    <row r="54" spans="1:7" x14ac:dyDescent="0.25">
      <c r="C54" s="78" t="s">
        <v>66</v>
      </c>
      <c r="D54" s="78"/>
      <c r="E54" s="19" t="s">
        <v>70</v>
      </c>
      <c r="F54" s="19" t="s">
        <v>72</v>
      </c>
    </row>
    <row r="55" spans="1:7" x14ac:dyDescent="0.25">
      <c r="A55" s="82" t="s">
        <v>61</v>
      </c>
      <c r="B55" s="82"/>
      <c r="C55" s="76">
        <f>E29 + ((E6 - D29)/K29)</f>
        <v>110069.44444444444</v>
      </c>
      <c r="D55" s="76"/>
      <c r="E55" s="16">
        <f>$E$6-C55</f>
        <v>-30819.444444444438</v>
      </c>
      <c r="F55" s="22">
        <f>E55/$E$6</f>
        <v>-0.38888888888888878</v>
      </c>
    </row>
    <row r="56" spans="1:7" x14ac:dyDescent="0.25">
      <c r="A56" s="82" t="s">
        <v>62</v>
      </c>
      <c r="B56" s="82"/>
      <c r="C56" s="76">
        <f>E29+(E6-D29)</f>
        <v>93250</v>
      </c>
      <c r="D56" s="76"/>
      <c r="E56" s="16">
        <f>$E$6-C56</f>
        <v>-14000</v>
      </c>
      <c r="F56" s="22">
        <f>E56/$E$6</f>
        <v>-0.17665615141955837</v>
      </c>
    </row>
    <row r="57" spans="1:7" x14ac:dyDescent="0.25">
      <c r="A57" s="82" t="s">
        <v>67</v>
      </c>
      <c r="B57" s="82"/>
      <c r="C57" s="76">
        <f xml:space="preserve"> E29 + ((E6-D29)/(K29*J29))</f>
        <v>116743.82716049382</v>
      </c>
      <c r="D57" s="76"/>
      <c r="E57" s="16">
        <f>$E$6-C57</f>
        <v>-37493.82716049382</v>
      </c>
      <c r="F57" s="22">
        <f>E57/$E$6</f>
        <v>-0.47310822915449613</v>
      </c>
    </row>
    <row r="58" spans="1:7" x14ac:dyDescent="0.25">
      <c r="A58" s="82" t="s">
        <v>63</v>
      </c>
      <c r="B58" s="82"/>
      <c r="C58" s="77" t="s">
        <v>64</v>
      </c>
      <c r="D58" s="77"/>
      <c r="E58" s="18"/>
      <c r="F58" s="18"/>
    </row>
    <row r="59" spans="1:7" x14ac:dyDescent="0.25">
      <c r="A59" s="20"/>
      <c r="B59" s="20"/>
      <c r="C59" s="20"/>
      <c r="D59" s="21"/>
      <c r="E59" s="21" t="s">
        <v>74</v>
      </c>
      <c r="F59" s="20" t="s">
        <v>76</v>
      </c>
    </row>
    <row r="60" spans="1:7" x14ac:dyDescent="0.25">
      <c r="E60" t="s">
        <v>75</v>
      </c>
      <c r="F60" t="s">
        <v>77</v>
      </c>
    </row>
    <row r="63" spans="1:7" x14ac:dyDescent="0.25">
      <c r="A63" s="13" t="s">
        <v>78</v>
      </c>
      <c r="E63" t="s">
        <v>79</v>
      </c>
    </row>
    <row r="65" spans="1:12" x14ac:dyDescent="0.25">
      <c r="A65" t="s">
        <v>82</v>
      </c>
      <c r="E65" s="24" t="s">
        <v>80</v>
      </c>
      <c r="F65" s="22">
        <f>((E6/J29)/(E6/E5))</f>
        <v>42.222222222222214</v>
      </c>
      <c r="G65" s="18" t="s">
        <v>81</v>
      </c>
    </row>
    <row r="66" spans="1:12" x14ac:dyDescent="0.25">
      <c r="A66" t="s">
        <v>83</v>
      </c>
    </row>
    <row r="68" spans="1:12" x14ac:dyDescent="0.25">
      <c r="A68" t="s">
        <v>84</v>
      </c>
      <c r="C68" t="s">
        <v>85</v>
      </c>
      <c r="I68" s="22">
        <f xml:space="preserve"> E69 + (38 - E69*J29)/J29</f>
        <v>42.222222222222221</v>
      </c>
      <c r="J68" s="18" t="s">
        <v>81</v>
      </c>
    </row>
    <row r="69" spans="1:12" x14ac:dyDescent="0.25">
      <c r="C69" t="s">
        <v>86</v>
      </c>
      <c r="E69">
        <f>B29-B25</f>
        <v>28</v>
      </c>
    </row>
    <row r="71" spans="1:12" x14ac:dyDescent="0.25">
      <c r="A71" s="13" t="s">
        <v>87</v>
      </c>
    </row>
    <row r="73" spans="1:12" x14ac:dyDescent="0.25">
      <c r="A73" t="s">
        <v>88</v>
      </c>
      <c r="B73" t="s">
        <v>89</v>
      </c>
      <c r="D73" t="s">
        <v>91</v>
      </c>
      <c r="I73" s="18" t="s">
        <v>88</v>
      </c>
      <c r="J73" s="17">
        <f xml:space="preserve"> (E6-D29)/(E6-E29)</f>
        <v>1.4786324786324787</v>
      </c>
      <c r="L73" t="s">
        <v>93</v>
      </c>
    </row>
    <row r="74" spans="1:12" x14ac:dyDescent="0.25">
      <c r="A74" t="s">
        <v>88</v>
      </c>
      <c r="B74" t="s">
        <v>90</v>
      </c>
      <c r="D74" t="s">
        <v>92</v>
      </c>
      <c r="I74" s="18" t="s">
        <v>88</v>
      </c>
      <c r="J74" s="17">
        <f>(E6-D29)/(C57-E29)</f>
        <v>0.64800000000000002</v>
      </c>
      <c r="K74" s="15" t="s">
        <v>95</v>
      </c>
      <c r="L74" t="s">
        <v>94</v>
      </c>
    </row>
  </sheetData>
  <mergeCells count="39">
    <mergeCell ref="A55:B55"/>
    <mergeCell ref="A56:B56"/>
    <mergeCell ref="A57:B57"/>
    <mergeCell ref="A58:B58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C55:D55"/>
    <mergeCell ref="C56:D56"/>
    <mergeCell ref="C57:D57"/>
    <mergeCell ref="C58:D58"/>
    <mergeCell ref="C54:D54"/>
    <mergeCell ref="C23:E23"/>
    <mergeCell ref="J23:K23"/>
    <mergeCell ref="F23:G23"/>
    <mergeCell ref="A2:D2"/>
    <mergeCell ref="A3:D3"/>
    <mergeCell ref="A4:D4"/>
    <mergeCell ref="A5:D5"/>
    <mergeCell ref="A6:D6"/>
    <mergeCell ref="L30:M30"/>
    <mergeCell ref="L31:M31"/>
    <mergeCell ref="H23:I23"/>
    <mergeCell ref="L23:M23"/>
    <mergeCell ref="L24:M24"/>
    <mergeCell ref="L25:M25"/>
    <mergeCell ref="L26:M26"/>
    <mergeCell ref="L22:M22"/>
    <mergeCell ref="L21:M21"/>
    <mergeCell ref="L27:M27"/>
    <mergeCell ref="L28:M28"/>
    <mergeCell ref="L29:M29"/>
  </mergeCells>
  <conditionalFormatting sqref="J25:K29">
    <cfRule type="cellIs" priority="13" stopIfTrue="1" operator="between">
      <formula>$I$18</formula>
      <formula>$J$18</formula>
    </cfRule>
    <cfRule type="cellIs" dxfId="5" priority="14" stopIfTrue="1" operator="between">
      <formula>$I$19</formula>
      <formula>$J$19</formula>
    </cfRule>
    <cfRule type="cellIs" dxfId="4" priority="15" stopIfTrue="1" operator="between">
      <formula>#REF!</formula>
      <formula>#REF!</formula>
    </cfRule>
  </conditionalFormatting>
  <conditionalFormatting sqref="F25:G29">
    <cfRule type="cellIs" priority="7" stopIfTrue="1" operator="between">
      <formula>$I$18</formula>
      <formula>$J$18</formula>
    </cfRule>
    <cfRule type="cellIs" dxfId="3" priority="8" stopIfTrue="1" operator="between">
      <formula>$I$19</formula>
      <formula>$J$19</formula>
    </cfRule>
    <cfRule type="cellIs" dxfId="2" priority="9" stopIfTrue="1" operator="between">
      <formula>#REF!</formula>
      <formula>#REF!</formula>
    </cfRule>
  </conditionalFormatting>
  <conditionalFormatting sqref="H25:I29">
    <cfRule type="cellIs" priority="4" stopIfTrue="1" operator="between">
      <formula>$I$18</formula>
      <formula>$J$18</formula>
    </cfRule>
    <cfRule type="cellIs" dxfId="1" priority="5" stopIfTrue="1" operator="between">
      <formula>$I$19</formula>
      <formula>$J$19</formula>
    </cfRule>
    <cfRule type="cellIs" dxfId="0" priority="6" stopIfTrue="1" operator="between">
      <formula>#REF!</formula>
      <formula>#REF!</formula>
    </cfRule>
  </conditionalFormatting>
  <pageMargins left="0.7" right="0.7" top="0.75" bottom="0.75" header="0.3" footer="0.3"/>
  <pageSetup paperSize="9" orientation="portrait" r:id="rId1"/>
  <ignoredErrors>
    <ignoredError sqref="G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B28" sqref="B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abSelected="1" topLeftCell="A42" workbookViewId="0">
      <selection activeCell="B45" sqref="B45"/>
    </sheetView>
  </sheetViews>
  <sheetFormatPr baseColWidth="10" defaultRowHeight="15" x14ac:dyDescent="0.25"/>
  <cols>
    <col min="4" max="4" width="14.42578125" customWidth="1"/>
    <col min="5" max="5" width="12.7109375" bestFit="1" customWidth="1"/>
    <col min="6" max="6" width="13.140625" bestFit="1" customWidth="1"/>
  </cols>
  <sheetData>
    <row r="1" spans="2:4" ht="15.75" thickBot="1" x14ac:dyDescent="0.3"/>
    <row r="2" spans="2:4" ht="18.75" x14ac:dyDescent="0.3">
      <c r="B2" s="33"/>
      <c r="D2" s="36" t="s">
        <v>105</v>
      </c>
    </row>
    <row r="3" spans="2:4" ht="18.75" x14ac:dyDescent="0.3">
      <c r="B3" s="34"/>
      <c r="D3" s="37" t="s">
        <v>103</v>
      </c>
    </row>
    <row r="4" spans="2:4" ht="19.5" thickBot="1" x14ac:dyDescent="0.35">
      <c r="B4" s="35"/>
      <c r="D4" s="37" t="s">
        <v>104</v>
      </c>
    </row>
    <row r="6" spans="2:4" ht="18.75" x14ac:dyDescent="0.3">
      <c r="D6" s="37" t="s">
        <v>106</v>
      </c>
    </row>
    <row r="21" spans="4:10" ht="18.75" x14ac:dyDescent="0.3">
      <c r="D21" s="37" t="s">
        <v>107</v>
      </c>
    </row>
    <row r="23" spans="4:10" ht="18.75" x14ac:dyDescent="0.3">
      <c r="D23" s="38" t="s">
        <v>108</v>
      </c>
      <c r="E23" s="38" t="s">
        <v>112</v>
      </c>
      <c r="F23" s="94" t="s">
        <v>109</v>
      </c>
      <c r="G23" s="95"/>
      <c r="H23" s="95"/>
      <c r="I23" s="96"/>
    </row>
    <row r="24" spans="4:10" ht="18.75" x14ac:dyDescent="0.3">
      <c r="D24" s="39" t="s">
        <v>0</v>
      </c>
      <c r="E24" s="43">
        <v>3000</v>
      </c>
      <c r="F24" s="91" t="s">
        <v>113</v>
      </c>
      <c r="G24" s="92"/>
      <c r="H24" s="92"/>
      <c r="I24" s="93"/>
      <c r="J24" s="40" t="s">
        <v>132</v>
      </c>
    </row>
    <row r="25" spans="4:10" ht="18.75" x14ac:dyDescent="0.3">
      <c r="D25" s="39" t="s">
        <v>110</v>
      </c>
      <c r="E25" s="43">
        <v>2500</v>
      </c>
      <c r="F25" s="91" t="s">
        <v>122</v>
      </c>
      <c r="G25" s="92"/>
      <c r="H25" s="92"/>
      <c r="I25" s="93"/>
      <c r="J25" s="40" t="s">
        <v>133</v>
      </c>
    </row>
    <row r="26" spans="4:10" ht="18.75" x14ac:dyDescent="0.3">
      <c r="D26" s="39" t="s">
        <v>2</v>
      </c>
      <c r="E26" s="43">
        <v>2800</v>
      </c>
      <c r="F26" s="91" t="s">
        <v>123</v>
      </c>
      <c r="G26" s="92"/>
      <c r="H26" s="92"/>
      <c r="I26" s="93"/>
      <c r="J26" s="40" t="s">
        <v>134</v>
      </c>
    </row>
    <row r="27" spans="4:10" ht="18.75" x14ac:dyDescent="0.3">
      <c r="D27" s="39" t="s">
        <v>111</v>
      </c>
      <c r="E27" s="43">
        <v>4000</v>
      </c>
      <c r="F27" s="91" t="s">
        <v>114</v>
      </c>
      <c r="G27" s="92"/>
      <c r="H27" s="92"/>
      <c r="I27" s="93"/>
      <c r="J27" s="40" t="s">
        <v>135</v>
      </c>
    </row>
    <row r="28" spans="4:10" ht="18.75" x14ac:dyDescent="0.3">
      <c r="D28" s="39" t="s">
        <v>155</v>
      </c>
      <c r="E28" s="43">
        <v>2.5</v>
      </c>
      <c r="F28" s="44" t="s">
        <v>156</v>
      </c>
      <c r="G28" s="47"/>
      <c r="H28" s="47"/>
      <c r="I28" s="48"/>
      <c r="J28" s="40"/>
    </row>
    <row r="29" spans="4:10" ht="18.75" x14ac:dyDescent="0.3">
      <c r="D29" s="42" t="s">
        <v>149</v>
      </c>
      <c r="E29" s="43">
        <f>E24/E27</f>
        <v>0.75</v>
      </c>
      <c r="F29" s="91" t="s">
        <v>153</v>
      </c>
      <c r="G29" s="92"/>
      <c r="H29" s="92"/>
      <c r="I29" s="93"/>
      <c r="J29" s="40" t="s">
        <v>151</v>
      </c>
    </row>
    <row r="30" spans="4:10" ht="18.75" x14ac:dyDescent="0.3">
      <c r="D30" s="42" t="s">
        <v>150</v>
      </c>
      <c r="E30" s="43">
        <f>E25/E27</f>
        <v>0.625</v>
      </c>
      <c r="F30" s="91" t="s">
        <v>154</v>
      </c>
      <c r="G30" s="92"/>
      <c r="H30" s="92"/>
      <c r="I30" s="93"/>
      <c r="J30" s="40" t="s">
        <v>152</v>
      </c>
    </row>
    <row r="31" spans="4:10" ht="18.75" x14ac:dyDescent="0.3">
      <c r="D31" s="39" t="s">
        <v>15</v>
      </c>
      <c r="E31" s="43">
        <f>E25-E26</f>
        <v>-300</v>
      </c>
      <c r="F31" s="91" t="s">
        <v>157</v>
      </c>
      <c r="G31" s="92"/>
      <c r="H31" s="92"/>
      <c r="I31" s="93"/>
      <c r="J31" s="40" t="s">
        <v>136</v>
      </c>
    </row>
    <row r="32" spans="4:10" ht="18.75" x14ac:dyDescent="0.3">
      <c r="D32" s="45" t="s">
        <v>4</v>
      </c>
      <c r="E32" s="46">
        <f>E25/E26</f>
        <v>0.8928571428571429</v>
      </c>
      <c r="F32" s="91" t="s">
        <v>158</v>
      </c>
      <c r="G32" s="92"/>
      <c r="H32" s="92"/>
      <c r="I32" s="93"/>
      <c r="J32" s="40" t="s">
        <v>137</v>
      </c>
    </row>
    <row r="33" spans="2:10" ht="19.5" thickBot="1" x14ac:dyDescent="0.35">
      <c r="D33" s="39" t="s">
        <v>22</v>
      </c>
      <c r="E33" s="41">
        <f>E31/E25</f>
        <v>-0.12</v>
      </c>
      <c r="F33" s="91" t="s">
        <v>27</v>
      </c>
      <c r="G33" s="92"/>
      <c r="H33" s="92"/>
      <c r="I33" s="93"/>
      <c r="J33" s="40" t="s">
        <v>138</v>
      </c>
    </row>
    <row r="34" spans="2:10" ht="18.75" x14ac:dyDescent="0.3">
      <c r="B34" s="85" t="s">
        <v>172</v>
      </c>
      <c r="C34" s="86"/>
      <c r="D34" s="50" t="s">
        <v>159</v>
      </c>
      <c r="E34" s="41">
        <f>E25-E24</f>
        <v>-500</v>
      </c>
      <c r="F34" s="91" t="s">
        <v>115</v>
      </c>
      <c r="G34" s="92"/>
      <c r="H34" s="92"/>
      <c r="I34" s="93"/>
      <c r="J34" s="40" t="s">
        <v>139</v>
      </c>
    </row>
    <row r="35" spans="2:10" ht="18.75" x14ac:dyDescent="0.3">
      <c r="B35" s="87"/>
      <c r="C35" s="88"/>
      <c r="D35" s="50" t="s">
        <v>160</v>
      </c>
      <c r="E35" s="41">
        <f>E25/E24</f>
        <v>0.83333333333333337</v>
      </c>
      <c r="F35" s="91" t="s">
        <v>116</v>
      </c>
      <c r="G35" s="92"/>
      <c r="H35" s="92"/>
      <c r="I35" s="93"/>
      <c r="J35" s="40" t="s">
        <v>140</v>
      </c>
    </row>
    <row r="36" spans="2:10" ht="19.5" thickBot="1" x14ac:dyDescent="0.35">
      <c r="B36" s="89"/>
      <c r="C36" s="90"/>
      <c r="D36" s="50" t="s">
        <v>161</v>
      </c>
      <c r="E36" s="41">
        <f>E34/E24</f>
        <v>-0.16666666666666666</v>
      </c>
      <c r="F36" s="91" t="s">
        <v>117</v>
      </c>
      <c r="G36" s="92"/>
      <c r="H36" s="92"/>
      <c r="I36" s="93"/>
      <c r="J36" s="40" t="s">
        <v>141</v>
      </c>
    </row>
    <row r="37" spans="2:10" ht="18.75" x14ac:dyDescent="0.3">
      <c r="D37" s="39" t="s">
        <v>163</v>
      </c>
      <c r="E37" s="41">
        <f>E28 -3</f>
        <v>-0.5</v>
      </c>
      <c r="F37" s="91" t="s">
        <v>165</v>
      </c>
      <c r="G37" s="92"/>
      <c r="H37" s="92"/>
      <c r="I37" s="93"/>
      <c r="J37" s="40"/>
    </row>
    <row r="38" spans="2:10" ht="18.75" x14ac:dyDescent="0.3">
      <c r="D38" s="45" t="s">
        <v>162</v>
      </c>
      <c r="E38" s="46">
        <f xml:space="preserve"> E28 / 3</f>
        <v>0.83333333333333337</v>
      </c>
      <c r="F38" s="91" t="s">
        <v>166</v>
      </c>
      <c r="G38" s="92"/>
      <c r="H38" s="92"/>
      <c r="I38" s="93"/>
      <c r="J38" s="40"/>
    </row>
    <row r="39" spans="2:10" ht="18.75" x14ac:dyDescent="0.3">
      <c r="D39" s="39" t="s">
        <v>164</v>
      </c>
      <c r="E39" s="41">
        <f>E37/3</f>
        <v>-0.16666666666666666</v>
      </c>
      <c r="F39" s="91" t="s">
        <v>167</v>
      </c>
      <c r="G39" s="92"/>
      <c r="H39" s="92"/>
      <c r="I39" s="93"/>
      <c r="J39" s="40"/>
    </row>
    <row r="40" spans="2:10" ht="18.75" x14ac:dyDescent="0.3">
      <c r="D40" s="39" t="s">
        <v>47</v>
      </c>
      <c r="E40" s="51">
        <f>(E27-E25)/E32</f>
        <v>1680</v>
      </c>
      <c r="F40" s="91" t="s">
        <v>118</v>
      </c>
      <c r="G40" s="92"/>
      <c r="H40" s="92"/>
      <c r="I40" s="93"/>
      <c r="J40" s="40" t="s">
        <v>142</v>
      </c>
    </row>
    <row r="41" spans="2:10" ht="18.75" x14ac:dyDescent="0.3">
      <c r="D41" s="39" t="s">
        <v>50</v>
      </c>
      <c r="E41" s="51">
        <f>E27-E25</f>
        <v>1500</v>
      </c>
      <c r="F41" s="91" t="s">
        <v>119</v>
      </c>
      <c r="G41" s="92"/>
      <c r="H41" s="92"/>
      <c r="I41" s="93"/>
      <c r="J41" s="40" t="s">
        <v>143</v>
      </c>
    </row>
    <row r="42" spans="2:10" ht="18.75" x14ac:dyDescent="0.3">
      <c r="D42" s="39" t="s">
        <v>53</v>
      </c>
      <c r="E42" s="51">
        <f>(E27-E25)/(E32*E35)</f>
        <v>2016</v>
      </c>
      <c r="F42" s="91" t="s">
        <v>120</v>
      </c>
      <c r="G42" s="92"/>
      <c r="H42" s="92"/>
      <c r="I42" s="93"/>
      <c r="J42" s="40" t="s">
        <v>144</v>
      </c>
    </row>
    <row r="43" spans="2:10" ht="18.75" x14ac:dyDescent="0.3">
      <c r="D43" s="39" t="s">
        <v>58</v>
      </c>
      <c r="E43" s="51">
        <v>1750</v>
      </c>
      <c r="F43" s="97" t="s">
        <v>170</v>
      </c>
      <c r="G43" s="98"/>
      <c r="H43" s="98"/>
      <c r="I43" s="99"/>
      <c r="J43" s="49" t="s">
        <v>171</v>
      </c>
    </row>
    <row r="44" spans="2:10" ht="18.75" x14ac:dyDescent="0.3">
      <c r="D44" s="39" t="s">
        <v>66</v>
      </c>
      <c r="E44" s="41">
        <f>E26+E40</f>
        <v>4480</v>
      </c>
      <c r="F44" s="91" t="s">
        <v>121</v>
      </c>
      <c r="G44" s="92"/>
      <c r="H44" s="92"/>
      <c r="I44" s="93"/>
      <c r="J44" s="49" t="s">
        <v>173</v>
      </c>
    </row>
    <row r="45" spans="2:10" ht="18.75" x14ac:dyDescent="0.3">
      <c r="D45" s="39" t="s">
        <v>70</v>
      </c>
      <c r="E45" s="41">
        <f>E27-E44</f>
        <v>-480</v>
      </c>
      <c r="F45" s="91" t="s">
        <v>124</v>
      </c>
      <c r="G45" s="92"/>
      <c r="H45" s="92"/>
      <c r="I45" s="93"/>
      <c r="J45" s="40" t="s">
        <v>145</v>
      </c>
    </row>
    <row r="46" spans="2:10" ht="18.75" x14ac:dyDescent="0.3">
      <c r="D46" s="39" t="s">
        <v>96</v>
      </c>
      <c r="E46" s="41">
        <f>(E27-E25)/(E27-E26)</f>
        <v>1.25</v>
      </c>
      <c r="F46" s="91" t="s">
        <v>89</v>
      </c>
      <c r="G46" s="92"/>
      <c r="H46" s="92"/>
      <c r="I46" s="93"/>
      <c r="J46" s="40" t="s">
        <v>146</v>
      </c>
    </row>
    <row r="47" spans="2:10" ht="19.5" thickBot="1" x14ac:dyDescent="0.35">
      <c r="D47" s="39" t="s">
        <v>96</v>
      </c>
      <c r="E47" s="41">
        <f>(E27-E25)/(E44-E26)</f>
        <v>0.8928571428571429</v>
      </c>
      <c r="F47" s="91" t="s">
        <v>129</v>
      </c>
      <c r="G47" s="92"/>
      <c r="H47" s="92"/>
      <c r="I47" s="93"/>
      <c r="J47" s="40" t="s">
        <v>125</v>
      </c>
    </row>
    <row r="48" spans="2:10" ht="18.75" x14ac:dyDescent="0.3">
      <c r="B48" s="85" t="s">
        <v>172</v>
      </c>
      <c r="C48" s="86"/>
      <c r="D48" s="52" t="s">
        <v>79</v>
      </c>
      <c r="E48" s="41">
        <f>(E27/E35)/(E27/4)</f>
        <v>4.8</v>
      </c>
      <c r="F48" s="91" t="s">
        <v>126</v>
      </c>
      <c r="G48" s="92"/>
      <c r="H48" s="92"/>
      <c r="I48" s="93"/>
      <c r="J48" s="40" t="s">
        <v>147</v>
      </c>
    </row>
    <row r="49" spans="2:10" ht="19.5" thickBot="1" x14ac:dyDescent="0.35">
      <c r="B49" s="89"/>
      <c r="C49" s="90"/>
      <c r="D49" s="52" t="s">
        <v>79</v>
      </c>
      <c r="E49" s="41">
        <f>2.5 + (4 - 2.5*E35)/E35</f>
        <v>4.8</v>
      </c>
      <c r="F49" s="91" t="s">
        <v>127</v>
      </c>
      <c r="G49" s="92"/>
      <c r="H49" s="92"/>
      <c r="I49" s="93"/>
      <c r="J49" s="40" t="s">
        <v>128</v>
      </c>
    </row>
    <row r="50" spans="2:10" ht="18.75" x14ac:dyDescent="0.3">
      <c r="D50" s="39" t="s">
        <v>168</v>
      </c>
      <c r="E50" s="41">
        <f xml:space="preserve"> 4 /E38</f>
        <v>4.8</v>
      </c>
      <c r="F50" s="91" t="s">
        <v>169</v>
      </c>
      <c r="G50" s="92"/>
      <c r="H50" s="92"/>
      <c r="I50" s="93"/>
      <c r="J50" s="40"/>
    </row>
    <row r="51" spans="2:10" ht="18.75" x14ac:dyDescent="0.3">
      <c r="D51" s="39" t="s">
        <v>131</v>
      </c>
      <c r="E51" s="41">
        <f>(E27-E25)/(E27-E24)</f>
        <v>1.5</v>
      </c>
      <c r="F51" s="91" t="s">
        <v>130</v>
      </c>
      <c r="G51" s="92"/>
      <c r="H51" s="92"/>
      <c r="I51" s="93"/>
      <c r="J51" s="40" t="s">
        <v>148</v>
      </c>
    </row>
  </sheetData>
  <mergeCells count="30">
    <mergeCell ref="F49:I49"/>
    <mergeCell ref="F51:I51"/>
    <mergeCell ref="F42:I42"/>
    <mergeCell ref="F44:I44"/>
    <mergeCell ref="F45:I45"/>
    <mergeCell ref="F46:I46"/>
    <mergeCell ref="F48:I48"/>
    <mergeCell ref="F50:I50"/>
    <mergeCell ref="F43:I43"/>
    <mergeCell ref="F41:I41"/>
    <mergeCell ref="F32:I32"/>
    <mergeCell ref="F37:I37"/>
    <mergeCell ref="F38:I38"/>
    <mergeCell ref="F39:I39"/>
    <mergeCell ref="B34:C36"/>
    <mergeCell ref="B48:C49"/>
    <mergeCell ref="F29:I29"/>
    <mergeCell ref="F30:I30"/>
    <mergeCell ref="F23:I23"/>
    <mergeCell ref="F24:I24"/>
    <mergeCell ref="F25:I25"/>
    <mergeCell ref="F26:I26"/>
    <mergeCell ref="F27:I27"/>
    <mergeCell ref="F31:I31"/>
    <mergeCell ref="F47:I47"/>
    <mergeCell ref="F33:I33"/>
    <mergeCell ref="F34:I34"/>
    <mergeCell ref="F35:I35"/>
    <mergeCell ref="F36:I36"/>
    <mergeCell ref="F40:I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Completo</vt:lpstr>
      <vt:lpstr>Gráfico</vt:lpstr>
      <vt:lpstr>Ejercicio 1</vt:lpstr>
    </vt:vector>
  </TitlesOfParts>
  <Company>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EVM</dc:title>
  <dc:creator>gedpro</dc:creator>
  <cp:lastModifiedBy>Windows</cp:lastModifiedBy>
  <dcterms:created xsi:type="dcterms:W3CDTF">2008-06-23T07:42:27Z</dcterms:created>
  <dcterms:modified xsi:type="dcterms:W3CDTF">2021-11-01T21:31:53Z</dcterms:modified>
  <cp:category>EVM</cp:category>
</cp:coreProperties>
</file>